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ate1904="1"/>
  <mc:AlternateContent xmlns:mc="http://schemas.openxmlformats.org/markup-compatibility/2006">
    <mc:Choice Requires="x15">
      <x15ac:absPath xmlns:x15ac="http://schemas.microsoft.com/office/spreadsheetml/2010/11/ac" url="https://oregonstateuniversity-my.sharepoint.com/personal/wieserp_oregonstate_edu/Documents/Postdoc/PyMME/MyBarometers/Thermobar_outer/Benchmarking/liquid_only/"/>
    </mc:Choice>
  </mc:AlternateContent>
  <xr:revisionPtr revIDLastSave="92" documentId="13_ncr:1_{71B2B7D8-EA10-411E-A75E-48F3E9E0242D}" xr6:coauthVersionLast="47" xr6:coauthVersionMax="47" xr10:uidLastSave="{3165FBB9-CC48-400F-956D-029130681354}"/>
  <bookViews>
    <workbookView xWindow="28680" yWindow="-120" windowWidth="21840" windowHeight="13290" tabRatio="617" xr2:uid="{00000000-000D-0000-FFFF-FFFF00000000}"/>
  </bookViews>
  <sheets>
    <sheet name="Olivine-liq thermometry_corrMM" sheetId="10" r:id="rId1"/>
    <sheet name="Olivine-liq thermometry_noFo2" sheetId="9" r:id="rId2"/>
    <sheet name="Instructions" sheetId="8" r:id="rId3"/>
    <sheet name="Olivine-liq thermometry" sheetId="2" r:id="rId4"/>
    <sheet name="Rhodes Diagram" sheetId="4" r:id="rId5"/>
    <sheet name="Rhodes Diag Calcs" sheetId="1" r:id="rId6"/>
    <sheet name="R&amp;E Chart" sheetId="7" r:id="rId7"/>
    <sheet name="RECalcs" sheetId="6" r:id="rId8"/>
    <sheet name="Mg# Worksheet" sheetId="5" r:id="rId9"/>
  </sheets>
  <calcPr calcId="191029" iterate="1" iterateCount="5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C16" i="10" l="1"/>
  <c r="ED16" i="10"/>
  <c r="ED18" i="10"/>
  <c r="ED19" i="10"/>
  <c r="ED20" i="10"/>
  <c r="ED21" i="10"/>
  <c r="ED22" i="10"/>
  <c r="ED23" i="10"/>
  <c r="ED24" i="10"/>
  <c r="ED25" i="10"/>
  <c r="ED17" i="10"/>
  <c r="X16" i="10"/>
  <c r="BF16" i="10"/>
  <c r="BD17" i="10"/>
  <c r="BD18" i="10"/>
  <c r="BD19" i="10"/>
  <c r="BD20" i="10"/>
  <c r="BD21" i="10"/>
  <c r="BD22" i="10"/>
  <c r="BD23" i="10"/>
  <c r="BD24" i="10"/>
  <c r="BD25" i="10"/>
  <c r="BD16" i="10"/>
  <c r="BC16" i="10"/>
  <c r="BE16" i="10"/>
  <c r="BC17" i="10"/>
  <c r="BE17" i="10"/>
  <c r="BF17" i="10"/>
  <c r="BC18" i="10"/>
  <c r="BE18" i="10"/>
  <c r="BF18" i="10"/>
  <c r="BC19" i="10"/>
  <c r="BE19" i="10"/>
  <c r="BF19" i="10"/>
  <c r="BC20" i="10"/>
  <c r="BE20" i="10"/>
  <c r="BF20" i="10"/>
  <c r="BC21" i="10"/>
  <c r="BE21" i="10"/>
  <c r="BF21" i="10"/>
  <c r="BC22" i="10"/>
  <c r="BE22" i="10"/>
  <c r="BF22" i="10"/>
  <c r="BC23" i="10"/>
  <c r="BE23" i="10"/>
  <c r="BF23" i="10"/>
  <c r="BC24" i="10"/>
  <c r="BE24" i="10"/>
  <c r="BF24" i="10"/>
  <c r="BC25" i="10"/>
  <c r="BE25" i="10"/>
  <c r="BF25" i="10"/>
  <c r="BI17" i="10"/>
  <c r="BJ17" i="10"/>
  <c r="BK17" i="10"/>
  <c r="BL17" i="10"/>
  <c r="BM17" i="10"/>
  <c r="BN17" i="10"/>
  <c r="BO17" i="10"/>
  <c r="BP17" i="10"/>
  <c r="BQ17" i="10"/>
  <c r="BI18" i="10"/>
  <c r="BJ18" i="10"/>
  <c r="BK18" i="10"/>
  <c r="BL18" i="10"/>
  <c r="BM18" i="10"/>
  <c r="BN18" i="10"/>
  <c r="BO18" i="10"/>
  <c r="BP18" i="10"/>
  <c r="BQ18" i="10"/>
  <c r="BI19" i="10"/>
  <c r="BJ19" i="10"/>
  <c r="BK19" i="10"/>
  <c r="BL19" i="10"/>
  <c r="BM19" i="10"/>
  <c r="BN19" i="10"/>
  <c r="BO19" i="10"/>
  <c r="BP19" i="10"/>
  <c r="BQ19" i="10"/>
  <c r="BI20" i="10"/>
  <c r="BJ20" i="10"/>
  <c r="BK20" i="10"/>
  <c r="BL20" i="10"/>
  <c r="BM20" i="10"/>
  <c r="BN20" i="10"/>
  <c r="BO20" i="10"/>
  <c r="BP20" i="10"/>
  <c r="BQ20" i="10"/>
  <c r="BI21" i="10"/>
  <c r="BJ21" i="10"/>
  <c r="BK21" i="10"/>
  <c r="BL21" i="10"/>
  <c r="BM21" i="10"/>
  <c r="BN21" i="10"/>
  <c r="BO21" i="10"/>
  <c r="BP21" i="10"/>
  <c r="BQ21" i="10"/>
  <c r="BI22" i="10"/>
  <c r="BJ22" i="10"/>
  <c r="BK22" i="10"/>
  <c r="BL22" i="10"/>
  <c r="BM22" i="10"/>
  <c r="BN22" i="10"/>
  <c r="BO22" i="10"/>
  <c r="BP22" i="10"/>
  <c r="BQ22" i="10"/>
  <c r="BI23" i="10"/>
  <c r="BJ23" i="10"/>
  <c r="BK23" i="10"/>
  <c r="BL23" i="10"/>
  <c r="BM23" i="10"/>
  <c r="BN23" i="10"/>
  <c r="BO23" i="10"/>
  <c r="BP23" i="10"/>
  <c r="BQ23" i="10"/>
  <c r="BI24" i="10"/>
  <c r="BJ24" i="10"/>
  <c r="BK24" i="10"/>
  <c r="BL24" i="10"/>
  <c r="BM24" i="10"/>
  <c r="BN24" i="10"/>
  <c r="BO24" i="10"/>
  <c r="BP24" i="10"/>
  <c r="BQ24" i="10"/>
  <c r="BI25" i="10"/>
  <c r="BJ25" i="10"/>
  <c r="BK25" i="10"/>
  <c r="BL25" i="10"/>
  <c r="BM25" i="10"/>
  <c r="BN25" i="10"/>
  <c r="BO25" i="10"/>
  <c r="BP25" i="10"/>
  <c r="BQ25" i="10"/>
  <c r="CC17" i="10"/>
  <c r="CD17" i="10"/>
  <c r="CE17" i="10"/>
  <c r="CF17" i="10"/>
  <c r="CG17" i="10"/>
  <c r="CH17" i="10"/>
  <c r="CI17" i="10"/>
  <c r="CC18" i="10"/>
  <c r="CD18" i="10"/>
  <c r="CE18" i="10"/>
  <c r="CF18" i="10"/>
  <c r="CG18" i="10"/>
  <c r="CH18" i="10"/>
  <c r="CI18" i="10"/>
  <c r="CC19" i="10"/>
  <c r="CD19" i="10"/>
  <c r="CE19" i="10"/>
  <c r="CF19" i="10"/>
  <c r="CG19" i="10"/>
  <c r="CH19" i="10"/>
  <c r="CI19" i="10"/>
  <c r="CC20" i="10"/>
  <c r="CD20" i="10"/>
  <c r="CE20" i="10"/>
  <c r="CF20" i="10"/>
  <c r="CG20" i="10"/>
  <c r="CH20" i="10"/>
  <c r="CI20" i="10"/>
  <c r="CC21" i="10"/>
  <c r="CD21" i="10"/>
  <c r="CE21" i="10"/>
  <c r="CF21" i="10"/>
  <c r="CG21" i="10"/>
  <c r="CH21" i="10"/>
  <c r="CI21" i="10"/>
  <c r="CC22" i="10"/>
  <c r="CD22" i="10"/>
  <c r="CE22" i="10"/>
  <c r="CF22" i="10"/>
  <c r="CG22" i="10"/>
  <c r="CH22" i="10"/>
  <c r="CI22" i="10"/>
  <c r="CC23" i="10"/>
  <c r="CD23" i="10"/>
  <c r="CE23" i="10"/>
  <c r="CF23" i="10"/>
  <c r="CG23" i="10"/>
  <c r="CH23" i="10"/>
  <c r="CI23" i="10"/>
  <c r="CC24" i="10"/>
  <c r="CD24" i="10"/>
  <c r="CE24" i="10"/>
  <c r="CF24" i="10"/>
  <c r="CG24" i="10"/>
  <c r="CH24" i="10"/>
  <c r="CI24" i="10"/>
  <c r="CC25" i="10"/>
  <c r="CD25" i="10"/>
  <c r="CE25" i="10"/>
  <c r="CF25" i="10"/>
  <c r="CG25" i="10"/>
  <c r="CH25" i="10"/>
  <c r="CI25" i="10"/>
  <c r="CG16" i="10"/>
  <c r="CF16" i="10"/>
  <c r="CD16" i="10"/>
  <c r="BL16" i="10"/>
  <c r="CF25" i="9"/>
  <c r="BL25" i="9"/>
  <c r="CF24" i="9"/>
  <c r="BL24" i="9"/>
  <c r="CF23" i="9"/>
  <c r="BL23" i="9"/>
  <c r="CF22" i="9"/>
  <c r="BL22" i="9"/>
  <c r="CF21" i="9"/>
  <c r="BL21" i="9"/>
  <c r="CF20" i="9"/>
  <c r="BL20" i="9"/>
  <c r="CF19" i="9"/>
  <c r="BL19" i="9"/>
  <c r="CF18" i="9"/>
  <c r="BL18" i="9"/>
  <c r="CF17" i="9"/>
  <c r="BL17" i="9"/>
  <c r="CF16" i="9"/>
  <c r="BL16" i="9"/>
  <c r="CC17" i="9"/>
  <c r="CD17" i="9"/>
  <c r="CE17" i="9"/>
  <c r="CG17" i="9"/>
  <c r="CH17" i="9"/>
  <c r="CI17" i="9"/>
  <c r="CC18" i="9"/>
  <c r="CD18" i="9"/>
  <c r="CE18" i="9"/>
  <c r="CG18" i="9"/>
  <c r="CH18" i="9"/>
  <c r="CI18" i="9"/>
  <c r="CC19" i="9"/>
  <c r="CD19" i="9"/>
  <c r="CE19" i="9"/>
  <c r="CG19" i="9"/>
  <c r="CH19" i="9"/>
  <c r="CI19" i="9"/>
  <c r="CC20" i="9"/>
  <c r="CD20" i="9"/>
  <c r="CE20" i="9"/>
  <c r="CG20" i="9"/>
  <c r="CH20" i="9"/>
  <c r="CI20" i="9"/>
  <c r="CC21" i="9"/>
  <c r="CD21" i="9"/>
  <c r="CE21" i="9"/>
  <c r="CG21" i="9"/>
  <c r="CH21" i="9"/>
  <c r="CI21" i="9"/>
  <c r="CC22" i="9"/>
  <c r="CD22" i="9"/>
  <c r="CE22" i="9"/>
  <c r="CG22" i="9"/>
  <c r="CH22" i="9"/>
  <c r="CI22" i="9"/>
  <c r="CC23" i="9"/>
  <c r="CD23" i="9"/>
  <c r="CE23" i="9"/>
  <c r="CG23" i="9"/>
  <c r="CH23" i="9"/>
  <c r="CI23" i="9"/>
  <c r="CC24" i="9"/>
  <c r="CD24" i="9"/>
  <c r="CE24" i="9"/>
  <c r="CG24" i="9"/>
  <c r="CH24" i="9"/>
  <c r="CI24" i="9"/>
  <c r="CC25" i="9"/>
  <c r="CD25" i="9"/>
  <c r="CE25" i="9"/>
  <c r="CG25" i="9"/>
  <c r="CH25" i="9"/>
  <c r="CI25" i="9"/>
  <c r="F28" i="10"/>
  <c r="G28" i="10" s="1"/>
  <c r="EO25" i="10"/>
  <c r="EN25" i="10"/>
  <c r="EM25" i="10"/>
  <c r="EL25" i="10"/>
  <c r="EK25" i="10"/>
  <c r="EJ25" i="10"/>
  <c r="EI25" i="10"/>
  <c r="EH25" i="10"/>
  <c r="EG25" i="10"/>
  <c r="EE25" i="10"/>
  <c r="DS25" i="10"/>
  <c r="DM25" i="10"/>
  <c r="DF25" i="10"/>
  <c r="CK25" i="10"/>
  <c r="CJ25" i="10"/>
  <c r="AP25" i="10"/>
  <c r="BR25" i="10"/>
  <c r="AO25" i="10"/>
  <c r="Z25" i="10"/>
  <c r="Y25" i="10"/>
  <c r="W25" i="10"/>
  <c r="V25" i="10"/>
  <c r="U25" i="10"/>
  <c r="S25" i="10"/>
  <c r="EO24" i="10"/>
  <c r="EN24" i="10"/>
  <c r="EM24" i="10"/>
  <c r="EL24" i="10"/>
  <c r="EK24" i="10"/>
  <c r="EJ24" i="10"/>
  <c r="EI24" i="10"/>
  <c r="EH24" i="10"/>
  <c r="EG24" i="10"/>
  <c r="EE24" i="10"/>
  <c r="DZ24" i="10"/>
  <c r="DS24" i="10"/>
  <c r="DM24" i="10"/>
  <c r="DF24" i="10"/>
  <c r="DA24" i="10"/>
  <c r="CK24" i="10"/>
  <c r="CJ24" i="10"/>
  <c r="AO24" i="10"/>
  <c r="W24" i="10" s="1"/>
  <c r="Z24" i="10"/>
  <c r="Y24" i="10"/>
  <c r="V24" i="10"/>
  <c r="U24" i="10"/>
  <c r="S24" i="10"/>
  <c r="EO23" i="10"/>
  <c r="EN23" i="10"/>
  <c r="EM23" i="10"/>
  <c r="EL23" i="10"/>
  <c r="EK23" i="10"/>
  <c r="EJ23" i="10"/>
  <c r="EI23" i="10"/>
  <c r="EH23" i="10"/>
  <c r="EG23" i="10"/>
  <c r="EE23" i="10"/>
  <c r="DS23" i="10"/>
  <c r="DM23" i="10"/>
  <c r="DZ23" i="10" s="1"/>
  <c r="DF23" i="10"/>
  <c r="CK23" i="10"/>
  <c r="CJ23" i="10"/>
  <c r="AO23" i="10"/>
  <c r="W23" i="10" s="1"/>
  <c r="Z23" i="10"/>
  <c r="Y23" i="10"/>
  <c r="U23" i="10"/>
  <c r="S23" i="10"/>
  <c r="EO22" i="10"/>
  <c r="EN22" i="10"/>
  <c r="EM22" i="10"/>
  <c r="EL22" i="10"/>
  <c r="EK22" i="10"/>
  <c r="EJ22" i="10"/>
  <c r="EI22" i="10"/>
  <c r="EH22" i="10"/>
  <c r="EG22" i="10"/>
  <c r="EE22" i="10"/>
  <c r="DS22" i="10"/>
  <c r="DM22" i="10"/>
  <c r="DF22" i="10"/>
  <c r="DA22" i="10"/>
  <c r="CK22" i="10"/>
  <c r="CJ22" i="10"/>
  <c r="AP22" i="10"/>
  <c r="AO22" i="10"/>
  <c r="W22" i="10" s="1"/>
  <c r="Z22" i="10"/>
  <c r="Y22" i="10"/>
  <c r="V22" i="10"/>
  <c r="U22" i="10"/>
  <c r="S22" i="10"/>
  <c r="EO21" i="10"/>
  <c r="EN21" i="10"/>
  <c r="EM21" i="10"/>
  <c r="EL21" i="10"/>
  <c r="EK21" i="10"/>
  <c r="EJ21" i="10"/>
  <c r="EI21" i="10"/>
  <c r="EH21" i="10"/>
  <c r="EG21" i="10"/>
  <c r="EE21" i="10"/>
  <c r="DS21" i="10"/>
  <c r="DM21" i="10"/>
  <c r="DF21" i="10"/>
  <c r="DA21" i="10"/>
  <c r="CK21" i="10"/>
  <c r="CJ21" i="10"/>
  <c r="AO21" i="10"/>
  <c r="Z21" i="10"/>
  <c r="Y21" i="10"/>
  <c r="U21" i="10"/>
  <c r="S21" i="10"/>
  <c r="EO20" i="10"/>
  <c r="EN20" i="10"/>
  <c r="EM20" i="10"/>
  <c r="EL20" i="10"/>
  <c r="EK20" i="10"/>
  <c r="EJ20" i="10"/>
  <c r="EI20" i="10"/>
  <c r="EH20" i="10"/>
  <c r="EG20" i="10"/>
  <c r="EE20" i="10"/>
  <c r="DZ20" i="10"/>
  <c r="DS20" i="10"/>
  <c r="DM20" i="10"/>
  <c r="DF20" i="10"/>
  <c r="DA20" i="10"/>
  <c r="CK20" i="10"/>
  <c r="CJ20" i="10"/>
  <c r="BR20" i="10"/>
  <c r="BS20" i="10" s="1"/>
  <c r="AP20" i="10"/>
  <c r="AO20" i="10"/>
  <c r="W20" i="10" s="1"/>
  <c r="Z20" i="10"/>
  <c r="Y20" i="10"/>
  <c r="V20" i="10"/>
  <c r="U20" i="10"/>
  <c r="S20" i="10"/>
  <c r="EO19" i="10"/>
  <c r="EN19" i="10"/>
  <c r="EM19" i="10"/>
  <c r="EL19" i="10"/>
  <c r="EK19" i="10"/>
  <c r="EJ19" i="10"/>
  <c r="EI19" i="10"/>
  <c r="EH19" i="10"/>
  <c r="EG19" i="10"/>
  <c r="EE19" i="10"/>
  <c r="DS19" i="10"/>
  <c r="DM19" i="10"/>
  <c r="DF19" i="10"/>
  <c r="CK19" i="10"/>
  <c r="CJ19" i="10"/>
  <c r="AO19" i="10"/>
  <c r="V19" i="10" s="1"/>
  <c r="Z19" i="10"/>
  <c r="Y19" i="10"/>
  <c r="W19" i="10"/>
  <c r="U19" i="10"/>
  <c r="S19" i="10"/>
  <c r="EO18" i="10"/>
  <c r="EN18" i="10"/>
  <c r="EM18" i="10"/>
  <c r="EL18" i="10"/>
  <c r="EV18" i="10" s="1"/>
  <c r="EK18" i="10"/>
  <c r="EJ18" i="10"/>
  <c r="EI18" i="10"/>
  <c r="EH18" i="10"/>
  <c r="EP18" i="10" s="1"/>
  <c r="ER18" i="10" s="1"/>
  <c r="EG18" i="10"/>
  <c r="EE18" i="10"/>
  <c r="DZ18" i="10"/>
  <c r="DS18" i="10"/>
  <c r="DM18" i="10"/>
  <c r="DF18" i="10"/>
  <c r="CK18" i="10"/>
  <c r="CJ18" i="10"/>
  <c r="AO18" i="10"/>
  <c r="W18" i="10" s="1"/>
  <c r="Z18" i="10"/>
  <c r="Y18" i="10"/>
  <c r="U18" i="10"/>
  <c r="S18" i="10"/>
  <c r="EO17" i="10"/>
  <c r="EN17" i="10"/>
  <c r="EM17" i="10"/>
  <c r="EL17" i="10"/>
  <c r="EK17" i="10"/>
  <c r="EJ17" i="10"/>
  <c r="EI17" i="10"/>
  <c r="EH17" i="10"/>
  <c r="EG17" i="10"/>
  <c r="EE17" i="10"/>
  <c r="DS17" i="10"/>
  <c r="DM17" i="10"/>
  <c r="DZ17" i="10" s="1"/>
  <c r="DF17" i="10"/>
  <c r="DA17" i="10"/>
  <c r="CK17" i="10"/>
  <c r="CJ17" i="10"/>
  <c r="AP17" i="10"/>
  <c r="AO17" i="10"/>
  <c r="W17" i="10" s="1"/>
  <c r="Z17" i="10"/>
  <c r="Y17" i="10"/>
  <c r="U17" i="10"/>
  <c r="S17" i="10"/>
  <c r="EO16" i="10"/>
  <c r="EN16" i="10"/>
  <c r="EM16" i="10"/>
  <c r="EL16" i="10"/>
  <c r="EK16" i="10"/>
  <c r="EJ16" i="10"/>
  <c r="EI16" i="10"/>
  <c r="EH16" i="10"/>
  <c r="EG16" i="10"/>
  <c r="EE16" i="10"/>
  <c r="DS16" i="10"/>
  <c r="DM16" i="10"/>
  <c r="DF16" i="10"/>
  <c r="CK16" i="10"/>
  <c r="CJ16" i="10"/>
  <c r="CI16" i="10"/>
  <c r="CH16" i="10"/>
  <c r="CE16" i="10"/>
  <c r="CC16" i="10"/>
  <c r="BQ16" i="10"/>
  <c r="BP16" i="10"/>
  <c r="BO16" i="10"/>
  <c r="BN16" i="10"/>
  <c r="BM16" i="10"/>
  <c r="BK16" i="10"/>
  <c r="BJ16" i="10"/>
  <c r="BI16" i="10"/>
  <c r="AP16" i="10"/>
  <c r="AO16" i="10"/>
  <c r="Z16" i="10"/>
  <c r="Y16" i="10"/>
  <c r="W16" i="10"/>
  <c r="V16" i="10"/>
  <c r="U16" i="10"/>
  <c r="S16" i="10"/>
  <c r="DA12" i="10"/>
  <c r="DB11" i="10"/>
  <c r="DA11" i="10"/>
  <c r="BR20" i="9"/>
  <c r="BS20" i="9" s="1"/>
  <c r="BI20" i="9"/>
  <c r="CL16" i="9"/>
  <c r="CQ16" i="9" s="1"/>
  <c r="CX16" i="2"/>
  <c r="CW16" i="2"/>
  <c r="AV16" i="2"/>
  <c r="AP24" i="10" l="1"/>
  <c r="CL24" i="10"/>
  <c r="BU25" i="10"/>
  <c r="BX25" i="10"/>
  <c r="BY25" i="10"/>
  <c r="BW20" i="9"/>
  <c r="CW20" i="10"/>
  <c r="DQ20" i="10"/>
  <c r="EX18" i="10"/>
  <c r="BR17" i="10"/>
  <c r="BU17" i="10" s="1"/>
  <c r="CL16" i="10"/>
  <c r="CQ17" i="10"/>
  <c r="DA16" i="10"/>
  <c r="DZ16" i="10"/>
  <c r="AP18" i="10"/>
  <c r="EY18" i="10"/>
  <c r="EQ18" i="10"/>
  <c r="EU18" i="10"/>
  <c r="BR16" i="10"/>
  <c r="ET18" i="10"/>
  <c r="AP23" i="10"/>
  <c r="DA25" i="10"/>
  <c r="DZ25" i="10"/>
  <c r="BR23" i="10"/>
  <c r="EU24" i="10"/>
  <c r="V17" i="10"/>
  <c r="V18" i="10"/>
  <c r="BT20" i="10"/>
  <c r="CT23" i="10"/>
  <c r="EW23" i="10"/>
  <c r="CT24" i="10"/>
  <c r="CS24" i="10"/>
  <c r="CA25" i="10"/>
  <c r="BS25" i="10"/>
  <c r="BZ25" i="10"/>
  <c r="BW25" i="10"/>
  <c r="BT25" i="10"/>
  <c r="EV25" i="10"/>
  <c r="ET24" i="10"/>
  <c r="BZ20" i="10"/>
  <c r="BY20" i="10"/>
  <c r="BV20" i="10"/>
  <c r="EP16" i="10"/>
  <c r="EW18" i="10"/>
  <c r="CL19" i="10"/>
  <c r="BU20" i="10"/>
  <c r="CA20" i="10"/>
  <c r="BR22" i="10"/>
  <c r="BV22" i="10" s="1"/>
  <c r="BV23" i="10"/>
  <c r="CU23" i="10"/>
  <c r="EW25" i="10"/>
  <c r="CR21" i="10"/>
  <c r="BR18" i="10"/>
  <c r="BU18" i="10" s="1"/>
  <c r="DA19" i="10"/>
  <c r="DZ19" i="10"/>
  <c r="EX19" i="10"/>
  <c r="CL21" i="10"/>
  <c r="CP21" i="10" s="1"/>
  <c r="CT22" i="10"/>
  <c r="EP23" i="10"/>
  <c r="EU23" i="10" s="1"/>
  <c r="CO24" i="10"/>
  <c r="CU24" i="10"/>
  <c r="BV25" i="10"/>
  <c r="CL18" i="10"/>
  <c r="AP19" i="10"/>
  <c r="EP19" i="10"/>
  <c r="EY19" i="10"/>
  <c r="BW20" i="10"/>
  <c r="CO21" i="10"/>
  <c r="CL22" i="10"/>
  <c r="CU22" i="10" s="1"/>
  <c r="EQ24" i="10"/>
  <c r="EY24" i="10"/>
  <c r="EQ25" i="10"/>
  <c r="CL17" i="10"/>
  <c r="CT17" i="10" s="1"/>
  <c r="EP17" i="10"/>
  <c r="EY17" i="10" s="1"/>
  <c r="CM18" i="10"/>
  <c r="BR19" i="10"/>
  <c r="BW19" i="10" s="1"/>
  <c r="BX20" i="10"/>
  <c r="W21" i="10"/>
  <c r="V21" i="10"/>
  <c r="EP21" i="10"/>
  <c r="EU21" i="10" s="1"/>
  <c r="EX22" i="10"/>
  <c r="EP24" i="10"/>
  <c r="CO25" i="10"/>
  <c r="BV18" i="10"/>
  <c r="DA18" i="10"/>
  <c r="ES18" i="10"/>
  <c r="ES19" i="10"/>
  <c r="ER21" i="10"/>
  <c r="CQ23" i="10"/>
  <c r="ET23" i="10"/>
  <c r="AP21" i="10"/>
  <c r="DZ21" i="10"/>
  <c r="V23" i="10"/>
  <c r="DA23" i="10"/>
  <c r="BR21" i="10"/>
  <c r="BZ21" i="10" s="1"/>
  <c r="EP22" i="10"/>
  <c r="CL25" i="10"/>
  <c r="CT25" i="10" s="1"/>
  <c r="CL20" i="10"/>
  <c r="CU20" i="10" s="1"/>
  <c r="BR24" i="10"/>
  <c r="BS24" i="10" s="1"/>
  <c r="EP25" i="10"/>
  <c r="EY25" i="10" s="1"/>
  <c r="EP20" i="10"/>
  <c r="EV20" i="10" s="1"/>
  <c r="DZ22" i="10"/>
  <c r="CL23" i="10"/>
  <c r="CM23" i="10" s="1"/>
  <c r="BR16" i="9"/>
  <c r="BS16" i="9" s="1"/>
  <c r="BI16" i="9"/>
  <c r="DA16" i="9"/>
  <c r="CI16" i="9"/>
  <c r="CH16" i="9"/>
  <c r="CG16" i="9"/>
  <c r="CE16" i="9"/>
  <c r="CD16" i="9"/>
  <c r="CC16" i="9"/>
  <c r="BI17" i="9"/>
  <c r="BJ17" i="9"/>
  <c r="BK17" i="9"/>
  <c r="BM17" i="9"/>
  <c r="BN17" i="9"/>
  <c r="BO17" i="9"/>
  <c r="BP17" i="9"/>
  <c r="BQ17" i="9"/>
  <c r="BI18" i="9"/>
  <c r="BJ18" i="9"/>
  <c r="BK18" i="9"/>
  <c r="BM18" i="9"/>
  <c r="BN18" i="9"/>
  <c r="BO18" i="9"/>
  <c r="BP18" i="9"/>
  <c r="BQ18" i="9"/>
  <c r="BI19" i="9"/>
  <c r="BJ19" i="9"/>
  <c r="BK19" i="9"/>
  <c r="BM19" i="9"/>
  <c r="BN19" i="9"/>
  <c r="BO19" i="9"/>
  <c r="BP19" i="9"/>
  <c r="BQ19" i="9"/>
  <c r="BJ20" i="9"/>
  <c r="BK20" i="9"/>
  <c r="BM20" i="9"/>
  <c r="BN20" i="9"/>
  <c r="BO20" i="9"/>
  <c r="BP20" i="9"/>
  <c r="BQ20" i="9"/>
  <c r="BI21" i="9"/>
  <c r="BJ21" i="9"/>
  <c r="BK21" i="9"/>
  <c r="BM21" i="9"/>
  <c r="BN21" i="9"/>
  <c r="BO21" i="9"/>
  <c r="BP21" i="9"/>
  <c r="BQ21" i="9"/>
  <c r="BI22" i="9"/>
  <c r="BJ22" i="9"/>
  <c r="BK22" i="9"/>
  <c r="BM22" i="9"/>
  <c r="BN22" i="9"/>
  <c r="BO22" i="9"/>
  <c r="BP22" i="9"/>
  <c r="BQ22" i="9"/>
  <c r="BI23" i="9"/>
  <c r="BJ23" i="9"/>
  <c r="BK23" i="9"/>
  <c r="BM23" i="9"/>
  <c r="BN23" i="9"/>
  <c r="BO23" i="9"/>
  <c r="BP23" i="9"/>
  <c r="BQ23" i="9"/>
  <c r="BI24" i="9"/>
  <c r="BJ24" i="9"/>
  <c r="BK24" i="9"/>
  <c r="BM24" i="9"/>
  <c r="BN24" i="9"/>
  <c r="BO24" i="9"/>
  <c r="BP24" i="9"/>
  <c r="BQ24" i="9"/>
  <c r="BI25" i="9"/>
  <c r="BJ25" i="9"/>
  <c r="BK25" i="9"/>
  <c r="BM25" i="9"/>
  <c r="BN25" i="9"/>
  <c r="BO25" i="9"/>
  <c r="BP25" i="9"/>
  <c r="BQ25" i="9"/>
  <c r="BQ16" i="9"/>
  <c r="BP16" i="9"/>
  <c r="BO16" i="9"/>
  <c r="BN16" i="9"/>
  <c r="BM16" i="9"/>
  <c r="BK16" i="9"/>
  <c r="BJ16" i="9"/>
  <c r="DM16" i="9"/>
  <c r="CB20" i="10" l="1"/>
  <c r="CA19" i="10"/>
  <c r="BS19" i="10"/>
  <c r="CW19" i="10" s="1"/>
  <c r="CA17" i="10"/>
  <c r="DP25" i="10"/>
  <c r="BY18" i="10"/>
  <c r="BS17" i="10"/>
  <c r="CW17" i="10" s="1"/>
  <c r="CN24" i="10"/>
  <c r="CM24" i="10"/>
  <c r="CS17" i="10"/>
  <c r="CN17" i="10"/>
  <c r="CQ24" i="10"/>
  <c r="CP24" i="10"/>
  <c r="CR24" i="10"/>
  <c r="BZ19" i="10"/>
  <c r="BU21" i="10"/>
  <c r="BY21" i="10"/>
  <c r="CX25" i="10"/>
  <c r="BV16" i="9"/>
  <c r="CW24" i="10"/>
  <c r="DQ24" i="10"/>
  <c r="ER16" i="10"/>
  <c r="ES16" i="10"/>
  <c r="EV16" i="10"/>
  <c r="EU16" i="10"/>
  <c r="BT16" i="10"/>
  <c r="BS16" i="10"/>
  <c r="CA16" i="10"/>
  <c r="BW16" i="10"/>
  <c r="BV16" i="10"/>
  <c r="BZ16" i="10"/>
  <c r="EY20" i="10"/>
  <c r="DR25" i="10"/>
  <c r="AU25" i="10"/>
  <c r="BT24" i="10"/>
  <c r="DQ17" i="10"/>
  <c r="CV25" i="10"/>
  <c r="CN18" i="10"/>
  <c r="CR18" i="10"/>
  <c r="CO18" i="10"/>
  <c r="CS19" i="10"/>
  <c r="CO19" i="10"/>
  <c r="CR19" i="10"/>
  <c r="BY23" i="10"/>
  <c r="BX23" i="10"/>
  <c r="BU23" i="10"/>
  <c r="BZ23" i="10"/>
  <c r="BV19" i="10"/>
  <c r="CR16" i="10"/>
  <c r="CQ16" i="10"/>
  <c r="CU16" i="10"/>
  <c r="CM16" i="10"/>
  <c r="CT16" i="10"/>
  <c r="EW24" i="10"/>
  <c r="EV24" i="10"/>
  <c r="ES24" i="10"/>
  <c r="X24" i="10" s="1"/>
  <c r="EX24" i="10"/>
  <c r="CV20" i="10"/>
  <c r="DP20" i="10"/>
  <c r="BX24" i="10"/>
  <c r="BS18" i="10"/>
  <c r="BT18" i="10"/>
  <c r="DO18" i="10" s="1"/>
  <c r="CA18" i="10"/>
  <c r="BX18" i="10"/>
  <c r="BW18" i="10"/>
  <c r="CO23" i="10"/>
  <c r="CN23" i="10"/>
  <c r="CS23" i="10"/>
  <c r="CP23" i="10"/>
  <c r="EU22" i="10"/>
  <c r="ET22" i="10"/>
  <c r="EY22" i="10"/>
  <c r="EQ22" i="10"/>
  <c r="EV22" i="10"/>
  <c r="CO22" i="10"/>
  <c r="ER24" i="10"/>
  <c r="CQ19" i="10"/>
  <c r="CP22" i="10"/>
  <c r="EW22" i="10"/>
  <c r="EV19" i="10"/>
  <c r="ER19" i="10"/>
  <c r="EW19" i="10"/>
  <c r="EU19" i="10"/>
  <c r="DO25" i="10"/>
  <c r="EV21" i="10"/>
  <c r="BZ18" i="10"/>
  <c r="ER22" i="10"/>
  <c r="ES22" i="10"/>
  <c r="EX16" i="10"/>
  <c r="EW16" i="10"/>
  <c r="BX16" i="10"/>
  <c r="BV24" i="10"/>
  <c r="BU24" i="10"/>
  <c r="BZ24" i="10"/>
  <c r="BW24" i="10"/>
  <c r="EY16" i="10"/>
  <c r="CP20" i="10"/>
  <c r="CO20" i="10"/>
  <c r="CT20" i="10"/>
  <c r="CQ20" i="10"/>
  <c r="EX17" i="10"/>
  <c r="ET17" i="10"/>
  <c r="ES17" i="10"/>
  <c r="CN20" i="10"/>
  <c r="CU21" i="10"/>
  <c r="CM21" i="10"/>
  <c r="CT21" i="10"/>
  <c r="CQ21" i="10"/>
  <c r="CN21" i="10"/>
  <c r="CX20" i="10"/>
  <c r="DO20" i="10"/>
  <c r="CA24" i="10"/>
  <c r="EQ16" i="10"/>
  <c r="CQ25" i="10"/>
  <c r="CP25" i="10"/>
  <c r="CU25" i="10"/>
  <c r="CM25" i="10"/>
  <c r="CR25" i="10"/>
  <c r="EQ20" i="10"/>
  <c r="ER17" i="10"/>
  <c r="DR20" i="10"/>
  <c r="AU20" i="10"/>
  <c r="CT18" i="10"/>
  <c r="CU19" i="10"/>
  <c r="EZ18" i="10"/>
  <c r="X18" i="10"/>
  <c r="CP18" i="10"/>
  <c r="BV17" i="10"/>
  <c r="BW17" i="10"/>
  <c r="BZ17" i="10"/>
  <c r="BY17" i="10"/>
  <c r="CO16" i="10"/>
  <c r="EX21" i="10"/>
  <c r="EW21" i="10"/>
  <c r="ET21" i="10"/>
  <c r="EQ21" i="10"/>
  <c r="EY21" i="10"/>
  <c r="CU17" i="10"/>
  <c r="CM17" i="10"/>
  <c r="CP17" i="10"/>
  <c r="CO17" i="10"/>
  <c r="BT22" i="10"/>
  <c r="CA22" i="10"/>
  <c r="BS22" i="10"/>
  <c r="BX22" i="10"/>
  <c r="BU22" i="10"/>
  <c r="CA23" i="10"/>
  <c r="CW25" i="10"/>
  <c r="DQ25" i="10"/>
  <c r="CB25" i="10"/>
  <c r="BZ22" i="10"/>
  <c r="CM19" i="10"/>
  <c r="BT23" i="10"/>
  <c r="ET16" i="10"/>
  <c r="EW17" i="10"/>
  <c r="BX17" i="10"/>
  <c r="CP16" i="10"/>
  <c r="BW21" i="10"/>
  <c r="BV21" i="10"/>
  <c r="CA21" i="10"/>
  <c r="BS21" i="10"/>
  <c r="BX21" i="10"/>
  <c r="BW22" i="10"/>
  <c r="BT19" i="10"/>
  <c r="EQ19" i="10"/>
  <c r="CM20" i="10"/>
  <c r="ET19" i="10"/>
  <c r="BT21" i="10"/>
  <c r="CX21" i="10" s="1"/>
  <c r="EV17" i="10"/>
  <c r="BY22" i="10"/>
  <c r="CR23" i="10"/>
  <c r="EQ17" i="10"/>
  <c r="CN19" i="10"/>
  <c r="BT17" i="10"/>
  <c r="CX17" i="10" s="1"/>
  <c r="BU16" i="10"/>
  <c r="ES20" i="10"/>
  <c r="ER20" i="10"/>
  <c r="EW20" i="10"/>
  <c r="ET20" i="10"/>
  <c r="BU19" i="10"/>
  <c r="BY19" i="10"/>
  <c r="BX19" i="10"/>
  <c r="X25" i="10"/>
  <c r="CR22" i="10"/>
  <c r="CQ22" i="10"/>
  <c r="CN22" i="10"/>
  <c r="CS22" i="10"/>
  <c r="ER23" i="10"/>
  <c r="EY23" i="10"/>
  <c r="EQ23" i="10"/>
  <c r="EV23" i="10"/>
  <c r="ES23" i="10"/>
  <c r="CS21" i="10"/>
  <c r="BY16" i="10"/>
  <c r="EU17" i="10"/>
  <c r="CN16" i="10"/>
  <c r="ET25" i="10"/>
  <c r="ES25" i="10"/>
  <c r="EX25" i="10"/>
  <c r="EU25" i="10"/>
  <c r="EZ25" i="10" s="1"/>
  <c r="ER25" i="10"/>
  <c r="BY24" i="10"/>
  <c r="EX20" i="10"/>
  <c r="CN25" i="10"/>
  <c r="CM22" i="10"/>
  <c r="CP19" i="10"/>
  <c r="BW23" i="10"/>
  <c r="BS23" i="10"/>
  <c r="EX23" i="10"/>
  <c r="EU20" i="10"/>
  <c r="CS25" i="10"/>
  <c r="CS20" i="10"/>
  <c r="CR20" i="10"/>
  <c r="ES21" i="10"/>
  <c r="CS16" i="10"/>
  <c r="CQ18" i="10"/>
  <c r="CU18" i="10"/>
  <c r="CT19" i="10"/>
  <c r="CR17" i="10"/>
  <c r="CS18" i="10"/>
  <c r="F28" i="9"/>
  <c r="G28" i="9" s="1"/>
  <c r="EO25" i="9"/>
  <c r="EN25" i="9"/>
  <c r="EM25" i="9"/>
  <c r="EL25" i="9"/>
  <c r="EK25" i="9"/>
  <c r="EJ25" i="9"/>
  <c r="EI25" i="9"/>
  <c r="EH25" i="9"/>
  <c r="EG25" i="9"/>
  <c r="EE25" i="9"/>
  <c r="DS25" i="9"/>
  <c r="DM25" i="9"/>
  <c r="DZ25" i="9" s="1"/>
  <c r="DF25" i="9"/>
  <c r="CK25" i="9"/>
  <c r="CJ25" i="9"/>
  <c r="AO25" i="9"/>
  <c r="Z25" i="9"/>
  <c r="Y25" i="9"/>
  <c r="W25" i="9"/>
  <c r="V25" i="9"/>
  <c r="U25" i="9"/>
  <c r="S25" i="9"/>
  <c r="EO24" i="9"/>
  <c r="EN24" i="9"/>
  <c r="EM24" i="9"/>
  <c r="EL24" i="9"/>
  <c r="EK24" i="9"/>
  <c r="EJ24" i="9"/>
  <c r="EI24" i="9"/>
  <c r="EH24" i="9"/>
  <c r="EG24" i="9"/>
  <c r="EE24" i="9"/>
  <c r="DZ24" i="9"/>
  <c r="DS24" i="9"/>
  <c r="DM24" i="9"/>
  <c r="DF24" i="9"/>
  <c r="DA24" i="9"/>
  <c r="CK24" i="9"/>
  <c r="CJ24" i="9"/>
  <c r="BR24" i="9"/>
  <c r="BT24" i="9" s="1"/>
  <c r="AO24" i="9"/>
  <c r="Z24" i="9"/>
  <c r="Y24" i="9"/>
  <c r="U24" i="9"/>
  <c r="S24" i="9"/>
  <c r="EO23" i="9"/>
  <c r="EN23" i="9"/>
  <c r="EM23" i="9"/>
  <c r="EL23" i="9"/>
  <c r="EK23" i="9"/>
  <c r="EJ23" i="9"/>
  <c r="EI23" i="9"/>
  <c r="EH23" i="9"/>
  <c r="EG23" i="9"/>
  <c r="EE23" i="9"/>
  <c r="DS23" i="9"/>
  <c r="DM23" i="9"/>
  <c r="DZ23" i="9" s="1"/>
  <c r="DF23" i="9"/>
  <c r="CK23" i="9"/>
  <c r="CJ23" i="9"/>
  <c r="CL23" i="9"/>
  <c r="CM23" i="9" s="1"/>
  <c r="BR23" i="9"/>
  <c r="BZ23" i="9" s="1"/>
  <c r="AO23" i="9"/>
  <c r="Z23" i="9"/>
  <c r="Y23" i="9"/>
  <c r="W23" i="9"/>
  <c r="V23" i="9"/>
  <c r="U23" i="9"/>
  <c r="S23" i="9"/>
  <c r="EO22" i="9"/>
  <c r="EN22" i="9"/>
  <c r="EM22" i="9"/>
  <c r="EL22" i="9"/>
  <c r="EK22" i="9"/>
  <c r="EJ22" i="9"/>
  <c r="EI22" i="9"/>
  <c r="EH22" i="9"/>
  <c r="EG22" i="9"/>
  <c r="EE22" i="9"/>
  <c r="DZ22" i="9"/>
  <c r="DS22" i="9"/>
  <c r="DM22" i="9"/>
  <c r="DF22" i="9"/>
  <c r="DA22" i="9"/>
  <c r="CK22" i="9"/>
  <c r="CJ22" i="9"/>
  <c r="AP22" i="9"/>
  <c r="AO22" i="9"/>
  <c r="Z22" i="9"/>
  <c r="Y22" i="9"/>
  <c r="U22" i="9"/>
  <c r="S22" i="9"/>
  <c r="EO21" i="9"/>
  <c r="EN21" i="9"/>
  <c r="EM21" i="9"/>
  <c r="EL21" i="9"/>
  <c r="EK21" i="9"/>
  <c r="EJ21" i="9"/>
  <c r="EI21" i="9"/>
  <c r="EH21" i="9"/>
  <c r="EG21" i="9"/>
  <c r="EE21" i="9"/>
  <c r="DS21" i="9"/>
  <c r="DM21" i="9"/>
  <c r="DZ21" i="9" s="1"/>
  <c r="DF21" i="9"/>
  <c r="CK21" i="9"/>
  <c r="CJ21" i="9"/>
  <c r="CL21" i="9"/>
  <c r="CN21" i="9" s="1"/>
  <c r="BZ21" i="9"/>
  <c r="BR21" i="9"/>
  <c r="AO21" i="9"/>
  <c r="Z21" i="9"/>
  <c r="Y21" i="9"/>
  <c r="W21" i="9"/>
  <c r="V21" i="9"/>
  <c r="U21" i="9"/>
  <c r="S21" i="9"/>
  <c r="EO20" i="9"/>
  <c r="EN20" i="9"/>
  <c r="EM20" i="9"/>
  <c r="EL20" i="9"/>
  <c r="EK20" i="9"/>
  <c r="EJ20" i="9"/>
  <c r="EI20" i="9"/>
  <c r="EH20" i="9"/>
  <c r="EG20" i="9"/>
  <c r="EE20" i="9"/>
  <c r="DZ20" i="9"/>
  <c r="DS20" i="9"/>
  <c r="DM20" i="9"/>
  <c r="DF20" i="9"/>
  <c r="DA20" i="9"/>
  <c r="CK20" i="9"/>
  <c r="CJ20" i="9"/>
  <c r="CL20" i="9"/>
  <c r="CN20" i="9" s="1"/>
  <c r="AP20" i="9"/>
  <c r="AO20" i="9"/>
  <c r="Z20" i="9"/>
  <c r="Y20" i="9"/>
  <c r="U20" i="9"/>
  <c r="S20" i="9"/>
  <c r="EO19" i="9"/>
  <c r="EN19" i="9"/>
  <c r="EM19" i="9"/>
  <c r="EL19" i="9"/>
  <c r="EK19" i="9"/>
  <c r="EJ19" i="9"/>
  <c r="EI19" i="9"/>
  <c r="EH19" i="9"/>
  <c r="EG19" i="9"/>
  <c r="EE19" i="9"/>
  <c r="DS19" i="9"/>
  <c r="DM19" i="9"/>
  <c r="DZ19" i="9" s="1"/>
  <c r="DF19" i="9"/>
  <c r="DA19" i="9"/>
  <c r="CK19" i="9"/>
  <c r="CJ19" i="9"/>
  <c r="AO19" i="9"/>
  <c r="Z19" i="9"/>
  <c r="Y19" i="9"/>
  <c r="W19" i="9"/>
  <c r="V19" i="9"/>
  <c r="U19" i="9"/>
  <c r="S19" i="9"/>
  <c r="EO18" i="9"/>
  <c r="EN18" i="9"/>
  <c r="EM18" i="9"/>
  <c r="EL18" i="9"/>
  <c r="EK18" i="9"/>
  <c r="EJ18" i="9"/>
  <c r="EI18" i="9"/>
  <c r="EH18" i="9"/>
  <c r="EG18" i="9"/>
  <c r="EE18" i="9"/>
  <c r="DZ18" i="9"/>
  <c r="DS18" i="9"/>
  <c r="DM18" i="9"/>
  <c r="DF18" i="9"/>
  <c r="DA18" i="9"/>
  <c r="CK18" i="9"/>
  <c r="CJ18" i="9"/>
  <c r="AP18" i="9"/>
  <c r="BR18" i="9"/>
  <c r="BV18" i="9" s="1"/>
  <c r="AO18" i="9"/>
  <c r="W18" i="9" s="1"/>
  <c r="Z18" i="9"/>
  <c r="Y18" i="9"/>
  <c r="V18" i="9"/>
  <c r="U18" i="9"/>
  <c r="S18" i="9"/>
  <c r="EO17" i="9"/>
  <c r="EN17" i="9"/>
  <c r="EM17" i="9"/>
  <c r="EL17" i="9"/>
  <c r="EK17" i="9"/>
  <c r="EJ17" i="9"/>
  <c r="EI17" i="9"/>
  <c r="EH17" i="9"/>
  <c r="EG17" i="9"/>
  <c r="EE17" i="9"/>
  <c r="DZ17" i="9"/>
  <c r="DS17" i="9"/>
  <c r="DM17" i="9"/>
  <c r="DF17" i="9"/>
  <c r="DA17" i="9"/>
  <c r="CL17" i="9"/>
  <c r="CT17" i="9" s="1"/>
  <c r="CK17" i="9"/>
  <c r="CJ17" i="9"/>
  <c r="CR17" i="9"/>
  <c r="AP17" i="9"/>
  <c r="AO17" i="9"/>
  <c r="W17" i="9" s="1"/>
  <c r="Z17" i="9"/>
  <c r="Y17" i="9"/>
  <c r="V17" i="9"/>
  <c r="U17" i="9"/>
  <c r="S17" i="9"/>
  <c r="EO16" i="9"/>
  <c r="EN16" i="9"/>
  <c r="EM16" i="9"/>
  <c r="EL16" i="9"/>
  <c r="EK16" i="9"/>
  <c r="EJ16" i="9"/>
  <c r="EI16" i="9"/>
  <c r="EH16" i="9"/>
  <c r="EG16" i="9"/>
  <c r="EE16" i="9"/>
  <c r="DS16" i="9"/>
  <c r="DF16" i="9"/>
  <c r="CK16" i="9"/>
  <c r="CJ16" i="9"/>
  <c r="AP16" i="9"/>
  <c r="AO16" i="9"/>
  <c r="V16" i="9" s="1"/>
  <c r="Z16" i="9"/>
  <c r="Y16" i="9"/>
  <c r="U16" i="9"/>
  <c r="S16" i="9"/>
  <c r="DA12" i="9"/>
  <c r="DB11" i="9"/>
  <c r="DA11" i="9"/>
  <c r="AS16" i="2"/>
  <c r="F28" i="2"/>
  <c r="G28" i="2" s="1"/>
  <c r="F16" i="2"/>
  <c r="AU16" i="2"/>
  <c r="W16" i="2"/>
  <c r="AR19" i="10" l="1"/>
  <c r="DN19" i="10" s="1"/>
  <c r="AR18" i="10"/>
  <c r="DN18" i="10" s="1"/>
  <c r="DQ19" i="10"/>
  <c r="DR19" i="10"/>
  <c r="DO21" i="10"/>
  <c r="AR24" i="10"/>
  <c r="DN24" i="10" s="1"/>
  <c r="AR25" i="10"/>
  <c r="DN25" i="10" s="1"/>
  <c r="AR20" i="10"/>
  <c r="DN20" i="10" s="1"/>
  <c r="AR21" i="10"/>
  <c r="DN21" i="10" s="1"/>
  <c r="CX18" i="10"/>
  <c r="CB19" i="10"/>
  <c r="AR22" i="10"/>
  <c r="DN22" i="10" s="1"/>
  <c r="CP21" i="9"/>
  <c r="CP23" i="9"/>
  <c r="CN17" i="9"/>
  <c r="CO17" i="9"/>
  <c r="CQ17" i="9"/>
  <c r="DP21" i="10"/>
  <c r="CV21" i="10"/>
  <c r="DX20" i="10"/>
  <c r="AT20" i="10"/>
  <c r="EC20" i="10"/>
  <c r="BB20" i="10" s="1"/>
  <c r="CB21" i="10"/>
  <c r="CW21" i="10"/>
  <c r="DQ21" i="10"/>
  <c r="DG20" i="10"/>
  <c r="DH20" i="10" s="1"/>
  <c r="AY20" i="10" s="1"/>
  <c r="DB20" i="10"/>
  <c r="CV23" i="10"/>
  <c r="DP23" i="10"/>
  <c r="AU16" i="10"/>
  <c r="DR16" i="10"/>
  <c r="EC21" i="10"/>
  <c r="BB21" i="10" s="1"/>
  <c r="AT22" i="10"/>
  <c r="EC22" i="10"/>
  <c r="BB22" i="10" s="1"/>
  <c r="DX22" i="10"/>
  <c r="EZ17" i="10"/>
  <c r="X17" i="10"/>
  <c r="X19" i="10"/>
  <c r="EZ19" i="10"/>
  <c r="CV22" i="10"/>
  <c r="DP22" i="10"/>
  <c r="DR17" i="10"/>
  <c r="AU17" i="10"/>
  <c r="DV20" i="10"/>
  <c r="DW20" i="10" s="1"/>
  <c r="DT20" i="10"/>
  <c r="DU20" i="10" s="1"/>
  <c r="EZ16" i="10"/>
  <c r="AU24" i="10"/>
  <c r="DR24" i="10"/>
  <c r="AT21" i="10"/>
  <c r="DX23" i="10"/>
  <c r="AT23" i="10"/>
  <c r="EC23" i="10"/>
  <c r="BB23" i="10" s="1"/>
  <c r="CB22" i="10"/>
  <c r="CW22" i="10"/>
  <c r="DQ22" i="10"/>
  <c r="X21" i="10"/>
  <c r="EZ21" i="10"/>
  <c r="AU18" i="10"/>
  <c r="DR18" i="10"/>
  <c r="BB16" i="10"/>
  <c r="AT16" i="10"/>
  <c r="DX16" i="10"/>
  <c r="EC19" i="10"/>
  <c r="BB19" i="10" s="1"/>
  <c r="DX19" i="10"/>
  <c r="AT19" i="10"/>
  <c r="CB16" i="10"/>
  <c r="DQ16" i="10"/>
  <c r="CW16" i="10"/>
  <c r="DX21" i="10"/>
  <c r="EZ23" i="10"/>
  <c r="X23" i="10"/>
  <c r="AU21" i="10"/>
  <c r="DR21" i="10"/>
  <c r="EZ20" i="10"/>
  <c r="X20" i="10"/>
  <c r="DO24" i="10"/>
  <c r="CX24" i="10"/>
  <c r="AR23" i="10"/>
  <c r="DN23" i="10" s="1"/>
  <c r="CV18" i="10"/>
  <c r="DP18" i="10"/>
  <c r="DO17" i="10"/>
  <c r="CB17" i="10"/>
  <c r="EZ24" i="10"/>
  <c r="DP19" i="10"/>
  <c r="CV19" i="10"/>
  <c r="EC25" i="10"/>
  <c r="BB25" i="10" s="1"/>
  <c r="DX25" i="10"/>
  <c r="AT25" i="10"/>
  <c r="AU19" i="10"/>
  <c r="CW23" i="10"/>
  <c r="DQ23" i="10"/>
  <c r="CB23" i="10"/>
  <c r="AR16" i="10"/>
  <c r="DN16" i="10" s="1"/>
  <c r="DP16" i="10"/>
  <c r="CV16" i="10"/>
  <c r="DX17" i="10"/>
  <c r="AT17" i="10"/>
  <c r="EC17" i="10"/>
  <c r="BB17" i="10" s="1"/>
  <c r="CX19" i="10"/>
  <c r="DO19" i="10"/>
  <c r="CX16" i="10"/>
  <c r="DO16" i="10"/>
  <c r="DR22" i="10"/>
  <c r="AU22" i="10"/>
  <c r="CV17" i="10"/>
  <c r="DP17" i="10"/>
  <c r="AR17" i="10"/>
  <c r="DN17" i="10" s="1"/>
  <c r="CW18" i="10"/>
  <c r="CB18" i="10"/>
  <c r="DQ18" i="10"/>
  <c r="DX18" i="10"/>
  <c r="EC18" i="10"/>
  <c r="BB18" i="10" s="1"/>
  <c r="AT18" i="10"/>
  <c r="DG25" i="10"/>
  <c r="DH25" i="10" s="1"/>
  <c r="AY25" i="10" s="1"/>
  <c r="DB25" i="10"/>
  <c r="DR23" i="10"/>
  <c r="AU23" i="10"/>
  <c r="EZ22" i="10"/>
  <c r="X22" i="10"/>
  <c r="CV24" i="10"/>
  <c r="DP24" i="10"/>
  <c r="EC24" i="10"/>
  <c r="BB24" i="10" s="1"/>
  <c r="DX24" i="10"/>
  <c r="AT24" i="10"/>
  <c r="DO23" i="10"/>
  <c r="CX23" i="10"/>
  <c r="DT25" i="10"/>
  <c r="DU25" i="10" s="1"/>
  <c r="DV25" i="10"/>
  <c r="DW25" i="10" s="1"/>
  <c r="CB24" i="10"/>
  <c r="CX22" i="10"/>
  <c r="DO22" i="10"/>
  <c r="BY16" i="9"/>
  <c r="BZ16" i="9"/>
  <c r="BW16" i="9"/>
  <c r="CA16" i="9"/>
  <c r="BX16" i="9"/>
  <c r="BT16" i="9"/>
  <c r="BU16" i="9"/>
  <c r="CQ20" i="9"/>
  <c r="CT20" i="9"/>
  <c r="CR20" i="9"/>
  <c r="ES16" i="9"/>
  <c r="BX21" i="9"/>
  <c r="BW21" i="9"/>
  <c r="ER22" i="9"/>
  <c r="BX23" i="9"/>
  <c r="BW23" i="9"/>
  <c r="BS18" i="9"/>
  <c r="EQ19" i="9"/>
  <c r="CO20" i="9"/>
  <c r="EP20" i="9"/>
  <c r="CO21" i="9"/>
  <c r="CN23" i="9"/>
  <c r="CU16" i="9"/>
  <c r="EP16" i="9"/>
  <c r="BU18" i="9"/>
  <c r="BT18" i="9"/>
  <c r="BR19" i="9"/>
  <c r="BZ19" i="9" s="1"/>
  <c r="ER19" i="9"/>
  <c r="BV20" i="9"/>
  <c r="CP20" i="9"/>
  <c r="ES20" i="9"/>
  <c r="BS21" i="9"/>
  <c r="CA21" i="9"/>
  <c r="BR22" i="9"/>
  <c r="BU22" i="9" s="1"/>
  <c r="BS23" i="9"/>
  <c r="CA23" i="9"/>
  <c r="CA24" i="9"/>
  <c r="AP19" i="9"/>
  <c r="BT21" i="9"/>
  <c r="CQ21" i="9"/>
  <c r="AP25" i="9"/>
  <c r="W16" i="9"/>
  <c r="DZ16" i="9"/>
  <c r="BR17" i="9"/>
  <c r="BS17" i="9" s="1"/>
  <c r="CP17" i="9"/>
  <c r="EQ17" i="9"/>
  <c r="EP17" i="9"/>
  <c r="ET17" i="9" s="1"/>
  <c r="CA18" i="9"/>
  <c r="EU20" i="9"/>
  <c r="BU21" i="9"/>
  <c r="AP21" i="9"/>
  <c r="CR21" i="9"/>
  <c r="BU23" i="9"/>
  <c r="AP23" i="9"/>
  <c r="CR23" i="9"/>
  <c r="BX24" i="9"/>
  <c r="CL24" i="9"/>
  <c r="CU24" i="9" s="1"/>
  <c r="BR25" i="9"/>
  <c r="BT25" i="9" s="1"/>
  <c r="W20" i="9"/>
  <c r="V20" i="9"/>
  <c r="ET20" i="9"/>
  <c r="CU21" i="9"/>
  <c r="CU23" i="9"/>
  <c r="BW24" i="9"/>
  <c r="CS17" i="9"/>
  <c r="BX18" i="9"/>
  <c r="CS20" i="9"/>
  <c r="EV20" i="9"/>
  <c r="BV21" i="9"/>
  <c r="CS21" i="9"/>
  <c r="EV22" i="9"/>
  <c r="BV23" i="9"/>
  <c r="CS23" i="9"/>
  <c r="EU23" i="9"/>
  <c r="BY24" i="9"/>
  <c r="BZ20" i="9"/>
  <c r="CM17" i="9"/>
  <c r="EX17" i="9"/>
  <c r="W22" i="9"/>
  <c r="V22" i="9"/>
  <c r="ET22" i="9"/>
  <c r="W24" i="9"/>
  <c r="V24" i="9"/>
  <c r="EU25" i="9"/>
  <c r="BY18" i="9"/>
  <c r="BX20" i="9"/>
  <c r="CT21" i="9"/>
  <c r="CT23" i="9"/>
  <c r="BZ24" i="9"/>
  <c r="CU17" i="9"/>
  <c r="BT23" i="9"/>
  <c r="CQ23" i="9"/>
  <c r="CL18" i="9"/>
  <c r="CS18" i="9" s="1"/>
  <c r="EY18" i="9"/>
  <c r="CL19" i="9"/>
  <c r="CO19" i="9" s="1"/>
  <c r="EW19" i="9"/>
  <c r="BY20" i="9"/>
  <c r="CM20" i="9"/>
  <c r="CU20" i="9"/>
  <c r="EW21" i="9"/>
  <c r="CL25" i="9"/>
  <c r="CQ25" i="9" s="1"/>
  <c r="EY25" i="9"/>
  <c r="BY21" i="9"/>
  <c r="CM21" i="9"/>
  <c r="CL22" i="9"/>
  <c r="CS22" i="9" s="1"/>
  <c r="EQ22" i="9"/>
  <c r="BY23" i="9"/>
  <c r="BS24" i="9"/>
  <c r="EP24" i="9"/>
  <c r="EQ24" i="9"/>
  <c r="EY24" i="9"/>
  <c r="EP18" i="9"/>
  <c r="BZ18" i="9"/>
  <c r="BW18" i="9"/>
  <c r="EY19" i="9"/>
  <c r="EY21" i="9"/>
  <c r="EP22" i="9"/>
  <c r="ES22" i="9" s="1"/>
  <c r="CO23" i="9"/>
  <c r="BU24" i="9"/>
  <c r="BV24" i="9"/>
  <c r="CS24" i="9"/>
  <c r="AP24" i="9"/>
  <c r="DA21" i="9"/>
  <c r="DA23" i="9"/>
  <c r="DA25" i="9"/>
  <c r="EP19" i="9"/>
  <c r="EU19" i="9" s="1"/>
  <c r="EP21" i="9"/>
  <c r="EX21" i="9" s="1"/>
  <c r="EP23" i="9"/>
  <c r="EP25" i="9"/>
  <c r="EW25" i="9" s="1"/>
  <c r="BH17" i="2"/>
  <c r="BH18" i="2"/>
  <c r="BH19" i="2"/>
  <c r="BH20" i="2"/>
  <c r="BH21" i="2"/>
  <c r="BH22" i="2"/>
  <c r="BH23" i="2"/>
  <c r="BH24" i="2"/>
  <c r="BH25" i="2"/>
  <c r="BH16" i="2"/>
  <c r="DV19" i="10" l="1"/>
  <c r="DW19" i="10" s="1"/>
  <c r="BU19" i="9"/>
  <c r="BY19" i="9"/>
  <c r="BY25" i="9"/>
  <c r="BV25" i="9"/>
  <c r="BS25" i="9"/>
  <c r="CV16" i="9"/>
  <c r="CO18" i="9"/>
  <c r="CM24" i="9"/>
  <c r="CP24" i="9"/>
  <c r="CO24" i="9"/>
  <c r="AU16" i="9"/>
  <c r="CU22" i="9"/>
  <c r="CR19" i="9"/>
  <c r="CS25" i="9"/>
  <c r="CT18" i="9"/>
  <c r="AZ21" i="10"/>
  <c r="D21" i="10" s="1"/>
  <c r="F21" i="10" s="1"/>
  <c r="AS21" i="10" s="1"/>
  <c r="DY21" i="10"/>
  <c r="EA21" i="10" s="1"/>
  <c r="DI16" i="10"/>
  <c r="DJ16" i="10" s="1"/>
  <c r="AW16" i="10" s="1"/>
  <c r="BA16" i="10"/>
  <c r="DC16" i="10"/>
  <c r="AV16" i="10" s="1"/>
  <c r="DB16" i="10"/>
  <c r="DD12" i="10"/>
  <c r="DG16" i="10"/>
  <c r="DT19" i="10"/>
  <c r="DU19" i="10" s="1"/>
  <c r="DV18" i="10"/>
  <c r="DW18" i="10" s="1"/>
  <c r="DT18" i="10"/>
  <c r="DU18" i="10" s="1"/>
  <c r="DC23" i="10"/>
  <c r="AV23" i="10" s="1"/>
  <c r="BA23" i="10"/>
  <c r="DI23" i="10"/>
  <c r="DJ23" i="10" s="1"/>
  <c r="AW23" i="10" s="1"/>
  <c r="DG18" i="10"/>
  <c r="DH18" i="10" s="1"/>
  <c r="AY18" i="10" s="1"/>
  <c r="DB18" i="10"/>
  <c r="DY23" i="10"/>
  <c r="EA23" i="10" s="1"/>
  <c r="AZ23" i="10"/>
  <c r="D23" i="10" s="1"/>
  <c r="F23" i="10" s="1"/>
  <c r="AS23" i="10" s="1"/>
  <c r="DG17" i="10"/>
  <c r="DH17" i="10" s="1"/>
  <c r="AY17" i="10" s="1"/>
  <c r="DB17" i="10"/>
  <c r="DY22" i="10"/>
  <c r="EA22" i="10" s="1"/>
  <c r="AZ22" i="10"/>
  <c r="D22" i="10" s="1"/>
  <c r="F22" i="10" s="1"/>
  <c r="AS22" i="10" s="1"/>
  <c r="AX20" i="10"/>
  <c r="DD20" i="10"/>
  <c r="DG23" i="10"/>
  <c r="DH23" i="10" s="1"/>
  <c r="AY23" i="10" s="1"/>
  <c r="DB23" i="10"/>
  <c r="DI18" i="10"/>
  <c r="DJ18" i="10" s="1"/>
  <c r="AW18" i="10" s="1"/>
  <c r="BA18" i="10"/>
  <c r="DC18" i="10"/>
  <c r="AV18" i="10" s="1"/>
  <c r="DC17" i="10"/>
  <c r="AV17" i="10" s="1"/>
  <c r="DI17" i="10"/>
  <c r="DJ17" i="10" s="1"/>
  <c r="AW17" i="10" s="1"/>
  <c r="BA17" i="10"/>
  <c r="DG19" i="10"/>
  <c r="DH19" i="10" s="1"/>
  <c r="AY19" i="10" s="1"/>
  <c r="DB19" i="10"/>
  <c r="DV21" i="10"/>
  <c r="DW21" i="10" s="1"/>
  <c r="DT21" i="10"/>
  <c r="DU21" i="10" s="1"/>
  <c r="DC19" i="10"/>
  <c r="AV19" i="10" s="1"/>
  <c r="BA19" i="10"/>
  <c r="DI19" i="10"/>
  <c r="DJ19" i="10" s="1"/>
  <c r="AW19" i="10" s="1"/>
  <c r="DC21" i="10"/>
  <c r="AV21" i="10" s="1"/>
  <c r="BA21" i="10"/>
  <c r="DI21" i="10"/>
  <c r="DJ21" i="10" s="1"/>
  <c r="AW21" i="10" s="1"/>
  <c r="DV17" i="10"/>
  <c r="DW17" i="10" s="1"/>
  <c r="DT17" i="10"/>
  <c r="DU17" i="10" s="1"/>
  <c r="DC24" i="10"/>
  <c r="AV24" i="10" s="1"/>
  <c r="BA24" i="10"/>
  <c r="DI24" i="10"/>
  <c r="DJ24" i="10" s="1"/>
  <c r="AW24" i="10" s="1"/>
  <c r="DV23" i="10"/>
  <c r="DW23" i="10" s="1"/>
  <c r="DT23" i="10"/>
  <c r="DU23" i="10" s="1"/>
  <c r="DB22" i="10"/>
  <c r="DG22" i="10"/>
  <c r="DH22" i="10" s="1"/>
  <c r="AY22" i="10" s="1"/>
  <c r="AZ17" i="10"/>
  <c r="D17" i="10" s="1"/>
  <c r="F17" i="10" s="1"/>
  <c r="AS17" i="10" s="1"/>
  <c r="DY17" i="10"/>
  <c r="EA17" i="10" s="1"/>
  <c r="BA25" i="10"/>
  <c r="DI25" i="10"/>
  <c r="DJ25" i="10" s="1"/>
  <c r="AW25" i="10" s="1"/>
  <c r="DC25" i="10"/>
  <c r="AV25" i="10" s="1"/>
  <c r="DB21" i="10"/>
  <c r="DG21" i="10"/>
  <c r="DH21" i="10" s="1"/>
  <c r="AY21" i="10" s="1"/>
  <c r="AZ19" i="10"/>
  <c r="D19" i="10" s="1"/>
  <c r="F19" i="10" s="1"/>
  <c r="AS19" i="10" s="1"/>
  <c r="DY19" i="10"/>
  <c r="EA19" i="10" s="1"/>
  <c r="DV24" i="10"/>
  <c r="DW24" i="10" s="1"/>
  <c r="DT24" i="10"/>
  <c r="DU24" i="10" s="1"/>
  <c r="BA22" i="10"/>
  <c r="DI22" i="10"/>
  <c r="DJ22" i="10" s="1"/>
  <c r="AW22" i="10" s="1"/>
  <c r="DC22" i="10"/>
  <c r="AV22" i="10" s="1"/>
  <c r="DI20" i="10"/>
  <c r="DJ20" i="10" s="1"/>
  <c r="AW20" i="10" s="1"/>
  <c r="DC20" i="10"/>
  <c r="AV20" i="10" s="1"/>
  <c r="BA20" i="10"/>
  <c r="AZ24" i="10"/>
  <c r="D24" i="10" s="1"/>
  <c r="F24" i="10" s="1"/>
  <c r="AS24" i="10" s="1"/>
  <c r="DY24" i="10"/>
  <c r="EA24" i="10" s="1"/>
  <c r="DY18" i="10"/>
  <c r="EA18" i="10" s="1"/>
  <c r="AZ18" i="10"/>
  <c r="D18" i="10" s="1"/>
  <c r="F18" i="10" s="1"/>
  <c r="AS18" i="10" s="1"/>
  <c r="DT22" i="10"/>
  <c r="DU22" i="10" s="1"/>
  <c r="DV22" i="10"/>
  <c r="DW22" i="10" s="1"/>
  <c r="DY25" i="10"/>
  <c r="EA25" i="10" s="1"/>
  <c r="AZ25" i="10"/>
  <c r="D25" i="10" s="1"/>
  <c r="F25" i="10" s="1"/>
  <c r="AS25" i="10" s="1"/>
  <c r="DB24" i="10"/>
  <c r="DG24" i="10"/>
  <c r="DH24" i="10" s="1"/>
  <c r="AY24" i="10" s="1"/>
  <c r="AZ20" i="10"/>
  <c r="D20" i="10" s="1"/>
  <c r="F20" i="10" s="1"/>
  <c r="AS20" i="10" s="1"/>
  <c r="DY20" i="10"/>
  <c r="EA20" i="10" s="1"/>
  <c r="AX25" i="10"/>
  <c r="DD25" i="10"/>
  <c r="DY16" i="10"/>
  <c r="EA16" i="10" s="1"/>
  <c r="AZ16" i="10"/>
  <c r="D16" i="10" s="1"/>
  <c r="F16" i="10" s="1"/>
  <c r="AS16" i="10" s="1"/>
  <c r="DT16" i="10"/>
  <c r="DU16" i="10" s="1"/>
  <c r="DV16" i="10"/>
  <c r="DW16" i="10" s="1"/>
  <c r="CV20" i="9"/>
  <c r="CO16" i="9"/>
  <c r="CM16" i="9"/>
  <c r="BX22" i="9"/>
  <c r="BW22" i="9"/>
  <c r="CA25" i="9"/>
  <c r="BY22" i="9"/>
  <c r="BZ22" i="9"/>
  <c r="AR23" i="9"/>
  <c r="DN23" i="9" s="1"/>
  <c r="AR20" i="9"/>
  <c r="DN20" i="9" s="1"/>
  <c r="DR16" i="9"/>
  <c r="DQ17" i="9"/>
  <c r="CW17" i="9"/>
  <c r="CV18" i="9"/>
  <c r="DP18" i="9"/>
  <c r="DO23" i="9"/>
  <c r="CX23" i="9"/>
  <c r="CX18" i="9"/>
  <c r="DO18" i="9"/>
  <c r="EW20" i="9"/>
  <c r="EX20" i="9"/>
  <c r="DP16" i="9"/>
  <c r="AU18" i="9"/>
  <c r="DR18" i="9"/>
  <c r="EX24" i="9"/>
  <c r="EW24" i="9"/>
  <c r="EU24" i="9"/>
  <c r="ER24" i="9"/>
  <c r="EZ24" i="9" s="1"/>
  <c r="CN22" i="9"/>
  <c r="EQ25" i="9"/>
  <c r="BX25" i="9"/>
  <c r="BW25" i="9"/>
  <c r="BZ25" i="9"/>
  <c r="EU22" i="9"/>
  <c r="EY20" i="9"/>
  <c r="CA20" i="9"/>
  <c r="BT20" i="9"/>
  <c r="EC20" i="9"/>
  <c r="ED20" i="9" s="1"/>
  <c r="BB20" i="9" s="1"/>
  <c r="EW16" i="9"/>
  <c r="EV16" i="9"/>
  <c r="EU16" i="9"/>
  <c r="ER16" i="9"/>
  <c r="DR21" i="9"/>
  <c r="AU21" i="9"/>
  <c r="DQ16" i="9"/>
  <c r="CW16" i="9"/>
  <c r="CB16" i="9"/>
  <c r="ER20" i="9"/>
  <c r="X22" i="9"/>
  <c r="X17" i="9"/>
  <c r="CM22" i="9"/>
  <c r="ET25" i="9"/>
  <c r="ES25" i="9"/>
  <c r="EV25" i="9"/>
  <c r="CT25" i="9"/>
  <c r="DQ25" i="9"/>
  <c r="CW25" i="9"/>
  <c r="ET23" i="9"/>
  <c r="EV23" i="9"/>
  <c r="ES23" i="9"/>
  <c r="EY23" i="9"/>
  <c r="EV18" i="9"/>
  <c r="ES18" i="9"/>
  <c r="EX18" i="9"/>
  <c r="EW18" i="9"/>
  <c r="CB24" i="9"/>
  <c r="CW24" i="9"/>
  <c r="DQ24" i="9"/>
  <c r="EQ18" i="9"/>
  <c r="BU25" i="9"/>
  <c r="ET24" i="9"/>
  <c r="EU18" i="9"/>
  <c r="CR24" i="9"/>
  <c r="CT24" i="9"/>
  <c r="CQ24" i="9"/>
  <c r="BV17" i="9"/>
  <c r="BU17" i="9"/>
  <c r="BW17" i="9"/>
  <c r="BZ17" i="9"/>
  <c r="CA22" i="9"/>
  <c r="BT22" i="9"/>
  <c r="CX22" i="9" s="1"/>
  <c r="BS22" i="9"/>
  <c r="BV19" i="9"/>
  <c r="CA19" i="9"/>
  <c r="BS19" i="9"/>
  <c r="BW19" i="9"/>
  <c r="BX19" i="9"/>
  <c r="DX19" i="9" s="1"/>
  <c r="CS16" i="9"/>
  <c r="CR16" i="9"/>
  <c r="AT16" i="9" s="1"/>
  <c r="CN16" i="9"/>
  <c r="CW18" i="9"/>
  <c r="DQ18" i="9"/>
  <c r="CB18" i="9"/>
  <c r="EY16" i="9"/>
  <c r="ER18" i="9"/>
  <c r="CA17" i="9"/>
  <c r="DP23" i="9"/>
  <c r="CV23" i="9"/>
  <c r="X24" i="9"/>
  <c r="CQ19" i="9"/>
  <c r="CN19" i="9"/>
  <c r="CM19" i="9"/>
  <c r="CU19" i="9"/>
  <c r="CX24" i="9"/>
  <c r="DO24" i="9"/>
  <c r="CN25" i="9"/>
  <c r="CU25" i="9"/>
  <c r="CM25" i="9"/>
  <c r="CP25" i="9"/>
  <c r="AU20" i="9"/>
  <c r="DR20" i="9"/>
  <c r="DP21" i="9"/>
  <c r="CV21" i="9"/>
  <c r="EV21" i="9"/>
  <c r="ET21" i="9"/>
  <c r="ES21" i="9"/>
  <c r="EX23" i="9"/>
  <c r="CP18" i="9"/>
  <c r="CU18" i="9"/>
  <c r="CM18" i="9"/>
  <c r="CR18" i="9"/>
  <c r="CQ18" i="9"/>
  <c r="EV24" i="9"/>
  <c r="AU24" i="9"/>
  <c r="DR24" i="9"/>
  <c r="CN24" i="9"/>
  <c r="DX21" i="9"/>
  <c r="EC21" i="9"/>
  <c r="ED21" i="9" s="1"/>
  <c r="BB21" i="9" s="1"/>
  <c r="AT21" i="9"/>
  <c r="ES24" i="9"/>
  <c r="ER21" i="9"/>
  <c r="BT19" i="9"/>
  <c r="EQ23" i="9"/>
  <c r="EQ20" i="9"/>
  <c r="CP19" i="9"/>
  <c r="CP16" i="9"/>
  <c r="BT17" i="9"/>
  <c r="EQ16" i="9"/>
  <c r="EX16" i="9"/>
  <c r="CT22" i="9"/>
  <c r="CR22" i="9"/>
  <c r="CQ22" i="9"/>
  <c r="DP20" i="9"/>
  <c r="EZ19" i="9"/>
  <c r="ET19" i="9"/>
  <c r="EV19" i="9"/>
  <c r="ES19" i="9"/>
  <c r="X19" i="9" s="1"/>
  <c r="EW22" i="9"/>
  <c r="EZ22" i="9" s="1"/>
  <c r="EX22" i="9"/>
  <c r="ER25" i="9"/>
  <c r="EW23" i="9"/>
  <c r="CN18" i="9"/>
  <c r="EU21" i="9"/>
  <c r="CT19" i="9"/>
  <c r="DP24" i="9"/>
  <c r="CV24" i="9"/>
  <c r="EY17" i="9"/>
  <c r="ET18" i="9"/>
  <c r="EU17" i="9"/>
  <c r="ET16" i="9"/>
  <c r="AR21" i="9"/>
  <c r="DN21" i="9" s="1"/>
  <c r="CT16" i="9"/>
  <c r="BV22" i="9"/>
  <c r="DQ23" i="9"/>
  <c r="CB23" i="9"/>
  <c r="CW23" i="9"/>
  <c r="CS19" i="9"/>
  <c r="CP22" i="9"/>
  <c r="CO22" i="9"/>
  <c r="CO25" i="9"/>
  <c r="EY22" i="9"/>
  <c r="EX19" i="9"/>
  <c r="EX25" i="9"/>
  <c r="DX23" i="9"/>
  <c r="EC23" i="9"/>
  <c r="ED23" i="9" s="1"/>
  <c r="BB23" i="9" s="1"/>
  <c r="AT23" i="9"/>
  <c r="DO21" i="9"/>
  <c r="CX21" i="9"/>
  <c r="EW17" i="9"/>
  <c r="EV17" i="9"/>
  <c r="ES17" i="9"/>
  <c r="ER17" i="9"/>
  <c r="EZ17" i="9" s="1"/>
  <c r="CR25" i="9"/>
  <c r="BU20" i="9"/>
  <c r="ER23" i="9"/>
  <c r="DQ21" i="9"/>
  <c r="CB21" i="9"/>
  <c r="CW21" i="9"/>
  <c r="EQ21" i="9"/>
  <c r="DR23" i="9"/>
  <c r="AU23" i="9"/>
  <c r="AT20" i="9"/>
  <c r="DX20" i="9"/>
  <c r="CX16" i="9"/>
  <c r="DO16" i="9"/>
  <c r="BY17" i="9"/>
  <c r="BX17" i="9"/>
  <c r="DF17" i="2"/>
  <c r="DF18" i="2"/>
  <c r="DF19" i="2"/>
  <c r="DF20" i="2"/>
  <c r="DF21" i="2"/>
  <c r="DS21" i="2" s="1"/>
  <c r="DF22" i="2"/>
  <c r="DF23" i="2"/>
  <c r="DF24" i="2"/>
  <c r="DS24" i="2" s="1"/>
  <c r="DF25" i="2"/>
  <c r="DF16" i="2"/>
  <c r="AO16" i="2"/>
  <c r="V16" i="2"/>
  <c r="DZ16" i="2"/>
  <c r="EA16" i="2"/>
  <c r="EB16" i="2"/>
  <c r="EC16" i="2"/>
  <c r="EI16" i="2" s="1"/>
  <c r="ED16" i="2"/>
  <c r="EE16" i="2"/>
  <c r="EF16" i="2"/>
  <c r="EG16" i="2"/>
  <c r="EH16" i="2"/>
  <c r="Y16" i="2"/>
  <c r="Z16" i="2"/>
  <c r="U16" i="2"/>
  <c r="D27" i="5"/>
  <c r="B8" i="5"/>
  <c r="G3" i="5"/>
  <c r="CW11" i="2"/>
  <c r="CX11" i="2"/>
  <c r="CW12" i="2"/>
  <c r="BI16" i="2"/>
  <c r="BE16" i="2"/>
  <c r="BN16" i="2" s="1"/>
  <c r="BS16" i="2" s="1"/>
  <c r="BF16" i="2"/>
  <c r="BG16" i="2"/>
  <c r="BJ16" i="2"/>
  <c r="BK16" i="2"/>
  <c r="BL16" i="2"/>
  <c r="BM16" i="2"/>
  <c r="S16" i="2"/>
  <c r="CD16" i="2"/>
  <c r="CB16" i="2"/>
  <c r="BY16" i="2"/>
  <c r="BZ16" i="2"/>
  <c r="CA16" i="2"/>
  <c r="CC16" i="2"/>
  <c r="CE16" i="2"/>
  <c r="CF16" i="2"/>
  <c r="CG16" i="2"/>
  <c r="DA16" i="2"/>
  <c r="DL16" i="2"/>
  <c r="DS16" i="2"/>
  <c r="DX16" i="2"/>
  <c r="S17" i="2"/>
  <c r="U17" i="2"/>
  <c r="AO17" i="2"/>
  <c r="DZ17" i="2"/>
  <c r="EA17" i="2"/>
  <c r="EB17" i="2"/>
  <c r="EC17" i="2"/>
  <c r="ED17" i="2"/>
  <c r="EE17" i="2"/>
  <c r="EF17" i="2"/>
  <c r="EG17" i="2"/>
  <c r="EH17" i="2"/>
  <c r="Y17" i="2"/>
  <c r="Z17" i="2"/>
  <c r="CD17" i="2"/>
  <c r="CB17" i="2"/>
  <c r="AP17" i="2"/>
  <c r="BY17" i="2"/>
  <c r="BZ17" i="2"/>
  <c r="CA17" i="2"/>
  <c r="CC17" i="2"/>
  <c r="CE17" i="2"/>
  <c r="CF17" i="2"/>
  <c r="CG17" i="2"/>
  <c r="BE17" i="2"/>
  <c r="BF17" i="2"/>
  <c r="BG17" i="2"/>
  <c r="BI17" i="2"/>
  <c r="BJ17" i="2"/>
  <c r="BK17" i="2"/>
  <c r="BL17" i="2"/>
  <c r="BM17" i="2"/>
  <c r="CW17" i="2"/>
  <c r="DA17" i="2"/>
  <c r="DL17" i="2"/>
  <c r="DS17" i="2"/>
  <c r="DX17" i="2"/>
  <c r="S18" i="2"/>
  <c r="U18" i="2"/>
  <c r="AO18" i="2"/>
  <c r="V18" i="2" s="1"/>
  <c r="W18" i="2"/>
  <c r="DZ18" i="2"/>
  <c r="EA18" i="2"/>
  <c r="EB18" i="2"/>
  <c r="EC18" i="2"/>
  <c r="ED18" i="2"/>
  <c r="EE18" i="2"/>
  <c r="EF18" i="2"/>
  <c r="EG18" i="2"/>
  <c r="EH18" i="2"/>
  <c r="Y18" i="2"/>
  <c r="Z18" i="2"/>
  <c r="CD18" i="2"/>
  <c r="AP18" i="2" s="1"/>
  <c r="CB18" i="2"/>
  <c r="BY18" i="2"/>
  <c r="BZ18" i="2"/>
  <c r="CA18" i="2"/>
  <c r="CC18" i="2"/>
  <c r="CE18" i="2"/>
  <c r="CF18" i="2"/>
  <c r="CG18" i="2"/>
  <c r="BE18" i="2"/>
  <c r="BF18" i="2"/>
  <c r="BG18" i="2"/>
  <c r="BI18" i="2"/>
  <c r="BJ18" i="2"/>
  <c r="BK18" i="2"/>
  <c r="BL18" i="2"/>
  <c r="BM18" i="2"/>
  <c r="CW18" i="2"/>
  <c r="DA18" i="2"/>
  <c r="DL18" i="2"/>
  <c r="DS18" i="2"/>
  <c r="DX18" i="2"/>
  <c r="S19" i="2"/>
  <c r="U19" i="2"/>
  <c r="AO19" i="2"/>
  <c r="W19" i="2" s="1"/>
  <c r="DZ19" i="2"/>
  <c r="EA19" i="2"/>
  <c r="EB19" i="2"/>
  <c r="EC19" i="2"/>
  <c r="ED19" i="2"/>
  <c r="EE19" i="2"/>
  <c r="EF19" i="2"/>
  <c r="EG19" i="2"/>
  <c r="EH19" i="2"/>
  <c r="Y19" i="2"/>
  <c r="Z19" i="2"/>
  <c r="CD19" i="2"/>
  <c r="CB19" i="2"/>
  <c r="CH19" i="2" s="1"/>
  <c r="BY19" i="2"/>
  <c r="BZ19" i="2"/>
  <c r="CA19" i="2"/>
  <c r="CC19" i="2"/>
  <c r="CE19" i="2"/>
  <c r="CF19" i="2"/>
  <c r="CG19" i="2"/>
  <c r="BE19" i="2"/>
  <c r="BF19" i="2"/>
  <c r="BG19" i="2"/>
  <c r="BI19" i="2"/>
  <c r="BJ19" i="2"/>
  <c r="BK19" i="2"/>
  <c r="BL19" i="2"/>
  <c r="BM19" i="2"/>
  <c r="CW19" i="2"/>
  <c r="DA19" i="2"/>
  <c r="DL19" i="2"/>
  <c r="DS19" i="2"/>
  <c r="DX19" i="2"/>
  <c r="S20" i="2"/>
  <c r="U20" i="2"/>
  <c r="AO20" i="2"/>
  <c r="W20" i="2" s="1"/>
  <c r="DZ20" i="2"/>
  <c r="EA20" i="2"/>
  <c r="EB20" i="2"/>
  <c r="EC20" i="2"/>
  <c r="ED20" i="2"/>
  <c r="EE20" i="2"/>
  <c r="EF20" i="2"/>
  <c r="EG20" i="2"/>
  <c r="EH20" i="2"/>
  <c r="Y20" i="2"/>
  <c r="Z20" i="2"/>
  <c r="CD20" i="2"/>
  <c r="CB20" i="2"/>
  <c r="BY20" i="2"/>
  <c r="BZ20" i="2"/>
  <c r="CA20" i="2"/>
  <c r="CH20" i="2" s="1"/>
  <c r="CC20" i="2"/>
  <c r="CE20" i="2"/>
  <c r="CF20" i="2"/>
  <c r="CG20" i="2"/>
  <c r="BE20" i="2"/>
  <c r="BF20" i="2"/>
  <c r="BG20" i="2"/>
  <c r="BI20" i="2"/>
  <c r="BJ20" i="2"/>
  <c r="BK20" i="2"/>
  <c r="BL20" i="2"/>
  <c r="BM20" i="2"/>
  <c r="DA20" i="2"/>
  <c r="DL20" i="2"/>
  <c r="DX20" i="2"/>
  <c r="S21" i="2"/>
  <c r="U21" i="2"/>
  <c r="AO21" i="2"/>
  <c r="DZ21" i="2"/>
  <c r="EI21" i="2" s="1"/>
  <c r="EA21" i="2"/>
  <c r="EB21" i="2"/>
  <c r="EL21" i="2" s="1"/>
  <c r="EC21" i="2"/>
  <c r="ED21" i="2"/>
  <c r="EE21" i="2"/>
  <c r="EF21" i="2"/>
  <c r="EP21" i="2" s="1"/>
  <c r="EG21" i="2"/>
  <c r="EH21" i="2"/>
  <c r="Y21" i="2"/>
  <c r="Z21" i="2"/>
  <c r="CD21" i="2"/>
  <c r="CB21" i="2"/>
  <c r="AP21" i="2"/>
  <c r="BY21" i="2"/>
  <c r="BZ21" i="2"/>
  <c r="CA21" i="2"/>
  <c r="CC21" i="2"/>
  <c r="CE21" i="2"/>
  <c r="CF21" i="2"/>
  <c r="CG21" i="2"/>
  <c r="BE21" i="2"/>
  <c r="BF21" i="2"/>
  <c r="BG21" i="2"/>
  <c r="BI21" i="2"/>
  <c r="BJ21" i="2"/>
  <c r="BK21" i="2"/>
  <c r="BL21" i="2"/>
  <c r="BM21" i="2"/>
  <c r="DA21" i="2"/>
  <c r="DL21" i="2"/>
  <c r="DX21" i="2"/>
  <c r="S22" i="2"/>
  <c r="U22" i="2"/>
  <c r="AO22" i="2"/>
  <c r="V22" i="2" s="1"/>
  <c r="DZ22" i="2"/>
  <c r="EA22" i="2"/>
  <c r="EB22" i="2"/>
  <c r="EI22" i="2" s="1"/>
  <c r="EC22" i="2"/>
  <c r="ED22" i="2"/>
  <c r="EE22" i="2"/>
  <c r="EF22" i="2"/>
  <c r="EG22" i="2"/>
  <c r="EH22" i="2"/>
  <c r="Y22" i="2"/>
  <c r="Z22" i="2"/>
  <c r="CD22" i="2"/>
  <c r="AP22" i="2" s="1"/>
  <c r="CB22" i="2"/>
  <c r="BY22" i="2"/>
  <c r="BZ22" i="2"/>
  <c r="CA22" i="2"/>
  <c r="CC22" i="2"/>
  <c r="CE22" i="2"/>
  <c r="CF22" i="2"/>
  <c r="CG22" i="2"/>
  <c r="BE22" i="2"/>
  <c r="BF22" i="2"/>
  <c r="BG22" i="2"/>
  <c r="BI22" i="2"/>
  <c r="BJ22" i="2"/>
  <c r="BK22" i="2"/>
  <c r="BL22" i="2"/>
  <c r="BM22" i="2"/>
  <c r="CW22" i="2"/>
  <c r="DA22" i="2"/>
  <c r="DL22" i="2"/>
  <c r="DS22" i="2"/>
  <c r="DX22" i="2"/>
  <c r="S23" i="2"/>
  <c r="U23" i="2"/>
  <c r="AO23" i="2"/>
  <c r="W23" i="2" s="1"/>
  <c r="DZ23" i="2"/>
  <c r="EA23" i="2"/>
  <c r="EI23" i="2" s="1"/>
  <c r="EB23" i="2"/>
  <c r="EC23" i="2"/>
  <c r="ED23" i="2"/>
  <c r="EE23" i="2"/>
  <c r="EF23" i="2"/>
  <c r="EG23" i="2"/>
  <c r="EH23" i="2"/>
  <c r="Y23" i="2"/>
  <c r="Z23" i="2"/>
  <c r="CD23" i="2"/>
  <c r="CB23" i="2"/>
  <c r="AP23" i="2"/>
  <c r="BY23" i="2"/>
  <c r="CH23" i="2" s="1"/>
  <c r="BZ23" i="2"/>
  <c r="CA23" i="2"/>
  <c r="CC23" i="2"/>
  <c r="CE23" i="2"/>
  <c r="CF23" i="2"/>
  <c r="CG23" i="2"/>
  <c r="BE23" i="2"/>
  <c r="BN23" i="2" s="1"/>
  <c r="BF23" i="2"/>
  <c r="BG23" i="2"/>
  <c r="BI23" i="2"/>
  <c r="BJ23" i="2"/>
  <c r="BK23" i="2"/>
  <c r="BL23" i="2"/>
  <c r="BM23" i="2"/>
  <c r="CW23" i="2"/>
  <c r="DA23" i="2"/>
  <c r="DL23" i="2"/>
  <c r="DS23" i="2"/>
  <c r="DX23" i="2"/>
  <c r="S24" i="2"/>
  <c r="U24" i="2"/>
  <c r="AO24" i="2"/>
  <c r="W24" i="2"/>
  <c r="DZ24" i="2"/>
  <c r="EA24" i="2"/>
  <c r="EB24" i="2"/>
  <c r="EC24" i="2"/>
  <c r="ED24" i="2"/>
  <c r="EE24" i="2"/>
  <c r="EF24" i="2"/>
  <c r="EG24" i="2"/>
  <c r="EQ24" i="2" s="1"/>
  <c r="EH24" i="2"/>
  <c r="Y24" i="2"/>
  <c r="Z24" i="2"/>
  <c r="CD24" i="2"/>
  <c r="AP24" i="2" s="1"/>
  <c r="CB24" i="2"/>
  <c r="BY24" i="2"/>
  <c r="BZ24" i="2"/>
  <c r="CA24" i="2"/>
  <c r="CC24" i="2"/>
  <c r="CE24" i="2"/>
  <c r="CF24" i="2"/>
  <c r="CG24" i="2"/>
  <c r="BE24" i="2"/>
  <c r="BF24" i="2"/>
  <c r="BG24" i="2"/>
  <c r="BN24" i="2" s="1"/>
  <c r="BO24" i="2" s="1"/>
  <c r="BI24" i="2"/>
  <c r="BJ24" i="2"/>
  <c r="BK24" i="2"/>
  <c r="BL24" i="2"/>
  <c r="BM24" i="2"/>
  <c r="DA24" i="2"/>
  <c r="DL24" i="2"/>
  <c r="DX24" i="2"/>
  <c r="S25" i="2"/>
  <c r="U25" i="2"/>
  <c r="AO25" i="2"/>
  <c r="W25" i="2"/>
  <c r="V25" i="2"/>
  <c r="DZ25" i="2"/>
  <c r="EA25" i="2"/>
  <c r="EB25" i="2"/>
  <c r="EC25" i="2"/>
  <c r="ED25" i="2"/>
  <c r="EE25" i="2"/>
  <c r="EF25" i="2"/>
  <c r="EG25" i="2"/>
  <c r="EH25" i="2"/>
  <c r="Y25" i="2"/>
  <c r="Z25" i="2"/>
  <c r="CD25" i="2"/>
  <c r="AP25" i="2" s="1"/>
  <c r="CB25" i="2"/>
  <c r="BY25" i="2"/>
  <c r="BZ25" i="2"/>
  <c r="CA25" i="2"/>
  <c r="CC25" i="2"/>
  <c r="CE25" i="2"/>
  <c r="CF25" i="2"/>
  <c r="CG25" i="2"/>
  <c r="BE25" i="2"/>
  <c r="BF25" i="2"/>
  <c r="BG25" i="2"/>
  <c r="BI25" i="2"/>
  <c r="BJ25" i="2"/>
  <c r="BK25" i="2"/>
  <c r="BL25" i="2"/>
  <c r="BM25" i="2"/>
  <c r="CW25" i="2"/>
  <c r="DA25" i="2"/>
  <c r="DL25" i="2"/>
  <c r="DS25" i="2"/>
  <c r="DX25" i="2"/>
  <c r="G6" i="1"/>
  <c r="G11" i="1" s="1"/>
  <c r="H11" i="1" s="1"/>
  <c r="L6" i="1"/>
  <c r="L10" i="1" s="1"/>
  <c r="M10" i="1" s="1"/>
  <c r="L11" i="1"/>
  <c r="M11" i="1" s="1"/>
  <c r="B10" i="1"/>
  <c r="C10" i="1"/>
  <c r="D10" i="1"/>
  <c r="F10" i="1"/>
  <c r="I10" i="1" s="1"/>
  <c r="G10" i="1"/>
  <c r="H10" i="1"/>
  <c r="K10" i="1"/>
  <c r="N10" i="1" s="1"/>
  <c r="B11" i="1"/>
  <c r="C11" i="1" s="1"/>
  <c r="D11" i="1"/>
  <c r="F11" i="1"/>
  <c r="I11" i="1" s="1"/>
  <c r="K11" i="1"/>
  <c r="N11" i="1"/>
  <c r="B12" i="1"/>
  <c r="C12" i="1"/>
  <c r="D12" i="1"/>
  <c r="F12" i="1"/>
  <c r="I12" i="1" s="1"/>
  <c r="K12" i="1"/>
  <c r="N12" i="1" s="1"/>
  <c r="B13" i="1"/>
  <c r="C13" i="1"/>
  <c r="D13" i="1"/>
  <c r="F13" i="1"/>
  <c r="I13" i="1"/>
  <c r="K13" i="1"/>
  <c r="N13" i="1" s="1"/>
  <c r="L13" i="1"/>
  <c r="M13" i="1"/>
  <c r="B14" i="1"/>
  <c r="C14" i="1"/>
  <c r="D14" i="1"/>
  <c r="F14" i="1"/>
  <c r="G14" i="1"/>
  <c r="H14" i="1"/>
  <c r="I14" i="1"/>
  <c r="K14" i="1"/>
  <c r="N14" i="1" s="1"/>
  <c r="B15" i="1"/>
  <c r="C15" i="1" s="1"/>
  <c r="D15" i="1"/>
  <c r="F15" i="1"/>
  <c r="I15" i="1"/>
  <c r="G15" i="1"/>
  <c r="H15" i="1" s="1"/>
  <c r="K15" i="1"/>
  <c r="N15" i="1"/>
  <c r="B16" i="1"/>
  <c r="C16" i="1"/>
  <c r="D16" i="1"/>
  <c r="F16" i="1"/>
  <c r="I16" i="1" s="1"/>
  <c r="G16" i="1"/>
  <c r="H16" i="1" s="1"/>
  <c r="K16" i="1"/>
  <c r="N16" i="1" s="1"/>
  <c r="L16" i="1"/>
  <c r="M16" i="1" s="1"/>
  <c r="B17" i="1"/>
  <c r="C17" i="1"/>
  <c r="D17" i="1"/>
  <c r="F17" i="1"/>
  <c r="G17" i="1"/>
  <c r="H17" i="1" s="1"/>
  <c r="I17" i="1"/>
  <c r="K17" i="1"/>
  <c r="N17" i="1"/>
  <c r="B18" i="1"/>
  <c r="C18" i="1" s="1"/>
  <c r="D18" i="1"/>
  <c r="F18" i="1"/>
  <c r="I18" i="1" s="1"/>
  <c r="G18" i="1"/>
  <c r="H18" i="1" s="1"/>
  <c r="K18" i="1"/>
  <c r="N18" i="1" s="1"/>
  <c r="L18" i="1"/>
  <c r="M18" i="1" s="1"/>
  <c r="B19" i="1"/>
  <c r="C19" i="1" s="1"/>
  <c r="D19" i="1"/>
  <c r="F19" i="1"/>
  <c r="I19" i="1" s="1"/>
  <c r="G19" i="1"/>
  <c r="H19" i="1"/>
  <c r="K19" i="1"/>
  <c r="N19" i="1"/>
  <c r="L19" i="1"/>
  <c r="M19" i="1"/>
  <c r="B20" i="1"/>
  <c r="C20" i="1"/>
  <c r="D20" i="1"/>
  <c r="F20" i="1"/>
  <c r="I20" i="1" s="1"/>
  <c r="G20" i="1"/>
  <c r="H20" i="1" s="1"/>
  <c r="K20" i="1"/>
  <c r="N20" i="1" s="1"/>
  <c r="B21" i="1"/>
  <c r="C21" i="1"/>
  <c r="D21" i="1"/>
  <c r="F21" i="1"/>
  <c r="I21" i="1"/>
  <c r="G21" i="1"/>
  <c r="H21" i="1"/>
  <c r="K21" i="1"/>
  <c r="N21" i="1" s="1"/>
  <c r="L21" i="1"/>
  <c r="M21" i="1"/>
  <c r="B22" i="1"/>
  <c r="C22" i="1"/>
  <c r="D22" i="1"/>
  <c r="F22" i="1"/>
  <c r="G22" i="1"/>
  <c r="H22" i="1"/>
  <c r="I22" i="1"/>
  <c r="K22" i="1"/>
  <c r="N22" i="1" s="1"/>
  <c r="B23" i="1"/>
  <c r="C23" i="1" s="1"/>
  <c r="D23" i="1"/>
  <c r="F23" i="1"/>
  <c r="I23" i="1"/>
  <c r="G23" i="1"/>
  <c r="H23" i="1" s="1"/>
  <c r="K23" i="1"/>
  <c r="N23" i="1"/>
  <c r="B24" i="1"/>
  <c r="C24" i="1"/>
  <c r="D24" i="1"/>
  <c r="F24" i="1"/>
  <c r="I24" i="1" s="1"/>
  <c r="G24" i="1"/>
  <c r="H24" i="1" s="1"/>
  <c r="K24" i="1"/>
  <c r="N24" i="1" s="1"/>
  <c r="L24" i="1"/>
  <c r="M24" i="1" s="1"/>
  <c r="B25" i="1"/>
  <c r="C25" i="1"/>
  <c r="D25" i="1"/>
  <c r="F25" i="1"/>
  <c r="I25" i="1"/>
  <c r="G25" i="1"/>
  <c r="H25" i="1"/>
  <c r="K25" i="1"/>
  <c r="N25" i="1"/>
  <c r="L25" i="1"/>
  <c r="M25" i="1" s="1"/>
  <c r="B26" i="1"/>
  <c r="C26" i="1"/>
  <c r="D26" i="1"/>
  <c r="F26" i="1"/>
  <c r="I26" i="1" s="1"/>
  <c r="G26" i="1"/>
  <c r="H26" i="1"/>
  <c r="K26" i="1"/>
  <c r="L26" i="1" s="1"/>
  <c r="M26" i="1" s="1"/>
  <c r="N26" i="1"/>
  <c r="B27" i="1"/>
  <c r="C27" i="1" s="1"/>
  <c r="D27" i="1"/>
  <c r="F27" i="1"/>
  <c r="I27" i="1" s="1"/>
  <c r="G27" i="1"/>
  <c r="H27" i="1" s="1"/>
  <c r="K27" i="1"/>
  <c r="N27" i="1"/>
  <c r="L27" i="1"/>
  <c r="M27" i="1"/>
  <c r="B28" i="1"/>
  <c r="C28" i="1" s="1"/>
  <c r="D28" i="1"/>
  <c r="F28" i="1"/>
  <c r="I28" i="1" s="1"/>
  <c r="G28" i="1"/>
  <c r="H28" i="1" s="1"/>
  <c r="K28" i="1"/>
  <c r="N28" i="1"/>
  <c r="B29" i="1"/>
  <c r="C29" i="1" s="1"/>
  <c r="D29" i="1"/>
  <c r="F29" i="1"/>
  <c r="I29" i="1"/>
  <c r="G29" i="1"/>
  <c r="H29" i="1"/>
  <c r="K29" i="1"/>
  <c r="B30" i="1"/>
  <c r="C30" i="1" s="1"/>
  <c r="D30" i="1"/>
  <c r="F30" i="1"/>
  <c r="G30" i="1"/>
  <c r="H30" i="1" s="1"/>
  <c r="I30" i="1"/>
  <c r="K30" i="1"/>
  <c r="N30" i="1" s="1"/>
  <c r="B31" i="1"/>
  <c r="C31" i="1"/>
  <c r="D31" i="1"/>
  <c r="F31" i="1"/>
  <c r="I31" i="1" s="1"/>
  <c r="G31" i="1"/>
  <c r="H31" i="1"/>
  <c r="K31" i="1"/>
  <c r="N31" i="1" s="1"/>
  <c r="B32" i="1"/>
  <c r="C32" i="1" s="1"/>
  <c r="D32" i="1"/>
  <c r="F32" i="1"/>
  <c r="I32" i="1" s="1"/>
  <c r="G32" i="1"/>
  <c r="H32" i="1"/>
  <c r="K32" i="1"/>
  <c r="N32" i="1"/>
  <c r="L32" i="1"/>
  <c r="M32" i="1"/>
  <c r="B33" i="1"/>
  <c r="C33" i="1"/>
  <c r="D33" i="1"/>
  <c r="F33" i="1"/>
  <c r="I33" i="1" s="1"/>
  <c r="G33" i="1"/>
  <c r="H33" i="1" s="1"/>
  <c r="K33" i="1"/>
  <c r="B34" i="1"/>
  <c r="C34" i="1" s="1"/>
  <c r="D34" i="1"/>
  <c r="F34" i="1"/>
  <c r="I34" i="1"/>
  <c r="G34" i="1"/>
  <c r="H34" i="1"/>
  <c r="K34" i="1"/>
  <c r="B35" i="1"/>
  <c r="C35" i="1"/>
  <c r="D35" i="1"/>
  <c r="F35" i="1"/>
  <c r="I35" i="1" s="1"/>
  <c r="G35" i="1"/>
  <c r="H35" i="1" s="1"/>
  <c r="K35" i="1"/>
  <c r="B36" i="1"/>
  <c r="C36" i="1"/>
  <c r="D36" i="1"/>
  <c r="F36" i="1"/>
  <c r="I36" i="1"/>
  <c r="G36" i="1"/>
  <c r="H36" i="1" s="1"/>
  <c r="K36" i="1"/>
  <c r="L36" i="1" s="1"/>
  <c r="M36" i="1" s="1"/>
  <c r="N36" i="1"/>
  <c r="B37" i="1"/>
  <c r="C37" i="1"/>
  <c r="D37" i="1"/>
  <c r="F37" i="1"/>
  <c r="I37" i="1"/>
  <c r="G37" i="1"/>
  <c r="H37" i="1"/>
  <c r="K37" i="1"/>
  <c r="N37" i="1" s="1"/>
  <c r="L37" i="1"/>
  <c r="M37" i="1"/>
  <c r="B38" i="1"/>
  <c r="C38" i="1"/>
  <c r="D38" i="1"/>
  <c r="F38" i="1"/>
  <c r="I38" i="1" s="1"/>
  <c r="G38" i="1"/>
  <c r="H38" i="1"/>
  <c r="K38" i="1"/>
  <c r="B39" i="1"/>
  <c r="C39" i="1"/>
  <c r="D39" i="1"/>
  <c r="F39" i="1"/>
  <c r="I39" i="1" s="1"/>
  <c r="G39" i="1"/>
  <c r="H39" i="1"/>
  <c r="K39" i="1"/>
  <c r="N39" i="1" s="1"/>
  <c r="B40" i="1"/>
  <c r="C40" i="1" s="1"/>
  <c r="D40" i="1"/>
  <c r="F40" i="1"/>
  <c r="I40" i="1"/>
  <c r="G40" i="1"/>
  <c r="H40" i="1" s="1"/>
  <c r="K40" i="1"/>
  <c r="N40" i="1"/>
  <c r="L40" i="1"/>
  <c r="M40" i="1"/>
  <c r="B41" i="1"/>
  <c r="C41" i="1"/>
  <c r="D41" i="1"/>
  <c r="F41" i="1"/>
  <c r="I41" i="1" s="1"/>
  <c r="G41" i="1"/>
  <c r="H41" i="1" s="1"/>
  <c r="K41" i="1"/>
  <c r="C25" i="6"/>
  <c r="C27" i="6" s="1"/>
  <c r="C28" i="6"/>
  <c r="C29" i="6"/>
  <c r="AF23" i="6"/>
  <c r="AF24" i="6" s="1"/>
  <c r="C43" i="6"/>
  <c r="BC56" i="6" s="1"/>
  <c r="C44" i="6"/>
  <c r="C45" i="6"/>
  <c r="BI52" i="6" s="1"/>
  <c r="C46" i="6"/>
  <c r="I50" i="6"/>
  <c r="BJ53" i="6"/>
  <c r="BC54" i="6"/>
  <c r="BD54" i="6"/>
  <c r="BE54" i="6" s="1"/>
  <c r="BG54" i="6" s="1"/>
  <c r="BO54" i="6"/>
  <c r="BP54" i="6"/>
  <c r="BQ54" i="6" s="1"/>
  <c r="BS54" i="6" s="1"/>
  <c r="CA54" i="6"/>
  <c r="CB54" i="6"/>
  <c r="CC54" i="6" s="1"/>
  <c r="CE54" i="6" s="1"/>
  <c r="A55" i="6"/>
  <c r="B55" i="6"/>
  <c r="C55" i="6" s="1"/>
  <c r="E55" i="6" s="1"/>
  <c r="AX55" i="6"/>
  <c r="BC55" i="6"/>
  <c r="BJ55" i="6"/>
  <c r="BO55" i="6"/>
  <c r="BV55" i="6"/>
  <c r="CA55" i="6"/>
  <c r="CH55" i="6"/>
  <c r="A56" i="6"/>
  <c r="AW56" i="6"/>
  <c r="BI56" i="6"/>
  <c r="BU56" i="6"/>
  <c r="CG56" i="6"/>
  <c r="H57" i="6"/>
  <c r="AW57" i="6"/>
  <c r="BI57" i="6"/>
  <c r="BO57" i="6"/>
  <c r="BV57" i="6"/>
  <c r="CA57" i="6"/>
  <c r="CH57" i="6"/>
  <c r="A58" i="6"/>
  <c r="AX58" i="6"/>
  <c r="BC58" i="6"/>
  <c r="BJ58" i="6"/>
  <c r="BO58" i="6"/>
  <c r="BV58" i="6"/>
  <c r="CA58" i="6"/>
  <c r="CB58" i="6"/>
  <c r="CC58" i="6" s="1"/>
  <c r="CE58" i="6" s="1"/>
  <c r="A59" i="6"/>
  <c r="B59" i="6"/>
  <c r="G59" i="6"/>
  <c r="AW59" i="6"/>
  <c r="AX59" i="6"/>
  <c r="AY59" i="6" s="1"/>
  <c r="BA59" i="6"/>
  <c r="BC59" i="6"/>
  <c r="BI59" i="6"/>
  <c r="BJ59" i="6"/>
  <c r="BK59" i="6" s="1"/>
  <c r="BM59" i="6"/>
  <c r="BO59" i="6"/>
  <c r="BU59" i="6"/>
  <c r="BV59" i="6"/>
  <c r="CA59" i="6"/>
  <c r="CG59" i="6"/>
  <c r="A60" i="6"/>
  <c r="B60" i="6"/>
  <c r="C60" i="6"/>
  <c r="E60" i="6" s="1"/>
  <c r="G60" i="6"/>
  <c r="AW60" i="6"/>
  <c r="AX60" i="6"/>
  <c r="AY60" i="6" s="1"/>
  <c r="BA60" i="6" s="1"/>
  <c r="BC60" i="6"/>
  <c r="BI60" i="6"/>
  <c r="BJ60" i="6"/>
  <c r="BK60" i="6"/>
  <c r="BM60" i="6" s="1"/>
  <c r="BO60" i="6"/>
  <c r="BU60" i="6"/>
  <c r="BV60" i="6"/>
  <c r="BW60" i="6" s="1"/>
  <c r="BY60" i="6" s="1"/>
  <c r="CA60" i="6"/>
  <c r="CG60" i="6"/>
  <c r="CH60" i="6"/>
  <c r="CI60" i="6" s="1"/>
  <c r="CK60" i="6" s="1"/>
  <c r="A61" i="6"/>
  <c r="B61" i="6"/>
  <c r="C61" i="6"/>
  <c r="E61" i="6" s="1"/>
  <c r="G61" i="6"/>
  <c r="AW61" i="6"/>
  <c r="AX61" i="6"/>
  <c r="AY61" i="6" s="1"/>
  <c r="BA61" i="6" s="1"/>
  <c r="BC61" i="6"/>
  <c r="BI61" i="6"/>
  <c r="BJ61" i="6"/>
  <c r="BO61" i="6"/>
  <c r="BP61" i="6"/>
  <c r="BQ61" i="6" s="1"/>
  <c r="BS61" i="6" s="1"/>
  <c r="BU61" i="6"/>
  <c r="BV61" i="6"/>
  <c r="CA61" i="6"/>
  <c r="CG61" i="6"/>
  <c r="CH61" i="6"/>
  <c r="A62" i="6"/>
  <c r="G62" i="6"/>
  <c r="AW62" i="6"/>
  <c r="AX62" i="6"/>
  <c r="BC62" i="6"/>
  <c r="BI62" i="6"/>
  <c r="BJ62" i="6"/>
  <c r="BK62" i="6"/>
  <c r="BM62" i="6" s="1"/>
  <c r="BO62" i="6"/>
  <c r="BU62" i="6"/>
  <c r="BV62" i="6"/>
  <c r="BW62" i="6" s="1"/>
  <c r="BY62" i="6" s="1"/>
  <c r="CA62" i="6"/>
  <c r="CG62" i="6"/>
  <c r="CH62" i="6"/>
  <c r="CI62" i="6" s="1"/>
  <c r="CK62" i="6" s="1"/>
  <c r="A63" i="6"/>
  <c r="G63" i="6"/>
  <c r="H63" i="6"/>
  <c r="AW63" i="6"/>
  <c r="AX63" i="6"/>
  <c r="AY63" i="6" s="1"/>
  <c r="BA63" i="6" s="1"/>
  <c r="BC63" i="6"/>
  <c r="BI63" i="6"/>
  <c r="BJ63" i="6"/>
  <c r="BK63" i="6" s="1"/>
  <c r="BM63" i="6" s="1"/>
  <c r="BO63" i="6"/>
  <c r="BU63" i="6"/>
  <c r="BV63" i="6"/>
  <c r="BW63" i="6" s="1"/>
  <c r="BY63" i="6" s="1"/>
  <c r="CA63" i="6"/>
  <c r="CG63" i="6"/>
  <c r="CI63" i="6" s="1"/>
  <c r="CK63" i="6" s="1"/>
  <c r="CH63" i="6"/>
  <c r="A64" i="6"/>
  <c r="G64" i="6"/>
  <c r="H64" i="6"/>
  <c r="I64" i="6"/>
  <c r="K64" i="6" s="1"/>
  <c r="AW64" i="6"/>
  <c r="BC64" i="6"/>
  <c r="BI64" i="6"/>
  <c r="BJ64" i="6"/>
  <c r="BK64" i="6"/>
  <c r="BM64" i="6" s="1"/>
  <c r="BO64" i="6"/>
  <c r="BU64" i="6"/>
  <c r="BV64" i="6"/>
  <c r="BW64" i="6" s="1"/>
  <c r="BY64" i="6" s="1"/>
  <c r="CA64" i="6"/>
  <c r="CG64" i="6"/>
  <c r="CH64" i="6"/>
  <c r="CI64" i="6"/>
  <c r="CK64" i="6" s="1"/>
  <c r="A65" i="6"/>
  <c r="G65" i="6"/>
  <c r="I65" i="6" s="1"/>
  <c r="K65" i="6" s="1"/>
  <c r="H65" i="6"/>
  <c r="AW65" i="6"/>
  <c r="BC65" i="6"/>
  <c r="BD65" i="6"/>
  <c r="BI65" i="6"/>
  <c r="BO65" i="6"/>
  <c r="BP65" i="6"/>
  <c r="BQ65" i="6"/>
  <c r="BS65" i="6" s="1"/>
  <c r="BU65" i="6"/>
  <c r="CA65" i="6"/>
  <c r="CB65" i="6"/>
  <c r="CG65" i="6"/>
  <c r="A66" i="6"/>
  <c r="B66" i="6"/>
  <c r="G66" i="6"/>
  <c r="H66" i="6"/>
  <c r="AW66" i="6"/>
  <c r="AY66" i="6"/>
  <c r="BA66" i="6" s="1"/>
  <c r="AX66" i="6"/>
  <c r="BC66" i="6"/>
  <c r="BD66" i="6"/>
  <c r="BE66" i="6" s="1"/>
  <c r="BG66" i="6" s="1"/>
  <c r="BI66" i="6"/>
  <c r="BJ66" i="6"/>
  <c r="BK66" i="6"/>
  <c r="BM66" i="6" s="1"/>
  <c r="BO66" i="6"/>
  <c r="BP66" i="6"/>
  <c r="BQ66" i="6"/>
  <c r="BS66" i="6" s="1"/>
  <c r="BU66" i="6"/>
  <c r="BW66" i="6" s="1"/>
  <c r="BV66" i="6"/>
  <c r="BY66" i="6"/>
  <c r="CA66" i="6"/>
  <c r="CB66" i="6"/>
  <c r="CC66" i="6" s="1"/>
  <c r="CE66" i="6" s="1"/>
  <c r="CG66" i="6"/>
  <c r="CH66" i="6"/>
  <c r="A67" i="6"/>
  <c r="B67" i="6"/>
  <c r="C67" i="6" s="1"/>
  <c r="E67" i="6" s="1"/>
  <c r="G67" i="6"/>
  <c r="I67" i="6"/>
  <c r="K67" i="6"/>
  <c r="H67" i="6"/>
  <c r="AW67" i="6"/>
  <c r="AX67" i="6"/>
  <c r="AY67" i="6" s="1"/>
  <c r="BA67" i="6" s="1"/>
  <c r="BC67" i="6"/>
  <c r="BD67" i="6"/>
  <c r="BI67" i="6"/>
  <c r="BK67" i="6" s="1"/>
  <c r="BJ67" i="6"/>
  <c r="BM67" i="6"/>
  <c r="BO67" i="6"/>
  <c r="BP67" i="6"/>
  <c r="BQ67" i="6" s="1"/>
  <c r="BS67" i="6" s="1"/>
  <c r="BU67" i="6"/>
  <c r="BW67" i="6" s="1"/>
  <c r="BY67" i="6" s="1"/>
  <c r="BV67" i="6"/>
  <c r="CA67" i="6"/>
  <c r="CB67" i="6"/>
  <c r="CC67" i="6" s="1"/>
  <c r="CE67" i="6" s="1"/>
  <c r="CG67" i="6"/>
  <c r="CI67" i="6" s="1"/>
  <c r="CH67" i="6"/>
  <c r="CK67" i="6"/>
  <c r="A68" i="6"/>
  <c r="B68" i="6"/>
  <c r="C68" i="6" s="1"/>
  <c r="E68" i="6"/>
  <c r="G68" i="6"/>
  <c r="I68" i="6" s="1"/>
  <c r="K68" i="6" s="1"/>
  <c r="H68" i="6"/>
  <c r="AW68" i="6"/>
  <c r="AX68" i="6"/>
  <c r="AY68" i="6" s="1"/>
  <c r="BA68" i="6"/>
  <c r="BC68" i="6"/>
  <c r="BE68" i="6" s="1"/>
  <c r="BD68" i="6"/>
  <c r="BG68" i="6"/>
  <c r="BI68" i="6"/>
  <c r="BJ68" i="6"/>
  <c r="BK68" i="6" s="1"/>
  <c r="BM68" i="6" s="1"/>
  <c r="BO68" i="6"/>
  <c r="BQ68" i="6" s="1"/>
  <c r="BS68" i="6" s="1"/>
  <c r="BP68" i="6"/>
  <c r="BU68" i="6"/>
  <c r="BV68" i="6"/>
  <c r="BW68" i="6" s="1"/>
  <c r="BY68" i="6" s="1"/>
  <c r="CA68" i="6"/>
  <c r="CC68" i="6" s="1"/>
  <c r="CE68" i="6" s="1"/>
  <c r="CB68" i="6"/>
  <c r="CG68" i="6"/>
  <c r="CH68" i="6"/>
  <c r="CI68" i="6" s="1"/>
  <c r="CK68" i="6" s="1"/>
  <c r="A69" i="6"/>
  <c r="B69" i="6"/>
  <c r="G69" i="6"/>
  <c r="H69" i="6"/>
  <c r="I69" i="6" s="1"/>
  <c r="K69" i="6" s="1"/>
  <c r="AW69" i="6"/>
  <c r="AX69" i="6"/>
  <c r="AY69" i="6"/>
  <c r="BA69" i="6" s="1"/>
  <c r="BC69" i="6"/>
  <c r="BD69" i="6"/>
  <c r="BE69" i="6" s="1"/>
  <c r="BG69" i="6" s="1"/>
  <c r="BI69" i="6"/>
  <c r="BJ69" i="6"/>
  <c r="BK69" i="6" s="1"/>
  <c r="BO69" i="6"/>
  <c r="BQ69" i="6" s="1"/>
  <c r="BP69" i="6"/>
  <c r="BS69" i="6"/>
  <c r="BU69" i="6"/>
  <c r="BV69" i="6"/>
  <c r="CA69" i="6"/>
  <c r="CC69" i="6"/>
  <c r="CE69" i="6" s="1"/>
  <c r="CB69" i="6"/>
  <c r="CG69" i="6"/>
  <c r="CH69" i="6"/>
  <c r="CI69" i="6" s="1"/>
  <c r="CK69" i="6" s="1"/>
  <c r="A70" i="6"/>
  <c r="B70" i="6"/>
  <c r="C70" i="6"/>
  <c r="E70" i="6" s="1"/>
  <c r="G70" i="6"/>
  <c r="H70" i="6"/>
  <c r="I70" i="6" s="1"/>
  <c r="AW70" i="6"/>
  <c r="AX70" i="6"/>
  <c r="AY70" i="6" s="1"/>
  <c r="BA70" i="6"/>
  <c r="BC70" i="6"/>
  <c r="BE70" i="6" s="1"/>
  <c r="BD70" i="6"/>
  <c r="BG70" i="6"/>
  <c r="BI70" i="6"/>
  <c r="BJ70" i="6"/>
  <c r="BK70" i="6" s="1"/>
  <c r="BM70" i="6" s="1"/>
  <c r="BO70" i="6"/>
  <c r="BP70" i="6"/>
  <c r="BU70" i="6"/>
  <c r="BV70" i="6"/>
  <c r="BW70" i="6" s="1"/>
  <c r="BY70" i="6" s="1"/>
  <c r="CA70" i="6"/>
  <c r="CB70" i="6"/>
  <c r="CC70" i="6" s="1"/>
  <c r="CE70" i="6" s="1"/>
  <c r="CG70" i="6"/>
  <c r="CH70" i="6"/>
  <c r="A71" i="6"/>
  <c r="B71" i="6"/>
  <c r="C71" i="6" s="1"/>
  <c r="E71" i="6"/>
  <c r="G71" i="6"/>
  <c r="H71" i="6"/>
  <c r="I71" i="6" s="1"/>
  <c r="K71" i="6" s="1"/>
  <c r="AW71" i="6"/>
  <c r="AX71" i="6"/>
  <c r="AY71" i="6" s="1"/>
  <c r="BA71" i="6" s="1"/>
  <c r="BC71" i="6"/>
  <c r="BD71" i="6"/>
  <c r="BE71" i="6" s="1"/>
  <c r="BG71" i="6" s="1"/>
  <c r="BI71" i="6"/>
  <c r="BJ71" i="6"/>
  <c r="BK71" i="6" s="1"/>
  <c r="BM71" i="6"/>
  <c r="BO71" i="6"/>
  <c r="BP71" i="6"/>
  <c r="BU71" i="6"/>
  <c r="BV71" i="6"/>
  <c r="BW71" i="6" s="1"/>
  <c r="BY71" i="6"/>
  <c r="CA71" i="6"/>
  <c r="CB71" i="6"/>
  <c r="CG71" i="6"/>
  <c r="CH71" i="6"/>
  <c r="CI71" i="6" s="1"/>
  <c r="CK71" i="6" s="1"/>
  <c r="A72" i="6"/>
  <c r="B72" i="6"/>
  <c r="G72" i="6"/>
  <c r="H72" i="6"/>
  <c r="I72" i="6" s="1"/>
  <c r="K72" i="6" s="1"/>
  <c r="AW72" i="6"/>
  <c r="AX72" i="6"/>
  <c r="AY72" i="6" s="1"/>
  <c r="BA72" i="6" s="1"/>
  <c r="BC72" i="6"/>
  <c r="BD72" i="6"/>
  <c r="BE72" i="6" s="1"/>
  <c r="BG72" i="6" s="1"/>
  <c r="BI72" i="6"/>
  <c r="BJ72" i="6"/>
  <c r="BK72" i="6" s="1"/>
  <c r="BM72" i="6" s="1"/>
  <c r="BO72" i="6"/>
  <c r="BP72" i="6"/>
  <c r="BQ72" i="6" s="1"/>
  <c r="BS72" i="6"/>
  <c r="BU72" i="6"/>
  <c r="BV72" i="6"/>
  <c r="CA72" i="6"/>
  <c r="CB72" i="6"/>
  <c r="CC72" i="6" s="1"/>
  <c r="CE72" i="6"/>
  <c r="CG72" i="6"/>
  <c r="CH72" i="6"/>
  <c r="CI72" i="6" s="1"/>
  <c r="CK72" i="6" s="1"/>
  <c r="B78" i="6"/>
  <c r="E78" i="6" s="1"/>
  <c r="E80" i="6" s="1"/>
  <c r="B79" i="6"/>
  <c r="B80" i="6" s="1"/>
  <c r="E79" i="6"/>
  <c r="H79" i="6"/>
  <c r="B87" i="6"/>
  <c r="B84" i="6"/>
  <c r="B81" i="6" s="1"/>
  <c r="B86" i="6"/>
  <c r="B94" i="6"/>
  <c r="B99" i="6"/>
  <c r="E99" i="6"/>
  <c r="H99" i="6"/>
  <c r="B119" i="6"/>
  <c r="E119" i="6"/>
  <c r="H119" i="6"/>
  <c r="AC6" i="5"/>
  <c r="C8" i="5"/>
  <c r="D8" i="5"/>
  <c r="W8" i="5"/>
  <c r="N8" i="5"/>
  <c r="O8" i="5"/>
  <c r="R8" i="5"/>
  <c r="T8" i="5"/>
  <c r="AC8" i="5"/>
  <c r="AD9" i="5"/>
  <c r="AE9" i="5" s="1"/>
  <c r="AG8" i="5"/>
  <c r="AH9" i="5" s="1"/>
  <c r="B9" i="5"/>
  <c r="C9" i="5"/>
  <c r="D9" i="5"/>
  <c r="W9" i="5"/>
  <c r="N9" i="5"/>
  <c r="O9" i="5"/>
  <c r="R9" i="5" s="1"/>
  <c r="T9" i="5"/>
  <c r="AC9" i="5"/>
  <c r="AD10" i="5" s="1"/>
  <c r="AI9" i="5"/>
  <c r="AG10" i="5"/>
  <c r="AH11" i="5" s="1"/>
  <c r="B10" i="5"/>
  <c r="F10" i="5" s="1"/>
  <c r="G10" i="5" s="1"/>
  <c r="C10" i="5"/>
  <c r="D10" i="5"/>
  <c r="W10" i="5"/>
  <c r="N10" i="5"/>
  <c r="O10" i="5"/>
  <c r="R10" i="5"/>
  <c r="T10" i="5"/>
  <c r="AC10" i="5"/>
  <c r="B11" i="5"/>
  <c r="C11" i="5" s="1"/>
  <c r="D11" i="5"/>
  <c r="W11" i="5"/>
  <c r="N11" i="5"/>
  <c r="O11" i="5"/>
  <c r="T11" i="5"/>
  <c r="AC11" i="5"/>
  <c r="AI11" i="5"/>
  <c r="AG12" i="5" s="1"/>
  <c r="AH13" i="5" s="1"/>
  <c r="AI13" i="5" s="1"/>
  <c r="AG14" i="5" s="1"/>
  <c r="AH15" i="5" s="1"/>
  <c r="AI15" i="5" s="1"/>
  <c r="AG16" i="5" s="1"/>
  <c r="AH17" i="5" s="1"/>
  <c r="AI17" i="5" s="1"/>
  <c r="AG18" i="5" s="1"/>
  <c r="AH19" i="5" s="1"/>
  <c r="AI19" i="5" s="1"/>
  <c r="AG20" i="5" s="1"/>
  <c r="AH21" i="5" s="1"/>
  <c r="AI21" i="5" s="1"/>
  <c r="AG22" i="5" s="1"/>
  <c r="AH23" i="5" s="1"/>
  <c r="AI23" i="5" s="1"/>
  <c r="AG24" i="5" s="1"/>
  <c r="AH25" i="5" s="1"/>
  <c r="AI25" i="5" s="1"/>
  <c r="AG26" i="5" s="1"/>
  <c r="AH27" i="5" s="1"/>
  <c r="AI27" i="5" s="1"/>
  <c r="AG28" i="5" s="1"/>
  <c r="AH29" i="5" s="1"/>
  <c r="AI29" i="5" s="1"/>
  <c r="AG30" i="5" s="1"/>
  <c r="AH31" i="5" s="1"/>
  <c r="AI31" i="5" s="1"/>
  <c r="AG32" i="5" s="1"/>
  <c r="AH33" i="5" s="1"/>
  <c r="AI33" i="5" s="1"/>
  <c r="AG34" i="5" s="1"/>
  <c r="B12" i="5"/>
  <c r="C12" i="5"/>
  <c r="D12" i="5"/>
  <c r="W12" i="5"/>
  <c r="N12" i="5"/>
  <c r="O12" i="5"/>
  <c r="R12" i="5" s="1"/>
  <c r="T12" i="5"/>
  <c r="AC12" i="5"/>
  <c r="AD12" i="5"/>
  <c r="B13" i="5"/>
  <c r="C13" i="5" s="1"/>
  <c r="D13" i="5"/>
  <c r="W13" i="5"/>
  <c r="N13" i="5"/>
  <c r="O13" i="5" s="1"/>
  <c r="T13" i="5"/>
  <c r="AC13" i="5"/>
  <c r="B14" i="5"/>
  <c r="C14" i="5" s="1"/>
  <c r="D14" i="5"/>
  <c r="F14" i="5"/>
  <c r="G14" i="5" s="1"/>
  <c r="W14" i="5"/>
  <c r="N14" i="5"/>
  <c r="O14" i="5"/>
  <c r="U14" i="5" s="1"/>
  <c r="R14" i="5"/>
  <c r="T14" i="5"/>
  <c r="AC14" i="5"/>
  <c r="B15" i="5"/>
  <c r="C15" i="5"/>
  <c r="D15" i="5"/>
  <c r="W15" i="5"/>
  <c r="N15" i="5"/>
  <c r="O15" i="5"/>
  <c r="U15" i="5" s="1"/>
  <c r="T15" i="5"/>
  <c r="AC15" i="5"/>
  <c r="AD16" i="5" s="1"/>
  <c r="AE15" i="5"/>
  <c r="AD15" i="5"/>
  <c r="B16" i="5"/>
  <c r="C16" i="5"/>
  <c r="D16" i="5"/>
  <c r="W16" i="5"/>
  <c r="N16" i="5"/>
  <c r="O16" i="5" s="1"/>
  <c r="R16" i="5" s="1"/>
  <c r="T16" i="5"/>
  <c r="AC16" i="5"/>
  <c r="B17" i="5"/>
  <c r="F17" i="5" s="1"/>
  <c r="G17" i="5" s="1"/>
  <c r="C17" i="5"/>
  <c r="D17" i="5"/>
  <c r="W17" i="5"/>
  <c r="N17" i="5"/>
  <c r="O17" i="5" s="1"/>
  <c r="P17" i="5" s="1"/>
  <c r="V17" i="5"/>
  <c r="T17" i="5"/>
  <c r="AC17" i="5"/>
  <c r="B18" i="5"/>
  <c r="C18" i="5" s="1"/>
  <c r="F18" i="5"/>
  <c r="G18" i="5" s="1"/>
  <c r="D18" i="5"/>
  <c r="W18" i="5"/>
  <c r="N18" i="5"/>
  <c r="O18" i="5" s="1"/>
  <c r="T18" i="5"/>
  <c r="AC18" i="5"/>
  <c r="AD18" i="5"/>
  <c r="AE18" i="5" s="1"/>
  <c r="B19" i="5"/>
  <c r="C19" i="5" s="1"/>
  <c r="D19" i="5"/>
  <c r="F19" i="5"/>
  <c r="G19" i="5" s="1"/>
  <c r="W19" i="5"/>
  <c r="N19" i="5"/>
  <c r="O19" i="5" s="1"/>
  <c r="P19" i="5" s="1"/>
  <c r="T19" i="5"/>
  <c r="AC19" i="5"/>
  <c r="AE19" i="5" s="1"/>
  <c r="AD20" i="5"/>
  <c r="AD19" i="5"/>
  <c r="B20" i="5"/>
  <c r="C20" i="5"/>
  <c r="D20" i="5"/>
  <c r="W20" i="5"/>
  <c r="N20" i="5"/>
  <c r="O20" i="5"/>
  <c r="T20" i="5"/>
  <c r="AC20" i="5"/>
  <c r="B21" i="5"/>
  <c r="C21" i="5" s="1"/>
  <c r="F21" i="5"/>
  <c r="G21" i="5" s="1"/>
  <c r="D21" i="5"/>
  <c r="W21" i="5"/>
  <c r="N21" i="5"/>
  <c r="O21" i="5" s="1"/>
  <c r="R21" i="5" s="1"/>
  <c r="T21" i="5"/>
  <c r="AC21" i="5"/>
  <c r="AD22" i="5" s="1"/>
  <c r="B22" i="5"/>
  <c r="D22" i="5"/>
  <c r="W22" i="5"/>
  <c r="N22" i="5"/>
  <c r="O22" i="5" s="1"/>
  <c r="T22" i="5"/>
  <c r="AC22" i="5"/>
  <c r="B23" i="5"/>
  <c r="D23" i="5"/>
  <c r="W23" i="5"/>
  <c r="N23" i="5"/>
  <c r="O23" i="5"/>
  <c r="T23" i="5"/>
  <c r="AC23" i="5"/>
  <c r="AD24" i="5" s="1"/>
  <c r="B24" i="5"/>
  <c r="C24" i="5" s="1"/>
  <c r="D24" i="5"/>
  <c r="W24" i="5"/>
  <c r="N24" i="5"/>
  <c r="O24" i="5" s="1"/>
  <c r="T24" i="5"/>
  <c r="AC24" i="5"/>
  <c r="AD25" i="5" s="1"/>
  <c r="B25" i="5"/>
  <c r="D25" i="5"/>
  <c r="W25" i="5"/>
  <c r="N25" i="5"/>
  <c r="O25" i="5"/>
  <c r="R25" i="5" s="1"/>
  <c r="U25" i="5"/>
  <c r="T25" i="5"/>
  <c r="AC25" i="5"/>
  <c r="B26" i="5"/>
  <c r="F26" i="5" s="1"/>
  <c r="D26" i="5"/>
  <c r="W26" i="5"/>
  <c r="N26" i="5"/>
  <c r="O26" i="5" s="1"/>
  <c r="U26" i="5" s="1"/>
  <c r="T26" i="5"/>
  <c r="AC26" i="5"/>
  <c r="B27" i="5"/>
  <c r="C27" i="5"/>
  <c r="W27" i="5"/>
  <c r="N27" i="5"/>
  <c r="O27" i="5" s="1"/>
  <c r="T27" i="5"/>
  <c r="AC27" i="5"/>
  <c r="AD27" i="5"/>
  <c r="B28" i="5"/>
  <c r="C28" i="5" s="1"/>
  <c r="D28" i="5"/>
  <c r="W28" i="5"/>
  <c r="N28" i="5"/>
  <c r="O28" i="5"/>
  <c r="T28" i="5"/>
  <c r="AC28" i="5"/>
  <c r="B29" i="5"/>
  <c r="F29" i="5" s="1"/>
  <c r="D29" i="5"/>
  <c r="G29" i="5"/>
  <c r="W29" i="5"/>
  <c r="N29" i="5"/>
  <c r="O29" i="5" s="1"/>
  <c r="P29" i="5" s="1"/>
  <c r="T29" i="5"/>
  <c r="AC29" i="5"/>
  <c r="B30" i="5"/>
  <c r="C30" i="5" s="1"/>
  <c r="D30" i="5"/>
  <c r="W30" i="5"/>
  <c r="N30" i="5"/>
  <c r="O30" i="5" s="1"/>
  <c r="T30" i="5"/>
  <c r="AC30" i="5"/>
  <c r="B31" i="5"/>
  <c r="C31" i="5"/>
  <c r="D31" i="5"/>
  <c r="W31" i="5"/>
  <c r="N31" i="5"/>
  <c r="O31" i="5"/>
  <c r="T31" i="5"/>
  <c r="AC31" i="5"/>
  <c r="B32" i="5"/>
  <c r="C32" i="5"/>
  <c r="D32" i="5"/>
  <c r="W32" i="5"/>
  <c r="N32" i="5"/>
  <c r="O32" i="5" s="1"/>
  <c r="U32" i="5"/>
  <c r="R32" i="5"/>
  <c r="T32" i="5"/>
  <c r="AC32" i="5"/>
  <c r="AD32" i="5"/>
  <c r="B33" i="5"/>
  <c r="D33" i="5"/>
  <c r="W33" i="5"/>
  <c r="N33" i="5"/>
  <c r="O33" i="5"/>
  <c r="U33" i="5"/>
  <c r="T33" i="5"/>
  <c r="AC33" i="5"/>
  <c r="AD33" i="5"/>
  <c r="AE33" i="5"/>
  <c r="B34" i="5"/>
  <c r="C34" i="5"/>
  <c r="D34" i="5"/>
  <c r="W34" i="5"/>
  <c r="N34" i="5"/>
  <c r="O34" i="5" s="1"/>
  <c r="T34" i="5"/>
  <c r="AC34" i="5"/>
  <c r="AD34" i="5"/>
  <c r="AE34" i="5"/>
  <c r="B35" i="5"/>
  <c r="C35" i="5" s="1"/>
  <c r="D35" i="5"/>
  <c r="W35" i="5"/>
  <c r="N35" i="5"/>
  <c r="O35" i="5" s="1"/>
  <c r="T35" i="5"/>
  <c r="B36" i="5"/>
  <c r="D36" i="5"/>
  <c r="W36" i="5"/>
  <c r="N36" i="5"/>
  <c r="O36" i="5" s="1"/>
  <c r="T36" i="5"/>
  <c r="B37" i="5"/>
  <c r="C37" i="5" s="1"/>
  <c r="D37" i="5"/>
  <c r="W37" i="5"/>
  <c r="N37" i="5"/>
  <c r="O37" i="5" s="1"/>
  <c r="R37" i="5" s="1"/>
  <c r="T37" i="5"/>
  <c r="B38" i="5"/>
  <c r="C38" i="5" s="1"/>
  <c r="D38" i="5"/>
  <c r="W38" i="5"/>
  <c r="N38" i="5"/>
  <c r="O38" i="5" s="1"/>
  <c r="T38" i="5"/>
  <c r="B39" i="5"/>
  <c r="D39" i="5"/>
  <c r="W39" i="5"/>
  <c r="N39" i="5"/>
  <c r="O39" i="5" s="1"/>
  <c r="R39" i="5"/>
  <c r="T39" i="5"/>
  <c r="B40" i="5"/>
  <c r="C40" i="5" s="1"/>
  <c r="D40" i="5"/>
  <c r="W40" i="5"/>
  <c r="N40" i="5"/>
  <c r="O40" i="5" s="1"/>
  <c r="T40" i="5"/>
  <c r="B41" i="5"/>
  <c r="C41" i="5" s="1"/>
  <c r="D41" i="5"/>
  <c r="W41" i="5"/>
  <c r="N41" i="5"/>
  <c r="O41" i="5" s="1"/>
  <c r="U41" i="5" s="1"/>
  <c r="R41" i="5"/>
  <c r="T41" i="5"/>
  <c r="B42" i="5"/>
  <c r="C42" i="5" s="1"/>
  <c r="D42" i="5"/>
  <c r="W42" i="5"/>
  <c r="N42" i="5"/>
  <c r="O42" i="5" s="1"/>
  <c r="T42" i="5"/>
  <c r="B43" i="5"/>
  <c r="D43" i="5"/>
  <c r="W43" i="5"/>
  <c r="N43" i="5"/>
  <c r="O43" i="5" s="1"/>
  <c r="R43" i="5"/>
  <c r="T43" i="5"/>
  <c r="B44" i="5"/>
  <c r="C44" i="5" s="1"/>
  <c r="D44" i="5"/>
  <c r="W44" i="5"/>
  <c r="N44" i="5"/>
  <c r="O44" i="5" s="1"/>
  <c r="T44" i="5"/>
  <c r="B45" i="5"/>
  <c r="C45" i="5" s="1"/>
  <c r="D45" i="5"/>
  <c r="W45" i="5"/>
  <c r="N45" i="5"/>
  <c r="O45" i="5" s="1"/>
  <c r="T45" i="5"/>
  <c r="B46" i="5"/>
  <c r="D46" i="5"/>
  <c r="W46" i="5"/>
  <c r="N46" i="5"/>
  <c r="O46" i="5" s="1"/>
  <c r="R46" i="5" s="1"/>
  <c r="T46" i="5"/>
  <c r="B47" i="5"/>
  <c r="D47" i="5"/>
  <c r="W47" i="5"/>
  <c r="N47" i="5"/>
  <c r="O47" i="5" s="1"/>
  <c r="U47" i="5" s="1"/>
  <c r="R47" i="5"/>
  <c r="T47" i="5"/>
  <c r="B48" i="5"/>
  <c r="C48" i="5"/>
  <c r="D48" i="5"/>
  <c r="W48" i="5"/>
  <c r="N48" i="5"/>
  <c r="O48" i="5" s="1"/>
  <c r="U48" i="5"/>
  <c r="T48" i="5"/>
  <c r="B49" i="5"/>
  <c r="C49" i="5"/>
  <c r="D49" i="5"/>
  <c r="W49" i="5"/>
  <c r="N49" i="5"/>
  <c r="O49" i="5" s="1"/>
  <c r="R49" i="5" s="1"/>
  <c r="T49" i="5"/>
  <c r="C26" i="5"/>
  <c r="G26" i="5"/>
  <c r="U20" i="5"/>
  <c r="F38" i="5"/>
  <c r="G38" i="5"/>
  <c r="R23" i="5"/>
  <c r="U23" i="5"/>
  <c r="P23" i="5"/>
  <c r="C22" i="5"/>
  <c r="F22" i="5"/>
  <c r="G22" i="5" s="1"/>
  <c r="P44" i="5"/>
  <c r="AE32" i="5"/>
  <c r="AE24" i="5"/>
  <c r="U43" i="5"/>
  <c r="P43" i="5"/>
  <c r="P35" i="5"/>
  <c r="F48" i="5"/>
  <c r="G48" i="5" s="1"/>
  <c r="F44" i="5"/>
  <c r="G44" i="5"/>
  <c r="F40" i="5"/>
  <c r="G40" i="5" s="1"/>
  <c r="U31" i="5"/>
  <c r="U29" i="5"/>
  <c r="X29" i="5" s="1"/>
  <c r="R29" i="5"/>
  <c r="AE20" i="5"/>
  <c r="AD21" i="5"/>
  <c r="AE21" i="5" s="1"/>
  <c r="P47" i="5"/>
  <c r="R40" i="5"/>
  <c r="R33" i="5"/>
  <c r="P33" i="5"/>
  <c r="R48" i="5"/>
  <c r="P48" i="5"/>
  <c r="S48" i="5" s="1"/>
  <c r="U39" i="5"/>
  <c r="P39" i="5"/>
  <c r="V39" i="5" s="1"/>
  <c r="X39" i="5" s="1"/>
  <c r="P36" i="5"/>
  <c r="U30" i="5"/>
  <c r="R19" i="5"/>
  <c r="P49" i="5"/>
  <c r="V49" i="5" s="1"/>
  <c r="P45" i="5"/>
  <c r="R38" i="5"/>
  <c r="U37" i="5"/>
  <c r="P37" i="5"/>
  <c r="S37" i="5" s="1"/>
  <c r="R24" i="5"/>
  <c r="P24" i="5"/>
  <c r="U24" i="5"/>
  <c r="P25" i="5"/>
  <c r="F24" i="5"/>
  <c r="G24" i="5" s="1"/>
  <c r="P21" i="5"/>
  <c r="S21" i="5" s="1"/>
  <c r="F20" i="5"/>
  <c r="G20" i="5" s="1"/>
  <c r="AE12" i="5"/>
  <c r="F11" i="5"/>
  <c r="G11" i="5" s="1"/>
  <c r="F15" i="5"/>
  <c r="G15" i="5" s="1"/>
  <c r="F16" i="5"/>
  <c r="G16" i="5" s="1"/>
  <c r="F9" i="5"/>
  <c r="G9" i="5"/>
  <c r="F32" i="5"/>
  <c r="G32" i="5" s="1"/>
  <c r="F28" i="5"/>
  <c r="G28" i="5"/>
  <c r="U21" i="5"/>
  <c r="X21" i="5" s="1"/>
  <c r="J21" i="5" s="1"/>
  <c r="S17" i="5"/>
  <c r="F49" i="5"/>
  <c r="G49" i="5"/>
  <c r="F45" i="5"/>
  <c r="G45" i="5"/>
  <c r="F41" i="5"/>
  <c r="G41" i="5"/>
  <c r="F37" i="5"/>
  <c r="G37" i="5"/>
  <c r="F35" i="5"/>
  <c r="G35" i="5" s="1"/>
  <c r="P32" i="5"/>
  <c r="F31" i="5"/>
  <c r="G31" i="5" s="1"/>
  <c r="F27" i="5"/>
  <c r="G27" i="5" s="1"/>
  <c r="F13" i="5"/>
  <c r="G13" i="5"/>
  <c r="F12" i="5"/>
  <c r="G12" i="5"/>
  <c r="R17" i="5"/>
  <c r="E93" i="6"/>
  <c r="R15" i="5"/>
  <c r="P11" i="5"/>
  <c r="V11" i="5" s="1"/>
  <c r="P9" i="5"/>
  <c r="S9" i="5" s="1"/>
  <c r="BE67" i="6"/>
  <c r="BG67" i="6" s="1"/>
  <c r="F34" i="5"/>
  <c r="G34" i="5"/>
  <c r="U12" i="5"/>
  <c r="P12" i="5"/>
  <c r="S12" i="5" s="1"/>
  <c r="AD8" i="5"/>
  <c r="AH8" i="5"/>
  <c r="AE8" i="5" s="1"/>
  <c r="AI8" i="5"/>
  <c r="AG9" i="5" s="1"/>
  <c r="AH10" i="5" s="1"/>
  <c r="AI10" i="5" s="1"/>
  <c r="AG11" i="5" s="1"/>
  <c r="AH12" i="5"/>
  <c r="AI12" i="5" s="1"/>
  <c r="AG13" i="5" s="1"/>
  <c r="AH14" i="5" s="1"/>
  <c r="AI14" i="5" s="1"/>
  <c r="AG15" i="5" s="1"/>
  <c r="AH16" i="5" s="1"/>
  <c r="AI16" i="5" s="1"/>
  <c r="AG17" i="5" s="1"/>
  <c r="AH18" i="5" s="1"/>
  <c r="AI18" i="5" s="1"/>
  <c r="AG19" i="5" s="1"/>
  <c r="AH20" i="5" s="1"/>
  <c r="AI20" i="5" s="1"/>
  <c r="AG21" i="5" s="1"/>
  <c r="AH22" i="5" s="1"/>
  <c r="AI22" i="5" s="1"/>
  <c r="AG23" i="5" s="1"/>
  <c r="AH24" i="5" s="1"/>
  <c r="AI24" i="5" s="1"/>
  <c r="AG25" i="5" s="1"/>
  <c r="AH26" i="5" s="1"/>
  <c r="AI26" i="5" s="1"/>
  <c r="AG27" i="5" s="1"/>
  <c r="AH28" i="5" s="1"/>
  <c r="AI28" i="5" s="1"/>
  <c r="AG29" i="5" s="1"/>
  <c r="AH30" i="5" s="1"/>
  <c r="AI30" i="5" s="1"/>
  <c r="AG31" i="5" s="1"/>
  <c r="AH32" i="5" s="1"/>
  <c r="AI32" i="5" s="1"/>
  <c r="AG33" i="5" s="1"/>
  <c r="AH34" i="5" s="1"/>
  <c r="AI34" i="5" s="1"/>
  <c r="U17" i="5"/>
  <c r="P14" i="5"/>
  <c r="AD13" i="5"/>
  <c r="U8" i="5"/>
  <c r="P8" i="5"/>
  <c r="S8" i="5" s="1"/>
  <c r="B89" i="6"/>
  <c r="BQ70" i="6"/>
  <c r="BS70" i="6"/>
  <c r="BM69" i="6"/>
  <c r="C66" i="6"/>
  <c r="E66" i="6"/>
  <c r="I63" i="6"/>
  <c r="K63" i="6"/>
  <c r="BW69" i="6"/>
  <c r="BY69" i="6" s="1"/>
  <c r="B88" i="6"/>
  <c r="K70" i="6"/>
  <c r="C69" i="6"/>
  <c r="E69" i="6" s="1"/>
  <c r="B93" i="6"/>
  <c r="B85" i="6"/>
  <c r="AY62" i="6"/>
  <c r="BA62" i="6"/>
  <c r="N35" i="1"/>
  <c r="L35" i="1"/>
  <c r="M35" i="1"/>
  <c r="BW61" i="6"/>
  <c r="BY61" i="6" s="1"/>
  <c r="BW59" i="6"/>
  <c r="BY59" i="6"/>
  <c r="CI61" i="6"/>
  <c r="CK61" i="6"/>
  <c r="O50" i="6"/>
  <c r="G53" i="6"/>
  <c r="I53" i="6" s="1"/>
  <c r="H53" i="6"/>
  <c r="G52" i="6"/>
  <c r="I52" i="6" s="1"/>
  <c r="K52" i="6" s="1"/>
  <c r="G55" i="6"/>
  <c r="G57" i="6"/>
  <c r="I57" i="6" s="1"/>
  <c r="K57" i="6" s="1"/>
  <c r="H52" i="6"/>
  <c r="G54" i="6"/>
  <c r="G56" i="6"/>
  <c r="C59" i="6"/>
  <c r="E59" i="6" s="1"/>
  <c r="L38" i="1"/>
  <c r="M38" i="1" s="1"/>
  <c r="N38" i="1"/>
  <c r="W21" i="2"/>
  <c r="V21" i="2"/>
  <c r="C31" i="6"/>
  <c r="C32" i="6" s="1"/>
  <c r="C20" i="6" s="1"/>
  <c r="A52" i="6"/>
  <c r="M52" i="6"/>
  <c r="AW52" i="6"/>
  <c r="EI25" i="2"/>
  <c r="EO25" i="2" s="1"/>
  <c r="F8" i="5"/>
  <c r="G8" i="5" s="1"/>
  <c r="EI24" i="2"/>
  <c r="EL24" i="2" s="1"/>
  <c r="EI19" i="2"/>
  <c r="EP19" i="2" s="1"/>
  <c r="L39" i="1"/>
  <c r="M39" i="1"/>
  <c r="L31" i="1"/>
  <c r="M31" i="1"/>
  <c r="L23" i="1"/>
  <c r="M23" i="1"/>
  <c r="L15" i="1"/>
  <c r="M15" i="1" s="1"/>
  <c r="L12" i="1"/>
  <c r="M12" i="1" s="1"/>
  <c r="V24" i="2"/>
  <c r="L28" i="1"/>
  <c r="M28" i="1"/>
  <c r="L20" i="1"/>
  <c r="M20" i="1" s="1"/>
  <c r="V23" i="2"/>
  <c r="V20" i="2"/>
  <c r="L17" i="1"/>
  <c r="M17" i="1" s="1"/>
  <c r="L30" i="1"/>
  <c r="M30" i="1"/>
  <c r="L22" i="1"/>
  <c r="M22" i="1" s="1"/>
  <c r="L14" i="1"/>
  <c r="M14" i="1"/>
  <c r="V8" i="5"/>
  <c r="V48" i="5"/>
  <c r="U50" i="6"/>
  <c r="M54" i="6"/>
  <c r="O54" i="6" s="1"/>
  <c r="M56" i="6"/>
  <c r="M53" i="6"/>
  <c r="N52" i="6"/>
  <c r="M55" i="6"/>
  <c r="O55" i="6" s="1"/>
  <c r="Q55" i="6" s="1"/>
  <c r="N61" i="6"/>
  <c r="M63" i="6"/>
  <c r="M65" i="6"/>
  <c r="M67" i="6"/>
  <c r="M60" i="6"/>
  <c r="O60" i="6" s="1"/>
  <c r="N63" i="6"/>
  <c r="O63" i="6"/>
  <c r="Q63" i="6"/>
  <c r="M57" i="6"/>
  <c r="N60" i="6"/>
  <c r="N56" i="6"/>
  <c r="N57" i="6"/>
  <c r="N53" i="6"/>
  <c r="N55" i="6"/>
  <c r="N59" i="6"/>
  <c r="O59" i="6"/>
  <c r="Q59" i="6" s="1"/>
  <c r="N54" i="6"/>
  <c r="M58" i="6"/>
  <c r="M62" i="6"/>
  <c r="N65" i="6"/>
  <c r="N68" i="6"/>
  <c r="N72" i="6"/>
  <c r="N58" i="6"/>
  <c r="O58" i="6" s="1"/>
  <c r="Q58" i="6" s="1"/>
  <c r="M69" i="6"/>
  <c r="M59" i="6"/>
  <c r="M61" i="6"/>
  <c r="O61" i="6" s="1"/>
  <c r="Q61" i="6" s="1"/>
  <c r="M66" i="6"/>
  <c r="N69" i="6"/>
  <c r="N66" i="6"/>
  <c r="O66" i="6" s="1"/>
  <c r="N67" i="6"/>
  <c r="M71" i="6"/>
  <c r="M64" i="6"/>
  <c r="M70" i="6"/>
  <c r="N64" i="6"/>
  <c r="O64" i="6" s="1"/>
  <c r="N70" i="6"/>
  <c r="O70" i="6" s="1"/>
  <c r="Q70" i="6" s="1"/>
  <c r="N62" i="6"/>
  <c r="N71" i="6"/>
  <c r="M72" i="6"/>
  <c r="M68" i="6"/>
  <c r="S11" i="5"/>
  <c r="V37" i="5"/>
  <c r="X37" i="5" s="1"/>
  <c r="K37" i="5" s="1"/>
  <c r="S43" i="5"/>
  <c r="V43" i="5"/>
  <c r="X43" i="5" s="1"/>
  <c r="EJ19" i="2"/>
  <c r="V21" i="5"/>
  <c r="EK24" i="2"/>
  <c r="EN24" i="2"/>
  <c r="X24" i="5"/>
  <c r="L24" i="5" s="1"/>
  <c r="V9" i="5"/>
  <c r="S24" i="5"/>
  <c r="V24" i="5"/>
  <c r="S49" i="5"/>
  <c r="S29" i="5"/>
  <c r="V29" i="5"/>
  <c r="S25" i="5"/>
  <c r="V25" i="5"/>
  <c r="X17" i="5"/>
  <c r="S39" i="5"/>
  <c r="S23" i="5"/>
  <c r="V23" i="5"/>
  <c r="EK25" i="2"/>
  <c r="V36" i="5"/>
  <c r="S36" i="5"/>
  <c r="EP24" i="2"/>
  <c r="K53" i="6"/>
  <c r="S32" i="5"/>
  <c r="V32" i="5"/>
  <c r="S19" i="5"/>
  <c r="V19" i="5"/>
  <c r="V33" i="5"/>
  <c r="S33" i="5"/>
  <c r="S47" i="5"/>
  <c r="V47" i="5"/>
  <c r="S35" i="5"/>
  <c r="V35" i="5"/>
  <c r="Q60" i="6"/>
  <c r="Q64" i="6"/>
  <c r="X25" i="5"/>
  <c r="L25" i="5" s="1"/>
  <c r="Q54" i="6"/>
  <c r="O67" i="6"/>
  <c r="Q67" i="6"/>
  <c r="O72" i="6"/>
  <c r="Q72" i="6"/>
  <c r="O53" i="6"/>
  <c r="Q53" i="6" s="1"/>
  <c r="T52" i="6"/>
  <c r="U52" i="6"/>
  <c r="W52" i="6" s="1"/>
  <c r="T53" i="6"/>
  <c r="S55" i="6"/>
  <c r="S57" i="6"/>
  <c r="AA50" i="6"/>
  <c r="S54" i="6"/>
  <c r="S56" i="6"/>
  <c r="T54" i="6"/>
  <c r="U54" i="6" s="1"/>
  <c r="S64" i="6"/>
  <c r="S66" i="6"/>
  <c r="S68" i="6"/>
  <c r="S58" i="6"/>
  <c r="U58" i="6" s="1"/>
  <c r="S61" i="6"/>
  <c r="T58" i="6"/>
  <c r="W58" i="6"/>
  <c r="T61" i="6"/>
  <c r="S62" i="6"/>
  <c r="T62" i="6"/>
  <c r="T56" i="6"/>
  <c r="T60" i="6"/>
  <c r="T63" i="6"/>
  <c r="S52" i="6"/>
  <c r="S53" i="6"/>
  <c r="T55" i="6"/>
  <c r="U55" i="6" s="1"/>
  <c r="W55" i="6" s="1"/>
  <c r="S59" i="6"/>
  <c r="S63" i="6"/>
  <c r="T64" i="6"/>
  <c r="U64" i="6" s="1"/>
  <c r="T71" i="6"/>
  <c r="U71" i="6"/>
  <c r="W71" i="6" s="1"/>
  <c r="T57" i="6"/>
  <c r="U57" i="6"/>
  <c r="W57" i="6" s="1"/>
  <c r="S65" i="6"/>
  <c r="S70" i="6"/>
  <c r="S60" i="6"/>
  <c r="T65" i="6"/>
  <c r="U65" i="6" s="1"/>
  <c r="W65" i="6" s="1"/>
  <c r="T70" i="6"/>
  <c r="U70" i="6" s="1"/>
  <c r="W70" i="6" s="1"/>
  <c r="T59" i="6"/>
  <c r="U59" i="6" s="1"/>
  <c r="W59" i="6" s="1"/>
  <c r="T68" i="6"/>
  <c r="U68" i="6"/>
  <c r="W68" i="6" s="1"/>
  <c r="S72" i="6"/>
  <c r="T66" i="6"/>
  <c r="U66" i="6" s="1"/>
  <c r="W66" i="6" s="1"/>
  <c r="T67" i="6"/>
  <c r="U67" i="6" s="1"/>
  <c r="W67" i="6" s="1"/>
  <c r="T69" i="6"/>
  <c r="S69" i="6"/>
  <c r="S67" i="6"/>
  <c r="S71" i="6"/>
  <c r="T72" i="6"/>
  <c r="O71" i="6"/>
  <c r="Q71" i="6"/>
  <c r="Q66" i="6"/>
  <c r="O68" i="6"/>
  <c r="Q68" i="6" s="1"/>
  <c r="O57" i="6"/>
  <c r="Q57" i="6" s="1"/>
  <c r="X48" i="5"/>
  <c r="L39" i="5"/>
  <c r="O69" i="6"/>
  <c r="Q69" i="6" s="1"/>
  <c r="O56" i="6"/>
  <c r="Q56" i="6" s="1"/>
  <c r="K48" i="5"/>
  <c r="J48" i="5"/>
  <c r="Y48" i="5" s="1"/>
  <c r="W54" i="6"/>
  <c r="L48" i="5"/>
  <c r="U69" i="6"/>
  <c r="W69" i="6" s="1"/>
  <c r="U61" i="6"/>
  <c r="W61" i="6" s="1"/>
  <c r="Y53" i="6"/>
  <c r="AG50" i="6"/>
  <c r="Y55" i="6"/>
  <c r="Y65" i="6"/>
  <c r="Y67" i="6"/>
  <c r="Z59" i="6"/>
  <c r="Y58" i="6"/>
  <c r="Z61" i="6"/>
  <c r="Y60" i="6"/>
  <c r="Y69" i="6"/>
  <c r="Y64" i="6"/>
  <c r="Z69" i="6"/>
  <c r="AA69" i="6"/>
  <c r="AC69" i="6" s="1"/>
  <c r="Z64" i="6"/>
  <c r="AA64" i="6" s="1"/>
  <c r="AC64" i="6" s="1"/>
  <c r="Y61" i="6"/>
  <c r="Y68" i="6"/>
  <c r="Y66" i="6"/>
  <c r="Y70" i="6"/>
  <c r="Z65" i="6"/>
  <c r="AA65" i="6" s="1"/>
  <c r="AC65" i="6" s="1"/>
  <c r="Z71" i="6"/>
  <c r="J39" i="5"/>
  <c r="K39" i="5"/>
  <c r="Y39" i="5" s="1"/>
  <c r="U63" i="6"/>
  <c r="W63" i="6" s="1"/>
  <c r="U72" i="6"/>
  <c r="W72" i="6"/>
  <c r="U60" i="6"/>
  <c r="W60" i="6" s="1"/>
  <c r="W64" i="6"/>
  <c r="U56" i="6"/>
  <c r="W56" i="6"/>
  <c r="U53" i="6"/>
  <c r="W53" i="6"/>
  <c r="J25" i="5"/>
  <c r="J43" i="5"/>
  <c r="K43" i="5"/>
  <c r="L43" i="5"/>
  <c r="Y43" i="5"/>
  <c r="Z48" i="5"/>
  <c r="AA61" i="6"/>
  <c r="AC61" i="6" s="1"/>
  <c r="AF52" i="6"/>
  <c r="AG52" i="6"/>
  <c r="AI52" i="6" s="1"/>
  <c r="AE53" i="6"/>
  <c r="AE54" i="6"/>
  <c r="AE56" i="6"/>
  <c r="AF53" i="6"/>
  <c r="AE57" i="6"/>
  <c r="AE64" i="6"/>
  <c r="AE66" i="6"/>
  <c r="AE68" i="6"/>
  <c r="AF55" i="6"/>
  <c r="AE60" i="6"/>
  <c r="AG60" i="6" s="1"/>
  <c r="AI60" i="6" s="1"/>
  <c r="AE62" i="6"/>
  <c r="AF60" i="6"/>
  <c r="AM50" i="6"/>
  <c r="AL53" i="6" s="1"/>
  <c r="AM53" i="6" s="1"/>
  <c r="AO53" i="6" s="1"/>
  <c r="AF54" i="6"/>
  <c r="AG54" i="6"/>
  <c r="AI54" i="6" s="1"/>
  <c r="AE59" i="6"/>
  <c r="AE58" i="6"/>
  <c r="AG58" i="6" s="1"/>
  <c r="AI58" i="6" s="1"/>
  <c r="AE61" i="6"/>
  <c r="AE52" i="6"/>
  <c r="AE70" i="6"/>
  <c r="AF71" i="6"/>
  <c r="AE67" i="6"/>
  <c r="AF68" i="6"/>
  <c r="AG68" i="6"/>
  <c r="AI68" i="6"/>
  <c r="AF70" i="6"/>
  <c r="AG70" i="6" s="1"/>
  <c r="AI70" i="6" s="1"/>
  <c r="AE63" i="6"/>
  <c r="AF67" i="6"/>
  <c r="AG67" i="6" s="1"/>
  <c r="AI67" i="6" s="1"/>
  <c r="AF58" i="6"/>
  <c r="AE69" i="6"/>
  <c r="AE72" i="6"/>
  <c r="AG72" i="6" s="1"/>
  <c r="AI72" i="6" s="1"/>
  <c r="AE65" i="6"/>
  <c r="AF65" i="6"/>
  <c r="AG65" i="6"/>
  <c r="AI65" i="6" s="1"/>
  <c r="AF64" i="6"/>
  <c r="AG64" i="6" s="1"/>
  <c r="AI64" i="6" s="1"/>
  <c r="AF69" i="6"/>
  <c r="AF59" i="6"/>
  <c r="AG59" i="6" s="1"/>
  <c r="AI59" i="6" s="1"/>
  <c r="AF61" i="6"/>
  <c r="AG61" i="6"/>
  <c r="AI61" i="6" s="1"/>
  <c r="AE71" i="6"/>
  <c r="AG71" i="6" s="1"/>
  <c r="AI71" i="6" s="1"/>
  <c r="AF72" i="6"/>
  <c r="AS50" i="6"/>
  <c r="AR53" i="6" s="1"/>
  <c r="AS53" i="6" s="1"/>
  <c r="AU53" i="6" s="1"/>
  <c r="AL52" i="6"/>
  <c r="AK53" i="6"/>
  <c r="AK56" i="6"/>
  <c r="AK55" i="6"/>
  <c r="AK58" i="6"/>
  <c r="AK63" i="6"/>
  <c r="AK67" i="6"/>
  <c r="AL58" i="6"/>
  <c r="AM58" i="6"/>
  <c r="AO58" i="6"/>
  <c r="AL55" i="6"/>
  <c r="AK57" i="6"/>
  <c r="AK60" i="6"/>
  <c r="AL61" i="6"/>
  <c r="AL65" i="6"/>
  <c r="AL69" i="6"/>
  <c r="AM69" i="6" s="1"/>
  <c r="AO69" i="6" s="1"/>
  <c r="AK66" i="6"/>
  <c r="AL57" i="6"/>
  <c r="AM57" i="6"/>
  <c r="AO57" i="6"/>
  <c r="AK70" i="6"/>
  <c r="AK71" i="6"/>
  <c r="AL59" i="6"/>
  <c r="AK64" i="6"/>
  <c r="AL64" i="6"/>
  <c r="AM64" i="6" s="1"/>
  <c r="AO64" i="6" s="1"/>
  <c r="AL60" i="6"/>
  <c r="AM60" i="6" s="1"/>
  <c r="AO60" i="6" s="1"/>
  <c r="AL68" i="6"/>
  <c r="AK62" i="6"/>
  <c r="AK69" i="6"/>
  <c r="AL70" i="6"/>
  <c r="AM70" i="6" s="1"/>
  <c r="AO70" i="6" s="1"/>
  <c r="AK52" i="6"/>
  <c r="AM52" i="6" s="1"/>
  <c r="AO52" i="6" s="1"/>
  <c r="AG69" i="6"/>
  <c r="AI69" i="6" s="1"/>
  <c r="AG53" i="6"/>
  <c r="AI53" i="6" s="1"/>
  <c r="AQ55" i="6"/>
  <c r="AQ53" i="6"/>
  <c r="AQ56" i="6"/>
  <c r="AQ59" i="6"/>
  <c r="AQ62" i="6"/>
  <c r="AQ64" i="6"/>
  <c r="AR56" i="6"/>
  <c r="AS56" i="6" s="1"/>
  <c r="AU56" i="6" s="1"/>
  <c r="AQ58" i="6"/>
  <c r="AR54" i="6"/>
  <c r="AR57" i="6"/>
  <c r="AQ60" i="6"/>
  <c r="AR64" i="6"/>
  <c r="AS64" i="6" s="1"/>
  <c r="AU64" i="6" s="1"/>
  <c r="AQ65" i="6"/>
  <c r="AS65" i="6" s="1"/>
  <c r="AU65" i="6" s="1"/>
  <c r="AR65" i="6"/>
  <c r="AQ72" i="6"/>
  <c r="AR60" i="6"/>
  <c r="AS60" i="6"/>
  <c r="AU60" i="6"/>
  <c r="AR66" i="6"/>
  <c r="AQ67" i="6"/>
  <c r="AQ71" i="6"/>
  <c r="AR72" i="6"/>
  <c r="AS72" i="6" s="1"/>
  <c r="AU72" i="6" s="1"/>
  <c r="AQ63" i="6"/>
  <c r="AR67" i="6"/>
  <c r="AS67" i="6" s="1"/>
  <c r="AU67" i="6" s="1"/>
  <c r="AQ70" i="6"/>
  <c r="AM55" i="6"/>
  <c r="AO55" i="6" s="1"/>
  <c r="BV24" i="2"/>
  <c r="DO19" i="9" l="1"/>
  <c r="EC19" i="9"/>
  <c r="ED19" i="9" s="1"/>
  <c r="BB19" i="9" s="1"/>
  <c r="BF24" i="9"/>
  <c r="BE24" i="9"/>
  <c r="BE21" i="9"/>
  <c r="BF21" i="9"/>
  <c r="BC16" i="9"/>
  <c r="DB16" i="9"/>
  <c r="AX16" i="9" s="1"/>
  <c r="BE16" i="9"/>
  <c r="BF16" i="9"/>
  <c r="DG16" i="9"/>
  <c r="DH16" i="9" s="1"/>
  <c r="AY16" i="9" s="1"/>
  <c r="DI23" i="9"/>
  <c r="DJ23" i="9" s="1"/>
  <c r="AW23" i="9" s="1"/>
  <c r="BD23" i="9"/>
  <c r="DI21" i="9"/>
  <c r="DJ21" i="9" s="1"/>
  <c r="AW21" i="9" s="1"/>
  <c r="BD21" i="9"/>
  <c r="BD16" i="9"/>
  <c r="BF23" i="9"/>
  <c r="BE23" i="9"/>
  <c r="BF18" i="9"/>
  <c r="BE18" i="9"/>
  <c r="CV17" i="9"/>
  <c r="DD18" i="10"/>
  <c r="AX18" i="10"/>
  <c r="AX22" i="10"/>
  <c r="DD22" i="10"/>
  <c r="DD19" i="10"/>
  <c r="AX19" i="10"/>
  <c r="CZ16" i="10"/>
  <c r="AX16" i="10"/>
  <c r="DD14" i="10"/>
  <c r="AX17" i="10"/>
  <c r="DD17" i="10"/>
  <c r="DD21" i="10"/>
  <c r="AX21" i="10"/>
  <c r="DD24" i="10"/>
  <c r="AX24" i="10"/>
  <c r="AX23" i="10"/>
  <c r="DD23" i="10"/>
  <c r="DH16" i="10"/>
  <c r="AY16" i="10" s="1"/>
  <c r="DD16" i="10"/>
  <c r="DE16" i="10" s="1"/>
  <c r="BE20" i="9"/>
  <c r="BA16" i="9"/>
  <c r="DI16" i="9"/>
  <c r="DJ16" i="9" s="1"/>
  <c r="AW16" i="9" s="1"/>
  <c r="DR22" i="9"/>
  <c r="DC16" i="9"/>
  <c r="AV16" i="9" s="1"/>
  <c r="AR16" i="9"/>
  <c r="DN16" i="9" s="1"/>
  <c r="BA20" i="9"/>
  <c r="BA23" i="9"/>
  <c r="DC23" i="9"/>
  <c r="AV23" i="9" s="1"/>
  <c r="CX19" i="9"/>
  <c r="CV22" i="9"/>
  <c r="BA21" i="9"/>
  <c r="DC21" i="9"/>
  <c r="AV21" i="9" s="1"/>
  <c r="DT16" i="9"/>
  <c r="DU16" i="9" s="1"/>
  <c r="CB17" i="9"/>
  <c r="DD12" i="9"/>
  <c r="AR19" i="9"/>
  <c r="DN19" i="9" s="1"/>
  <c r="DV16" i="9"/>
  <c r="DW16" i="9" s="1"/>
  <c r="AR22" i="9"/>
  <c r="DN22" i="9" s="1"/>
  <c r="AU22" i="9"/>
  <c r="CX20" i="9"/>
  <c r="DO20" i="9"/>
  <c r="DP19" i="9"/>
  <c r="CV19" i="9"/>
  <c r="DB21" i="9"/>
  <c r="BC21" i="9"/>
  <c r="DG21" i="9"/>
  <c r="DH21" i="9" s="1"/>
  <c r="AY21" i="9" s="1"/>
  <c r="X20" i="9"/>
  <c r="EZ20" i="9"/>
  <c r="EC18" i="9"/>
  <c r="ED18" i="9" s="1"/>
  <c r="BB18" i="9" s="1"/>
  <c r="AT18" i="9"/>
  <c r="DX18" i="9"/>
  <c r="DP17" i="9"/>
  <c r="DX17" i="9"/>
  <c r="AT17" i="9"/>
  <c r="EC17" i="9"/>
  <c r="ED17" i="9" s="1"/>
  <c r="BB17" i="9" s="1"/>
  <c r="DV23" i="9"/>
  <c r="DW23" i="9" s="1"/>
  <c r="DT23" i="9"/>
  <c r="DU23" i="9" s="1"/>
  <c r="DY23" i="9"/>
  <c r="EA23" i="9" s="1"/>
  <c r="AZ23" i="9"/>
  <c r="D23" i="9" s="1"/>
  <c r="F23" i="9" s="1"/>
  <c r="AS23" i="9" s="1"/>
  <c r="EC22" i="9"/>
  <c r="ED22" i="9" s="1"/>
  <c r="BB22" i="9" s="1"/>
  <c r="AT22" i="9"/>
  <c r="DX22" i="9"/>
  <c r="EZ23" i="9"/>
  <c r="X23" i="9"/>
  <c r="DQ19" i="9"/>
  <c r="CB19" i="9"/>
  <c r="CW19" i="9"/>
  <c r="CX17" i="9"/>
  <c r="DO17" i="9"/>
  <c r="X18" i="9"/>
  <c r="EZ18" i="9"/>
  <c r="DB23" i="9"/>
  <c r="BC23" i="9"/>
  <c r="DG23" i="9"/>
  <c r="DH23" i="9" s="1"/>
  <c r="AY23" i="9" s="1"/>
  <c r="DR17" i="9"/>
  <c r="AU17" i="9"/>
  <c r="EZ21" i="9"/>
  <c r="X21" i="9"/>
  <c r="DO22" i="9"/>
  <c r="DV24" i="9"/>
  <c r="DW24" i="9" s="1"/>
  <c r="DT24" i="9"/>
  <c r="DU24" i="9" s="1"/>
  <c r="AR17" i="9"/>
  <c r="DN17" i="9" s="1"/>
  <c r="DO25" i="9"/>
  <c r="CX25" i="9"/>
  <c r="DB24" i="9"/>
  <c r="DG24" i="9"/>
  <c r="DH24" i="9" s="1"/>
  <c r="AY24" i="9" s="1"/>
  <c r="BC24" i="9"/>
  <c r="AR18" i="9"/>
  <c r="DN18" i="9" s="1"/>
  <c r="DR25" i="9"/>
  <c r="AU25" i="9"/>
  <c r="EC25" i="9"/>
  <c r="ED25" i="9" s="1"/>
  <c r="BB25" i="9" s="1"/>
  <c r="AT25" i="9"/>
  <c r="DX25" i="9"/>
  <c r="DY21" i="9"/>
  <c r="EA21" i="9" s="1"/>
  <c r="AZ21" i="9"/>
  <c r="D21" i="9" s="1"/>
  <c r="F21" i="9" s="1"/>
  <c r="AS21" i="9" s="1"/>
  <c r="DR19" i="9"/>
  <c r="AU19" i="9"/>
  <c r="DV21" i="9"/>
  <c r="DW21" i="9" s="1"/>
  <c r="DT21" i="9"/>
  <c r="DU21" i="9" s="1"/>
  <c r="DP22" i="9"/>
  <c r="AT19" i="9"/>
  <c r="X16" i="9"/>
  <c r="EZ16" i="9"/>
  <c r="EC16" i="9"/>
  <c r="ED16" i="9" s="1"/>
  <c r="BB16" i="9" s="1"/>
  <c r="DX16" i="9"/>
  <c r="AZ16" i="9" s="1"/>
  <c r="CW22" i="9"/>
  <c r="DQ22" i="9"/>
  <c r="CB22" i="9"/>
  <c r="CV25" i="9"/>
  <c r="DP25" i="9"/>
  <c r="DV18" i="9"/>
  <c r="DW18" i="9" s="1"/>
  <c r="DT18" i="9"/>
  <c r="DU18" i="9" s="1"/>
  <c r="DY20" i="9"/>
  <c r="EA20" i="9" s="1"/>
  <c r="AR25" i="9"/>
  <c r="DN25" i="9" s="1"/>
  <c r="DX24" i="9"/>
  <c r="EC24" i="9"/>
  <c r="ED24" i="9" s="1"/>
  <c r="BB24" i="9" s="1"/>
  <c r="AT24" i="9"/>
  <c r="CW20" i="9"/>
  <c r="DG20" i="9" s="1"/>
  <c r="DH20" i="9" s="1"/>
  <c r="AY20" i="9" s="1"/>
  <c r="DQ20" i="9"/>
  <c r="CB20" i="9"/>
  <c r="AR24" i="9"/>
  <c r="DN24" i="9" s="1"/>
  <c r="DG18" i="9"/>
  <c r="DH18" i="9" s="1"/>
  <c r="AY18" i="9" s="1"/>
  <c r="BC18" i="9"/>
  <c r="DB18" i="9"/>
  <c r="DY19" i="9"/>
  <c r="EA19" i="9" s="1"/>
  <c r="CB25" i="9"/>
  <c r="EZ25" i="9"/>
  <c r="X25" i="9"/>
  <c r="CM18" i="2"/>
  <c r="CJ19" i="2"/>
  <c r="CO19" i="2"/>
  <c r="CI19" i="2"/>
  <c r="CK23" i="2"/>
  <c r="CO23" i="2"/>
  <c r="CL23" i="2"/>
  <c r="CP23" i="2"/>
  <c r="CN23" i="2"/>
  <c r="CQ23" i="2"/>
  <c r="CM23" i="2"/>
  <c r="CJ23" i="2"/>
  <c r="CI23" i="2"/>
  <c r="CH17" i="2"/>
  <c r="CL17" i="2" s="1"/>
  <c r="CH21" i="2"/>
  <c r="CQ17" i="2"/>
  <c r="CH18" i="2"/>
  <c r="AP19" i="2"/>
  <c r="CN19" i="2"/>
  <c r="AP16" i="2"/>
  <c r="EK23" i="2"/>
  <c r="EQ23" i="2"/>
  <c r="EK21" i="2"/>
  <c r="EQ21" i="2"/>
  <c r="ER21" i="2"/>
  <c r="EM21" i="2"/>
  <c r="EN21" i="2"/>
  <c r="EO21" i="2"/>
  <c r="ES21" i="2" s="1"/>
  <c r="EL20" i="2"/>
  <c r="EN16" i="2"/>
  <c r="EJ16" i="2"/>
  <c r="X16" i="2" s="1"/>
  <c r="EP16" i="2"/>
  <c r="ER16" i="2"/>
  <c r="EO16" i="2"/>
  <c r="EK16" i="2"/>
  <c r="EL16" i="2"/>
  <c r="BU21" i="2"/>
  <c r="EN22" i="2"/>
  <c r="EM22" i="2"/>
  <c r="EK22" i="2"/>
  <c r="EL22" i="2"/>
  <c r="EQ22" i="2"/>
  <c r="ER22" i="2"/>
  <c r="EJ22" i="2"/>
  <c r="X21" i="2"/>
  <c r="EJ20" i="2"/>
  <c r="DJ24" i="2"/>
  <c r="CS24" i="2"/>
  <c r="EO23" i="2"/>
  <c r="EQ16" i="2"/>
  <c r="EQ25" i="2"/>
  <c r="BN21" i="2"/>
  <c r="BP21" i="2" s="1"/>
  <c r="BN19" i="2"/>
  <c r="BN18" i="2"/>
  <c r="BW18" i="2" s="1"/>
  <c r="EM25" i="2"/>
  <c r="V19" i="2"/>
  <c r="EI20" i="2"/>
  <c r="BN17" i="2"/>
  <c r="BV17" i="2" s="1"/>
  <c r="EO24" i="2"/>
  <c r="EM16" i="2"/>
  <c r="EJ21" i="2"/>
  <c r="EI17" i="2"/>
  <c r="ER17" i="2" s="1"/>
  <c r="BN22" i="2"/>
  <c r="W22" i="2"/>
  <c r="EI18" i="2"/>
  <c r="BN20" i="2"/>
  <c r="BP24" i="2"/>
  <c r="EJ24" i="2"/>
  <c r="X24" i="2" s="1"/>
  <c r="BN25" i="2"/>
  <c r="CW24" i="2"/>
  <c r="CW21" i="2"/>
  <c r="AM65" i="6"/>
  <c r="AO65" i="6" s="1"/>
  <c r="AG55" i="6"/>
  <c r="AI55" i="6" s="1"/>
  <c r="AA59" i="6"/>
  <c r="AC59" i="6" s="1"/>
  <c r="CK20" i="2"/>
  <c r="CP20" i="2"/>
  <c r="CO20" i="2"/>
  <c r="CN20" i="2"/>
  <c r="CQ20" i="2"/>
  <c r="CJ20" i="2"/>
  <c r="C33" i="5"/>
  <c r="F33" i="5"/>
  <c r="G33" i="5" s="1"/>
  <c r="L29" i="1"/>
  <c r="M29" i="1" s="1"/>
  <c r="N29" i="1"/>
  <c r="CN17" i="2"/>
  <c r="CM17" i="2"/>
  <c r="CI17" i="2"/>
  <c r="CO17" i="2"/>
  <c r="CP17" i="2"/>
  <c r="BO16" i="2"/>
  <c r="BX16" i="2" s="1"/>
  <c r="BQ16" i="2"/>
  <c r="BT16" i="2"/>
  <c r="BU16" i="2"/>
  <c r="X33" i="5"/>
  <c r="EP18" i="2"/>
  <c r="L21" i="5"/>
  <c r="R20" i="5"/>
  <c r="P20" i="5"/>
  <c r="V44" i="5"/>
  <c r="S44" i="5"/>
  <c r="AD17" i="5"/>
  <c r="AE17" i="5" s="1"/>
  <c r="AE16" i="5"/>
  <c r="W17" i="2"/>
  <c r="V17" i="2"/>
  <c r="CH16" i="2"/>
  <c r="Z39" i="5"/>
  <c r="Y54" i="6"/>
  <c r="Z55" i="6"/>
  <c r="AA55" i="6" s="1"/>
  <c r="AC55" i="6" s="1"/>
  <c r="Y62" i="6"/>
  <c r="Z57" i="6"/>
  <c r="AA57" i="6" s="1"/>
  <c r="AC57" i="6" s="1"/>
  <c r="Y56" i="6"/>
  <c r="Y59" i="6"/>
  <c r="Z56" i="6"/>
  <c r="AA56" i="6" s="1"/>
  <c r="AC56" i="6" s="1"/>
  <c r="Z67" i="6"/>
  <c r="AA67" i="6" s="1"/>
  <c r="AC67" i="6" s="1"/>
  <c r="Z60" i="6"/>
  <c r="AA60" i="6" s="1"/>
  <c r="AC60" i="6" s="1"/>
  <c r="Z53" i="6"/>
  <c r="AA53" i="6" s="1"/>
  <c r="AC53" i="6" s="1"/>
  <c r="Y63" i="6"/>
  <c r="Z72" i="6"/>
  <c r="AA72" i="6" s="1"/>
  <c r="AC72" i="6" s="1"/>
  <c r="Z58" i="6"/>
  <c r="AA58" i="6" s="1"/>
  <c r="AC58" i="6" s="1"/>
  <c r="Y71" i="6"/>
  <c r="AA71" i="6" s="1"/>
  <c r="AC71" i="6" s="1"/>
  <c r="Z66" i="6"/>
  <c r="AA66" i="6" s="1"/>
  <c r="AC66" i="6" s="1"/>
  <c r="Y52" i="6"/>
  <c r="BV16" i="2"/>
  <c r="U44" i="5"/>
  <c r="R44" i="5"/>
  <c r="U34" i="5"/>
  <c r="P34" i="5"/>
  <c r="R34" i="5"/>
  <c r="AD23" i="5"/>
  <c r="AE23" i="5" s="1"/>
  <c r="AE22" i="5"/>
  <c r="ER18" i="2"/>
  <c r="EQ18" i="2"/>
  <c r="EL18" i="2"/>
  <c r="EK18" i="2"/>
  <c r="EM18" i="2"/>
  <c r="EO18" i="2"/>
  <c r="BP16" i="2"/>
  <c r="AR68" i="6"/>
  <c r="AQ54" i="6"/>
  <c r="AS54" i="6" s="1"/>
  <c r="AU54" i="6" s="1"/>
  <c r="AR52" i="6"/>
  <c r="AS52" i="6" s="1"/>
  <c r="AU52" i="6" s="1"/>
  <c r="AK72" i="6"/>
  <c r="AK68" i="6"/>
  <c r="AM68" i="6" s="1"/>
  <c r="AO68" i="6" s="1"/>
  <c r="AL54" i="6"/>
  <c r="AM54" i="6" s="1"/>
  <c r="AO54" i="6" s="1"/>
  <c r="AK59" i="6"/>
  <c r="AM59" i="6" s="1"/>
  <c r="AO59" i="6" s="1"/>
  <c r="AK61" i="6"/>
  <c r="AM61" i="6" s="1"/>
  <c r="AO61" i="6" s="1"/>
  <c r="AK54" i="6"/>
  <c r="Z43" i="5"/>
  <c r="AE55" i="6"/>
  <c r="AF56" i="6"/>
  <c r="AG56" i="6" s="1"/>
  <c r="AI56" i="6" s="1"/>
  <c r="AF57" i="6"/>
  <c r="AG57" i="6" s="1"/>
  <c r="AI57" i="6" s="1"/>
  <c r="AF62" i="6"/>
  <c r="AG62" i="6" s="1"/>
  <c r="AI62" i="6" s="1"/>
  <c r="AF63" i="6"/>
  <c r="AG63" i="6" s="1"/>
  <c r="AI63" i="6" s="1"/>
  <c r="AF66" i="6"/>
  <c r="AG66" i="6" s="1"/>
  <c r="AI66" i="6" s="1"/>
  <c r="K24" i="5"/>
  <c r="Z24" i="5" s="1"/>
  <c r="CM20" i="2"/>
  <c r="CJ17" i="2"/>
  <c r="K8" i="5"/>
  <c r="X8" i="5"/>
  <c r="V45" i="5"/>
  <c r="S45" i="5"/>
  <c r="U28" i="5"/>
  <c r="R28" i="5"/>
  <c r="P28" i="5"/>
  <c r="AR62" i="6"/>
  <c r="AS62" i="6" s="1"/>
  <c r="AU62" i="6" s="1"/>
  <c r="BW16" i="2"/>
  <c r="AR58" i="6"/>
  <c r="AS58" i="6" s="1"/>
  <c r="AU58" i="6" s="1"/>
  <c r="AR59" i="6"/>
  <c r="AS59" i="6" s="1"/>
  <c r="AU59" i="6" s="1"/>
  <c r="AQ52" i="6"/>
  <c r="AL71" i="6"/>
  <c r="AM71" i="6" s="1"/>
  <c r="AO71" i="6" s="1"/>
  <c r="AL72" i="6"/>
  <c r="AL56" i="6"/>
  <c r="AM56" i="6" s="1"/>
  <c r="AO56" i="6" s="1"/>
  <c r="Z68" i="6"/>
  <c r="AA68" i="6" s="1"/>
  <c r="AC68" i="6" s="1"/>
  <c r="Z62" i="6"/>
  <c r="AA62" i="6" s="1"/>
  <c r="AC62" i="6" s="1"/>
  <c r="Z63" i="6"/>
  <c r="AA63" i="6" s="1"/>
  <c r="AC63" i="6" s="1"/>
  <c r="K21" i="5"/>
  <c r="Z21" i="5" s="1"/>
  <c r="U62" i="6"/>
  <c r="W62" i="6" s="1"/>
  <c r="X23" i="5"/>
  <c r="K23" i="5" s="1"/>
  <c r="L23" i="5"/>
  <c r="CI20" i="2"/>
  <c r="J29" i="5"/>
  <c r="L29" i="5"/>
  <c r="R45" i="5"/>
  <c r="U45" i="5"/>
  <c r="P42" i="5"/>
  <c r="U42" i="5"/>
  <c r="R42" i="5"/>
  <c r="E89" i="6"/>
  <c r="E92" i="6"/>
  <c r="E86" i="6"/>
  <c r="E85" i="6"/>
  <c r="E91" i="6"/>
  <c r="E84" i="6"/>
  <c r="E81" i="6" s="1"/>
  <c r="E88" i="6"/>
  <c r="E94" i="6"/>
  <c r="E87" i="6"/>
  <c r="E90" i="6"/>
  <c r="K17" i="5"/>
  <c r="L17" i="5"/>
  <c r="J17" i="5"/>
  <c r="X47" i="5"/>
  <c r="R27" i="5"/>
  <c r="U27" i="5"/>
  <c r="P27" i="5"/>
  <c r="BR16" i="2"/>
  <c r="AR69" i="6"/>
  <c r="AS69" i="6" s="1"/>
  <c r="AU69" i="6" s="1"/>
  <c r="AR61" i="6"/>
  <c r="L37" i="5"/>
  <c r="Z37" i="5" s="1"/>
  <c r="X32" i="5"/>
  <c r="O62" i="6"/>
  <c r="Q62" i="6" s="1"/>
  <c r="EN18" i="2"/>
  <c r="V14" i="5"/>
  <c r="S14" i="5"/>
  <c r="F47" i="5"/>
  <c r="G47" i="5" s="1"/>
  <c r="C47" i="5"/>
  <c r="AR63" i="6"/>
  <c r="AS63" i="6" s="1"/>
  <c r="AU63" i="6" s="1"/>
  <c r="AR71" i="6"/>
  <c r="AS71" i="6" s="1"/>
  <c r="AU71" i="6" s="1"/>
  <c r="AQ68" i="6"/>
  <c r="AR55" i="6"/>
  <c r="AS55" i="6" s="1"/>
  <c r="AU55" i="6" s="1"/>
  <c r="AQ61" i="6"/>
  <c r="AQ69" i="6"/>
  <c r="AR70" i="6"/>
  <c r="AS70" i="6" s="1"/>
  <c r="AU70" i="6" s="1"/>
  <c r="AQ57" i="6"/>
  <c r="AS57" i="6" s="1"/>
  <c r="AU57" i="6" s="1"/>
  <c r="AQ66" i="6"/>
  <c r="AS66" i="6" s="1"/>
  <c r="AU66" i="6" s="1"/>
  <c r="AL67" i="6"/>
  <c r="AM67" i="6" s="1"/>
  <c r="AO67" i="6" s="1"/>
  <c r="AL66" i="6"/>
  <c r="AM66" i="6" s="1"/>
  <c r="AO66" i="6" s="1"/>
  <c r="AL62" i="6"/>
  <c r="AM62" i="6" s="1"/>
  <c r="AO62" i="6" s="1"/>
  <c r="AL63" i="6"/>
  <c r="AM63" i="6" s="1"/>
  <c r="AO63" i="6" s="1"/>
  <c r="AK65" i="6"/>
  <c r="Y72" i="6"/>
  <c r="Z70" i="6"/>
  <c r="AA70" i="6" s="1"/>
  <c r="AC70" i="6" s="1"/>
  <c r="Y57" i="6"/>
  <c r="Z54" i="6"/>
  <c r="AA54" i="6" s="1"/>
  <c r="AC54" i="6" s="1"/>
  <c r="Z52" i="6"/>
  <c r="AA52" i="6" s="1"/>
  <c r="AC52" i="6" s="1"/>
  <c r="EJ18" i="2"/>
  <c r="CL20" i="2"/>
  <c r="EN19" i="2"/>
  <c r="EQ19" i="2"/>
  <c r="EO19" i="2"/>
  <c r="ER19" i="2"/>
  <c r="EK19" i="2"/>
  <c r="EL19" i="2"/>
  <c r="EM19" i="2"/>
  <c r="K25" i="5"/>
  <c r="EJ25" i="2"/>
  <c r="EJ23" i="2"/>
  <c r="CQ19" i="2"/>
  <c r="CK19" i="2"/>
  <c r="C43" i="5"/>
  <c r="F43" i="5"/>
  <c r="G43" i="5" s="1"/>
  <c r="U38" i="5"/>
  <c r="P38" i="5"/>
  <c r="AD28" i="5"/>
  <c r="AE28" i="5" s="1"/>
  <c r="AE27" i="5"/>
  <c r="J24" i="5"/>
  <c r="Y24" i="5" s="1"/>
  <c r="EP25" i="2"/>
  <c r="EL25" i="2"/>
  <c r="ER25" i="2"/>
  <c r="O52" i="6"/>
  <c r="Q52" i="6" s="1"/>
  <c r="ER23" i="2"/>
  <c r="EP23" i="2"/>
  <c r="AD30" i="5"/>
  <c r="R26" i="5"/>
  <c r="P26" i="5"/>
  <c r="AD11" i="5"/>
  <c r="AE11" i="5" s="1"/>
  <c r="AE10" i="5"/>
  <c r="I66" i="6"/>
  <c r="K66" i="6" s="1"/>
  <c r="K29" i="5"/>
  <c r="Z29" i="5" s="1"/>
  <c r="EN25" i="2"/>
  <c r="O65" i="6"/>
  <c r="Q65" i="6" s="1"/>
  <c r="EN17" i="2"/>
  <c r="CL19" i="2"/>
  <c r="EL23" i="2"/>
  <c r="EN23" i="2"/>
  <c r="U19" i="5"/>
  <c r="AE30" i="5"/>
  <c r="AD31" i="5"/>
  <c r="AE31" i="5" s="1"/>
  <c r="U46" i="5"/>
  <c r="P46" i="5"/>
  <c r="F25" i="5"/>
  <c r="G25" i="5" s="1"/>
  <c r="C25" i="5"/>
  <c r="AD14" i="5"/>
  <c r="AE14" i="5" s="1"/>
  <c r="AE13" i="5"/>
  <c r="EM24" i="2"/>
  <c r="ER24" i="2"/>
  <c r="EO22" i="2"/>
  <c r="P16" i="5"/>
  <c r="P41" i="5"/>
  <c r="U40" i="5"/>
  <c r="P40" i="5"/>
  <c r="C36" i="5"/>
  <c r="F36" i="5"/>
  <c r="G36" i="5" s="1"/>
  <c r="P30" i="5"/>
  <c r="R30" i="5"/>
  <c r="AE25" i="5"/>
  <c r="AD26" i="5"/>
  <c r="AE26" i="5" s="1"/>
  <c r="R18" i="5"/>
  <c r="U18" i="5"/>
  <c r="P18" i="5"/>
  <c r="CM19" i="2"/>
  <c r="CP19" i="2"/>
  <c r="V12" i="5"/>
  <c r="EM23" i="2"/>
  <c r="EP22" i="2"/>
  <c r="U16" i="5"/>
  <c r="C39" i="5"/>
  <c r="F39" i="5"/>
  <c r="G39" i="5" s="1"/>
  <c r="J37" i="5"/>
  <c r="Y37" i="5" s="1"/>
  <c r="E100" i="6"/>
  <c r="F30" i="5"/>
  <c r="G30" i="5" s="1"/>
  <c r="F42" i="5"/>
  <c r="G42" i="5" s="1"/>
  <c r="U35" i="5"/>
  <c r="R35" i="5"/>
  <c r="R31" i="5"/>
  <c r="P31" i="5"/>
  <c r="U22" i="5"/>
  <c r="R22" i="5"/>
  <c r="P22" i="5"/>
  <c r="CC71" i="6"/>
  <c r="CE71" i="6" s="1"/>
  <c r="U11" i="5"/>
  <c r="R11" i="5"/>
  <c r="N33" i="1"/>
  <c r="L33" i="1"/>
  <c r="M33" i="1" s="1"/>
  <c r="DS20" i="2"/>
  <c r="CW20" i="2"/>
  <c r="P15" i="5"/>
  <c r="U9" i="5"/>
  <c r="U49" i="5"/>
  <c r="R36" i="5"/>
  <c r="U36" i="5"/>
  <c r="C29" i="5"/>
  <c r="P10" i="5"/>
  <c r="U10" i="5"/>
  <c r="B90" i="6"/>
  <c r="B91" i="6"/>
  <c r="B92" i="6"/>
  <c r="C72" i="6"/>
  <c r="E72" i="6" s="1"/>
  <c r="CI66" i="6"/>
  <c r="CK66" i="6" s="1"/>
  <c r="CC65" i="6"/>
  <c r="CE65" i="6" s="1"/>
  <c r="BE65" i="6"/>
  <c r="BG65" i="6" s="1"/>
  <c r="L34" i="1"/>
  <c r="M34" i="1" s="1"/>
  <c r="N34" i="1"/>
  <c r="AP20" i="2"/>
  <c r="C46" i="5"/>
  <c r="F46" i="5"/>
  <c r="G46" i="5" s="1"/>
  <c r="C23" i="5"/>
  <c r="F23" i="5"/>
  <c r="G23" i="5" s="1"/>
  <c r="U13" i="5"/>
  <c r="R13" i="5"/>
  <c r="P13" i="5"/>
  <c r="BW72" i="6"/>
  <c r="BY72" i="6" s="1"/>
  <c r="CI70" i="6"/>
  <c r="CK70" i="6" s="1"/>
  <c r="BK61" i="6"/>
  <c r="BM61" i="6" s="1"/>
  <c r="N41" i="1"/>
  <c r="L41" i="1"/>
  <c r="M41" i="1" s="1"/>
  <c r="CH24" i="2"/>
  <c r="CJ24" i="2" s="1"/>
  <c r="BQ71" i="6"/>
  <c r="BS71" i="6" s="1"/>
  <c r="E98" i="6"/>
  <c r="E118" i="6" s="1"/>
  <c r="BD52" i="6"/>
  <c r="BD55" i="6"/>
  <c r="BE55" i="6" s="1"/>
  <c r="BG55" i="6" s="1"/>
  <c r="BP55" i="6"/>
  <c r="BQ55" i="6" s="1"/>
  <c r="BS55" i="6" s="1"/>
  <c r="CB55" i="6"/>
  <c r="CC55" i="6" s="1"/>
  <c r="CE55" i="6" s="1"/>
  <c r="B56" i="6"/>
  <c r="C56" i="6" s="1"/>
  <c r="E56" i="6" s="1"/>
  <c r="CB57" i="6"/>
  <c r="CC57" i="6" s="1"/>
  <c r="CE57" i="6" s="1"/>
  <c r="BD58" i="6"/>
  <c r="BE58" i="6" s="1"/>
  <c r="BG58" i="6" s="1"/>
  <c r="BP58" i="6"/>
  <c r="BQ58" i="6" s="1"/>
  <c r="BS58" i="6" s="1"/>
  <c r="H59" i="6"/>
  <c r="I59" i="6" s="1"/>
  <c r="K59" i="6" s="1"/>
  <c r="BD59" i="6"/>
  <c r="BE59" i="6" s="1"/>
  <c r="BG59" i="6" s="1"/>
  <c r="BP59" i="6"/>
  <c r="BQ59" i="6" s="1"/>
  <c r="BS59" i="6" s="1"/>
  <c r="CB59" i="6"/>
  <c r="CC59" i="6" s="1"/>
  <c r="CE59" i="6" s="1"/>
  <c r="BD60" i="6"/>
  <c r="BE60" i="6" s="1"/>
  <c r="BG60" i="6" s="1"/>
  <c r="BP60" i="6"/>
  <c r="BQ60" i="6" s="1"/>
  <c r="BS60" i="6" s="1"/>
  <c r="CB60" i="6"/>
  <c r="CC60" i="6" s="1"/>
  <c r="CE60" i="6" s="1"/>
  <c r="CB61" i="6"/>
  <c r="CC61" i="6" s="1"/>
  <c r="CE61" i="6" s="1"/>
  <c r="B62" i="6"/>
  <c r="C62" i="6" s="1"/>
  <c r="E62" i="6" s="1"/>
  <c r="BD62" i="6"/>
  <c r="BE62" i="6" s="1"/>
  <c r="BG62" i="6" s="1"/>
  <c r="BP62" i="6"/>
  <c r="BQ62" i="6" s="1"/>
  <c r="BS62" i="6" s="1"/>
  <c r="CB62" i="6"/>
  <c r="CC62" i="6" s="1"/>
  <c r="CE62" i="6" s="1"/>
  <c r="B63" i="6"/>
  <c r="C63" i="6" s="1"/>
  <c r="E63" i="6" s="1"/>
  <c r="BP63" i="6"/>
  <c r="BQ63" i="6" s="1"/>
  <c r="BS63" i="6" s="1"/>
  <c r="CB63" i="6"/>
  <c r="CC63" i="6" s="1"/>
  <c r="CE63" i="6" s="1"/>
  <c r="B64" i="6"/>
  <c r="C64" i="6" s="1"/>
  <c r="E64" i="6" s="1"/>
  <c r="AX64" i="6"/>
  <c r="AY64" i="6" s="1"/>
  <c r="BA64" i="6" s="1"/>
  <c r="AX65" i="6"/>
  <c r="AY65" i="6" s="1"/>
  <c r="BA65" i="6" s="1"/>
  <c r="BJ65" i="6"/>
  <c r="BK65" i="6" s="1"/>
  <c r="BM65" i="6" s="1"/>
  <c r="BV65" i="6"/>
  <c r="BW65" i="6" s="1"/>
  <c r="BY65" i="6" s="1"/>
  <c r="CH65" i="6"/>
  <c r="CI65" i="6" s="1"/>
  <c r="CK65" i="6" s="1"/>
  <c r="H54" i="6"/>
  <c r="I54" i="6" s="1"/>
  <c r="K54" i="6" s="1"/>
  <c r="BD56" i="6"/>
  <c r="BE56" i="6" s="1"/>
  <c r="BG56" i="6" s="1"/>
  <c r="BP56" i="6"/>
  <c r="BQ56" i="6" s="1"/>
  <c r="BS56" i="6" s="1"/>
  <c r="CB56" i="6"/>
  <c r="CC56" i="6" s="1"/>
  <c r="CE56" i="6" s="1"/>
  <c r="B57" i="6"/>
  <c r="BJ52" i="6"/>
  <c r="BK52" i="6" s="1"/>
  <c r="BM52" i="6" s="1"/>
  <c r="BV52" i="6"/>
  <c r="CH52" i="6"/>
  <c r="AX53" i="6"/>
  <c r="AY53" i="6" s="1"/>
  <c r="BA53" i="6" s="1"/>
  <c r="BV53" i="6"/>
  <c r="CH53" i="6"/>
  <c r="CI53" i="6" s="1"/>
  <c r="CK53" i="6" s="1"/>
  <c r="H55" i="6"/>
  <c r="I55" i="6" s="1"/>
  <c r="K55" i="6" s="1"/>
  <c r="BD57" i="6"/>
  <c r="BP57" i="6"/>
  <c r="BQ57" i="6" s="1"/>
  <c r="BS57" i="6" s="1"/>
  <c r="H58" i="6"/>
  <c r="CH58" i="6"/>
  <c r="CH59" i="6"/>
  <c r="CI59" i="6" s="1"/>
  <c r="CK59" i="6" s="1"/>
  <c r="H60" i="6"/>
  <c r="I60" i="6" s="1"/>
  <c r="K60" i="6" s="1"/>
  <c r="H61" i="6"/>
  <c r="I61" i="6" s="1"/>
  <c r="K61" i="6" s="1"/>
  <c r="BD61" i="6"/>
  <c r="BE61" i="6" s="1"/>
  <c r="BG61" i="6" s="1"/>
  <c r="H62" i="6"/>
  <c r="I62" i="6" s="1"/>
  <c r="K62" i="6" s="1"/>
  <c r="BD63" i="6"/>
  <c r="BE63" i="6" s="1"/>
  <c r="BG63" i="6" s="1"/>
  <c r="BD64" i="6"/>
  <c r="BE64" i="6" s="1"/>
  <c r="BG64" i="6" s="1"/>
  <c r="BP64" i="6"/>
  <c r="BQ64" i="6" s="1"/>
  <c r="BS64" i="6" s="1"/>
  <c r="CB64" i="6"/>
  <c r="CC64" i="6" s="1"/>
  <c r="CE64" i="6" s="1"/>
  <c r="B65" i="6"/>
  <c r="C65" i="6" s="1"/>
  <c r="E65" i="6" s="1"/>
  <c r="B52" i="6"/>
  <c r="C52" i="6" s="1"/>
  <c r="E52" i="6" s="1"/>
  <c r="AX54" i="6"/>
  <c r="AY54" i="6" s="1"/>
  <c r="BA54" i="6" s="1"/>
  <c r="BJ54" i="6"/>
  <c r="BV54" i="6"/>
  <c r="BW54" i="6" s="1"/>
  <c r="BY54" i="6" s="1"/>
  <c r="CH54" i="6"/>
  <c r="H56" i="6"/>
  <c r="I56" i="6" s="1"/>
  <c r="K56" i="6" s="1"/>
  <c r="AX56" i="6"/>
  <c r="AY56" i="6" s="1"/>
  <c r="BA56" i="6" s="1"/>
  <c r="BJ56" i="6"/>
  <c r="BK56" i="6" s="1"/>
  <c r="BM56" i="6" s="1"/>
  <c r="BV56" i="6"/>
  <c r="BW56" i="6" s="1"/>
  <c r="BY56" i="6" s="1"/>
  <c r="CH56" i="6"/>
  <c r="CI56" i="6" s="1"/>
  <c r="CK56" i="6" s="1"/>
  <c r="BP52" i="6"/>
  <c r="CB52" i="6"/>
  <c r="CC52" i="6" s="1"/>
  <c r="CE52" i="6" s="1"/>
  <c r="B53" i="6"/>
  <c r="BD53" i="6"/>
  <c r="BP53" i="6"/>
  <c r="BQ53" i="6" s="1"/>
  <c r="BS53" i="6" s="1"/>
  <c r="CB53" i="6"/>
  <c r="B54" i="6"/>
  <c r="C54" i="6" s="1"/>
  <c r="E54" i="6" s="1"/>
  <c r="AX57" i="6"/>
  <c r="AY57" i="6" s="1"/>
  <c r="BA57" i="6" s="1"/>
  <c r="BJ57" i="6"/>
  <c r="BK57" i="6" s="1"/>
  <c r="BM57" i="6" s="1"/>
  <c r="B58" i="6"/>
  <c r="C58" i="6" s="1"/>
  <c r="E58" i="6" s="1"/>
  <c r="CH22" i="2"/>
  <c r="AD29" i="5"/>
  <c r="AE29" i="5" s="1"/>
  <c r="B98" i="6"/>
  <c r="CM24" i="2"/>
  <c r="H78" i="6"/>
  <c r="H80" i="6" s="1"/>
  <c r="BW55" i="6"/>
  <c r="BY55" i="6" s="1"/>
  <c r="AX52" i="6"/>
  <c r="AY52" i="6" s="1"/>
  <c r="BA52" i="6" s="1"/>
  <c r="H98" i="6"/>
  <c r="H100" i="6" s="1"/>
  <c r="AY58" i="6"/>
  <c r="BA58" i="6" s="1"/>
  <c r="BK55" i="6"/>
  <c r="BM55" i="6" s="1"/>
  <c r="CH25" i="2"/>
  <c r="CK17" i="2"/>
  <c r="A54" i="6"/>
  <c r="CA53" i="6"/>
  <c r="BO53" i="6"/>
  <c r="BC53" i="6"/>
  <c r="A53" i="6"/>
  <c r="CA52" i="6"/>
  <c r="BO52" i="6"/>
  <c r="BC52" i="6"/>
  <c r="BI58" i="6"/>
  <c r="BK58" i="6" s="1"/>
  <c r="BM58" i="6" s="1"/>
  <c r="AW58" i="6"/>
  <c r="CG57" i="6"/>
  <c r="CI57" i="6" s="1"/>
  <c r="CK57" i="6" s="1"/>
  <c r="BU57" i="6"/>
  <c r="BW57" i="6" s="1"/>
  <c r="BY57" i="6" s="1"/>
  <c r="CG55" i="6"/>
  <c r="CI55" i="6" s="1"/>
  <c r="CK55" i="6" s="1"/>
  <c r="BU55" i="6"/>
  <c r="BI55" i="6"/>
  <c r="AW55" i="6"/>
  <c r="AY55" i="6" s="1"/>
  <c r="BA55" i="6" s="1"/>
  <c r="G13" i="1"/>
  <c r="H13" i="1" s="1"/>
  <c r="CG54" i="6"/>
  <c r="BU54" i="6"/>
  <c r="BI54" i="6"/>
  <c r="AW54" i="6"/>
  <c r="G12" i="1"/>
  <c r="H12" i="1" s="1"/>
  <c r="CG58" i="6"/>
  <c r="BU58" i="6"/>
  <c r="BW58" i="6" s="1"/>
  <c r="BY58" i="6" s="1"/>
  <c r="G58" i="6"/>
  <c r="BC57" i="6"/>
  <c r="CG53" i="6"/>
  <c r="BU53" i="6"/>
  <c r="BI53" i="6"/>
  <c r="BK53" i="6" s="1"/>
  <c r="BM53" i="6" s="1"/>
  <c r="AW53" i="6"/>
  <c r="CG52" i="6"/>
  <c r="BU52" i="6"/>
  <c r="A57" i="6"/>
  <c r="CA56" i="6"/>
  <c r="BO56" i="6"/>
  <c r="BQ22" i="2"/>
  <c r="BP22" i="2"/>
  <c r="BS22" i="2"/>
  <c r="BV22" i="2"/>
  <c r="BO22" i="2"/>
  <c r="CS22" i="2" s="1"/>
  <c r="BW22" i="2"/>
  <c r="BU22" i="2"/>
  <c r="BT22" i="2"/>
  <c r="BR22" i="2"/>
  <c r="BW17" i="2"/>
  <c r="BU17" i="2"/>
  <c r="BS17" i="2"/>
  <c r="BR17" i="2"/>
  <c r="BP17" i="2"/>
  <c r="BQ17" i="2"/>
  <c r="BV23" i="2"/>
  <c r="BS23" i="2"/>
  <c r="BQ23" i="2"/>
  <c r="BP23" i="2"/>
  <c r="BR23" i="2"/>
  <c r="BW23" i="2"/>
  <c r="BO23" i="2"/>
  <c r="BT23" i="2"/>
  <c r="BU23" i="2"/>
  <c r="BQ19" i="2"/>
  <c r="BV19" i="2"/>
  <c r="BT19" i="2"/>
  <c r="BP19" i="2"/>
  <c r="BR19" i="2"/>
  <c r="AR19" i="2" s="1"/>
  <c r="DG19" i="2" s="1"/>
  <c r="BS19" i="2"/>
  <c r="BU19" i="2"/>
  <c r="BO19" i="2"/>
  <c r="BW19" i="2"/>
  <c r="BQ25" i="2"/>
  <c r="BR25" i="2"/>
  <c r="BW25" i="2"/>
  <c r="BT25" i="2"/>
  <c r="BS25" i="2"/>
  <c r="BO25" i="2"/>
  <c r="BP25" i="2"/>
  <c r="BV20" i="2"/>
  <c r="BS20" i="2"/>
  <c r="BP20" i="2"/>
  <c r="BO20" i="2"/>
  <c r="BQ20" i="2"/>
  <c r="BU24" i="2"/>
  <c r="BT24" i="2"/>
  <c r="BW24" i="2"/>
  <c r="BR24" i="2"/>
  <c r="BS24" i="2"/>
  <c r="BQ24" i="2"/>
  <c r="BV18" i="2"/>
  <c r="BT18" i="2"/>
  <c r="BQ18" i="2"/>
  <c r="BU18" i="2"/>
  <c r="BP18" i="2"/>
  <c r="BR18" i="2"/>
  <c r="AZ19" i="9" l="1"/>
  <c r="D19" i="9" s="1"/>
  <c r="F19" i="9" s="1"/>
  <c r="AS19" i="9" s="1"/>
  <c r="DD16" i="9"/>
  <c r="DE16" i="9" s="1"/>
  <c r="BF25" i="9"/>
  <c r="BE25" i="9"/>
  <c r="DI18" i="9"/>
  <c r="DJ18" i="9" s="1"/>
  <c r="AW18" i="9" s="1"/>
  <c r="BD18" i="9"/>
  <c r="DI25" i="9"/>
  <c r="DJ25" i="9" s="1"/>
  <c r="AW25" i="9" s="1"/>
  <c r="BD25" i="9"/>
  <c r="BE19" i="9"/>
  <c r="BF19" i="9"/>
  <c r="BF17" i="9"/>
  <c r="BE17" i="9"/>
  <c r="BD20" i="9"/>
  <c r="DI17" i="9"/>
  <c r="DJ17" i="9" s="1"/>
  <c r="AW17" i="9" s="1"/>
  <c r="BD17" i="9"/>
  <c r="DG22" i="9"/>
  <c r="DH22" i="9" s="1"/>
  <c r="AY22" i="9" s="1"/>
  <c r="BF22" i="9"/>
  <c r="BE22" i="9"/>
  <c r="DI24" i="9"/>
  <c r="DJ24" i="9" s="1"/>
  <c r="AW24" i="9" s="1"/>
  <c r="BD24" i="9"/>
  <c r="DI19" i="9"/>
  <c r="DJ19" i="9" s="1"/>
  <c r="AW19" i="9" s="1"/>
  <c r="BD19" i="9"/>
  <c r="DI22" i="9"/>
  <c r="DJ22" i="9" s="1"/>
  <c r="AW22" i="9" s="1"/>
  <c r="BD22" i="9"/>
  <c r="DI20" i="9"/>
  <c r="DJ20" i="9" s="1"/>
  <c r="AW20" i="9" s="1"/>
  <c r="AZ20" i="9"/>
  <c r="D20" i="9" s="1"/>
  <c r="F20" i="9" s="1"/>
  <c r="AS20" i="9" s="1"/>
  <c r="BF20" i="9"/>
  <c r="BA17" i="9"/>
  <c r="DC17" i="9"/>
  <c r="AV17" i="9" s="1"/>
  <c r="BA24" i="9"/>
  <c r="DC24" i="9"/>
  <c r="AV24" i="9" s="1"/>
  <c r="BA19" i="9"/>
  <c r="DC19" i="9"/>
  <c r="AV19" i="9" s="1"/>
  <c r="BA22" i="9"/>
  <c r="DC22" i="9"/>
  <c r="AV22" i="9" s="1"/>
  <c r="BA25" i="9"/>
  <c r="DC25" i="9"/>
  <c r="AV25" i="9" s="1"/>
  <c r="DB22" i="9"/>
  <c r="AX22" i="9" s="1"/>
  <c r="DC20" i="9"/>
  <c r="AV20" i="9" s="1"/>
  <c r="BA18" i="9"/>
  <c r="DC18" i="9"/>
  <c r="AV18" i="9" s="1"/>
  <c r="DV22" i="9"/>
  <c r="DW22" i="9" s="1"/>
  <c r="DD14" i="9"/>
  <c r="BC22" i="9"/>
  <c r="CZ16" i="9"/>
  <c r="AZ24" i="9"/>
  <c r="D24" i="9" s="1"/>
  <c r="F24" i="9" s="1"/>
  <c r="AS24" i="9" s="1"/>
  <c r="DY24" i="9"/>
  <c r="EA24" i="9" s="1"/>
  <c r="DY16" i="9"/>
  <c r="EA16" i="9" s="1"/>
  <c r="D16" i="9"/>
  <c r="F16" i="9" s="1"/>
  <c r="AS16" i="9" s="1"/>
  <c r="DY25" i="9"/>
  <c r="EA25" i="9" s="1"/>
  <c r="AZ25" i="9"/>
  <c r="D25" i="9" s="1"/>
  <c r="F25" i="9" s="1"/>
  <c r="AS25" i="9" s="1"/>
  <c r="DY22" i="9"/>
  <c r="EA22" i="9" s="1"/>
  <c r="AZ22" i="9"/>
  <c r="D22" i="9" s="1"/>
  <c r="F22" i="9" s="1"/>
  <c r="AS22" i="9" s="1"/>
  <c r="AX24" i="9"/>
  <c r="DD24" i="9"/>
  <c r="DB20" i="9"/>
  <c r="DG25" i="9"/>
  <c r="DH25" i="9" s="1"/>
  <c r="AY25" i="9" s="1"/>
  <c r="BC25" i="9"/>
  <c r="DB25" i="9"/>
  <c r="DB17" i="9"/>
  <c r="DG17" i="9"/>
  <c r="DH17" i="9" s="1"/>
  <c r="AY17" i="9" s="1"/>
  <c r="BC17" i="9"/>
  <c r="DY17" i="9"/>
  <c r="EA17" i="9" s="1"/>
  <c r="AZ17" i="9"/>
  <c r="D17" i="9" s="1"/>
  <c r="F17" i="9" s="1"/>
  <c r="AS17" i="9" s="1"/>
  <c r="BC20" i="9"/>
  <c r="DB19" i="9"/>
  <c r="DG19" i="9"/>
  <c r="DH19" i="9" s="1"/>
  <c r="AY19" i="9" s="1"/>
  <c r="BC19" i="9"/>
  <c r="DT25" i="9"/>
  <c r="DU25" i="9" s="1"/>
  <c r="DV25" i="9"/>
  <c r="DW25" i="9" s="1"/>
  <c r="DV17" i="9"/>
  <c r="DW17" i="9" s="1"/>
  <c r="DT17" i="9"/>
  <c r="DU17" i="9" s="1"/>
  <c r="DD21" i="9"/>
  <c r="AX21" i="9"/>
  <c r="AX18" i="9"/>
  <c r="DD18" i="9"/>
  <c r="DV19" i="9"/>
  <c r="DW19" i="9" s="1"/>
  <c r="DT19" i="9"/>
  <c r="DU19" i="9" s="1"/>
  <c r="DT20" i="9"/>
  <c r="DU20" i="9" s="1"/>
  <c r="DY18" i="9"/>
  <c r="EA18" i="9" s="1"/>
  <c r="AZ18" i="9"/>
  <c r="D18" i="9" s="1"/>
  <c r="F18" i="9" s="1"/>
  <c r="AS18" i="9" s="1"/>
  <c r="DV20" i="9"/>
  <c r="DW20" i="9" s="1"/>
  <c r="DT22" i="9"/>
  <c r="DU22" i="9" s="1"/>
  <c r="DD23" i="9"/>
  <c r="AX23" i="9"/>
  <c r="CM21" i="2"/>
  <c r="CO21" i="2"/>
  <c r="CL21" i="2"/>
  <c r="CN21" i="2"/>
  <c r="CJ21" i="2"/>
  <c r="CI21" i="2"/>
  <c r="CP21" i="2"/>
  <c r="CK21" i="2"/>
  <c r="CQ21" i="2"/>
  <c r="CI18" i="2"/>
  <c r="CO18" i="2"/>
  <c r="CN18" i="2"/>
  <c r="CJ18" i="2"/>
  <c r="CP18" i="2"/>
  <c r="CQ18" i="2"/>
  <c r="CL18" i="2"/>
  <c r="AR18" i="2" s="1"/>
  <c r="DG18" i="2" s="1"/>
  <c r="CK18" i="2"/>
  <c r="DI16" i="2"/>
  <c r="CY12" i="2" s="1"/>
  <c r="ES16" i="2"/>
  <c r="CR16" i="2"/>
  <c r="BT20" i="2"/>
  <c r="DK20" i="2" s="1"/>
  <c r="BR20" i="2"/>
  <c r="BS18" i="2"/>
  <c r="DK18" i="2" s="1"/>
  <c r="BU20" i="2"/>
  <c r="DK16" i="2"/>
  <c r="DO16" i="2" s="1"/>
  <c r="DP16" i="2" s="1"/>
  <c r="BO17" i="2"/>
  <c r="DJ17" i="2" s="1"/>
  <c r="DH22" i="2"/>
  <c r="ES19" i="2"/>
  <c r="EK20" i="2"/>
  <c r="EM20" i="2"/>
  <c r="EP20" i="2"/>
  <c r="EN20" i="2"/>
  <c r="EO20" i="2"/>
  <c r="X20" i="2" s="1"/>
  <c r="EQ20" i="2"/>
  <c r="AR20" i="2"/>
  <c r="DG20" i="2" s="1"/>
  <c r="BO18" i="2"/>
  <c r="BW20" i="2"/>
  <c r="BT17" i="2"/>
  <c r="X22" i="2"/>
  <c r="BS21" i="2"/>
  <c r="BQ21" i="2"/>
  <c r="BW21" i="2"/>
  <c r="BO21" i="2"/>
  <c r="BR21" i="2"/>
  <c r="BT21" i="2"/>
  <c r="DI22" i="2"/>
  <c r="BV21" i="2"/>
  <c r="EQ17" i="2"/>
  <c r="EM17" i="2"/>
  <c r="EO17" i="2"/>
  <c r="EJ17" i="2"/>
  <c r="EL17" i="2"/>
  <c r="EP17" i="2"/>
  <c r="ES24" i="2"/>
  <c r="CT16" i="2"/>
  <c r="BU25" i="2"/>
  <c r="DI25" i="2" s="1"/>
  <c r="BV25" i="2"/>
  <c r="ER20" i="2"/>
  <c r="EK17" i="2"/>
  <c r="J32" i="5"/>
  <c r="K32" i="5"/>
  <c r="Y29" i="5"/>
  <c r="CN25" i="2"/>
  <c r="AT25" i="2" s="1"/>
  <c r="AY25" i="2" s="1"/>
  <c r="CK25" i="2"/>
  <c r="CL25" i="2"/>
  <c r="CQ25" i="2"/>
  <c r="CO25" i="2"/>
  <c r="CP25" i="2"/>
  <c r="CJ25" i="2"/>
  <c r="CM25" i="2"/>
  <c r="X36" i="5"/>
  <c r="E109" i="6"/>
  <c r="E111" i="6"/>
  <c r="E104" i="6"/>
  <c r="E101" i="6" s="1"/>
  <c r="E114" i="6"/>
  <c r="E105" i="6"/>
  <c r="E110" i="6"/>
  <c r="E113" i="6"/>
  <c r="E108" i="6"/>
  <c r="E106" i="6"/>
  <c r="E112" i="6"/>
  <c r="E107" i="6"/>
  <c r="X25" i="2"/>
  <c r="ES25" i="2"/>
  <c r="L32" i="5"/>
  <c r="J47" i="5"/>
  <c r="K47" i="5"/>
  <c r="Z47" i="5" s="1"/>
  <c r="L45" i="5"/>
  <c r="CK16" i="2"/>
  <c r="CN16" i="2"/>
  <c r="CQ16" i="2"/>
  <c r="CO16" i="2"/>
  <c r="CI16" i="2"/>
  <c r="CJ16" i="2"/>
  <c r="CL16" i="2"/>
  <c r="CM16" i="2"/>
  <c r="ES22" i="2"/>
  <c r="DJ16" i="2"/>
  <c r="DM16" i="2" s="1"/>
  <c r="DN16" i="2" s="1"/>
  <c r="CS16" i="2"/>
  <c r="BE52" i="6"/>
  <c r="BG52" i="6" s="1"/>
  <c r="S22" i="5"/>
  <c r="V22" i="5"/>
  <c r="X18" i="5"/>
  <c r="J18" i="5" s="1"/>
  <c r="K18" i="5"/>
  <c r="V40" i="5"/>
  <c r="X40" i="5" s="1"/>
  <c r="S40" i="5"/>
  <c r="X19" i="5"/>
  <c r="K19" i="5"/>
  <c r="X23" i="2"/>
  <c r="ES23" i="2"/>
  <c r="L44" i="5"/>
  <c r="CT22" i="2"/>
  <c r="CI25" i="2"/>
  <c r="CC53" i="6"/>
  <c r="CE53" i="6" s="1"/>
  <c r="BW53" i="6"/>
  <c r="BY53" i="6" s="1"/>
  <c r="E120" i="6"/>
  <c r="H118" i="6"/>
  <c r="H120" i="6" s="1"/>
  <c r="X22" i="5"/>
  <c r="J22" i="5" s="1"/>
  <c r="V41" i="5"/>
  <c r="S41" i="5"/>
  <c r="S38" i="5"/>
  <c r="V38" i="5"/>
  <c r="J23" i="5"/>
  <c r="Y23" i="5" s="1"/>
  <c r="Y17" i="5"/>
  <c r="L8" i="5"/>
  <c r="J8" i="5"/>
  <c r="Y8" i="5" s="1"/>
  <c r="V34" i="5"/>
  <c r="S34" i="5"/>
  <c r="CP16" i="2"/>
  <c r="Z25" i="5"/>
  <c r="Y25" i="5"/>
  <c r="X34" i="5"/>
  <c r="J34" i="5" s="1"/>
  <c r="AR17" i="2"/>
  <c r="BE53" i="6"/>
  <c r="BG53" i="6" s="1"/>
  <c r="CI52" i="6"/>
  <c r="CK52" i="6" s="1"/>
  <c r="X9" i="5"/>
  <c r="X11" i="5"/>
  <c r="K11" i="5"/>
  <c r="L12" i="5"/>
  <c r="X12" i="5"/>
  <c r="S46" i="5"/>
  <c r="V46" i="5"/>
  <c r="V26" i="5"/>
  <c r="S26" i="5"/>
  <c r="X18" i="2"/>
  <c r="ES18" i="2"/>
  <c r="Z17" i="5"/>
  <c r="V42" i="5"/>
  <c r="X42" i="5" s="1"/>
  <c r="S42" i="5"/>
  <c r="Z23" i="5"/>
  <c r="AM72" i="6"/>
  <c r="AO72" i="6" s="1"/>
  <c r="B118" i="6"/>
  <c r="B120" i="6" s="1"/>
  <c r="B100" i="6"/>
  <c r="S16" i="5"/>
  <c r="V16" i="5"/>
  <c r="AS61" i="6"/>
  <c r="AU61" i="6" s="1"/>
  <c r="V28" i="5"/>
  <c r="S28" i="5"/>
  <c r="Z8" i="5"/>
  <c r="V20" i="5"/>
  <c r="S20" i="5"/>
  <c r="CI58" i="6"/>
  <c r="CK58" i="6" s="1"/>
  <c r="S13" i="5"/>
  <c r="V13" i="5"/>
  <c r="DH16" i="2"/>
  <c r="AU22" i="2"/>
  <c r="CX22" i="2" s="1"/>
  <c r="H106" i="6"/>
  <c r="H107" i="6"/>
  <c r="H114" i="6"/>
  <c r="H104" i="6"/>
  <c r="H101" i="6" s="1"/>
  <c r="H105" i="6"/>
  <c r="H109" i="6"/>
  <c r="H112" i="6"/>
  <c r="H113" i="6"/>
  <c r="H108" i="6"/>
  <c r="H110" i="6"/>
  <c r="H111" i="6"/>
  <c r="CO22" i="2"/>
  <c r="CL22" i="2"/>
  <c r="AR22" i="2" s="1"/>
  <c r="DG22" i="2" s="1"/>
  <c r="CI22" i="2"/>
  <c r="CP22" i="2"/>
  <c r="CJ22" i="2"/>
  <c r="CQ22" i="2"/>
  <c r="CN22" i="2"/>
  <c r="AT22" i="2" s="1"/>
  <c r="AY22" i="2" s="1"/>
  <c r="CK22" i="2"/>
  <c r="CM22" i="2"/>
  <c r="C53" i="6"/>
  <c r="E53" i="6" s="1"/>
  <c r="CI54" i="6"/>
  <c r="CK54" i="6" s="1"/>
  <c r="I58" i="6"/>
  <c r="K58" i="6" s="1"/>
  <c r="BW52" i="6"/>
  <c r="BY52" i="6" s="1"/>
  <c r="S15" i="5"/>
  <c r="V15" i="5"/>
  <c r="S30" i="5"/>
  <c r="V30" i="5"/>
  <c r="X46" i="5"/>
  <c r="J46" i="5" s="1"/>
  <c r="X19" i="2"/>
  <c r="L47" i="5"/>
  <c r="X45" i="5"/>
  <c r="J45" i="5" s="1"/>
  <c r="K45" i="5"/>
  <c r="Z45" i="5" s="1"/>
  <c r="X44" i="5"/>
  <c r="J44" i="5" s="1"/>
  <c r="K33" i="5"/>
  <c r="Z33" i="5" s="1"/>
  <c r="J33" i="5"/>
  <c r="CI24" i="2"/>
  <c r="CL24" i="2"/>
  <c r="CN24" i="2"/>
  <c r="CO24" i="2"/>
  <c r="CK24" i="2"/>
  <c r="CQ24" i="2"/>
  <c r="CP24" i="2"/>
  <c r="X13" i="5"/>
  <c r="J13" i="5" s="1"/>
  <c r="X35" i="5"/>
  <c r="K35" i="5"/>
  <c r="S27" i="5"/>
  <c r="V27" i="5"/>
  <c r="X27" i="5" s="1"/>
  <c r="AS68" i="6"/>
  <c r="AU68" i="6" s="1"/>
  <c r="L33" i="5"/>
  <c r="H85" i="6"/>
  <c r="H86" i="6"/>
  <c r="H93" i="6"/>
  <c r="H89" i="6"/>
  <c r="H90" i="6"/>
  <c r="H84" i="6"/>
  <c r="H81" i="6" s="1"/>
  <c r="H92" i="6"/>
  <c r="H87" i="6"/>
  <c r="H94" i="6"/>
  <c r="H88" i="6"/>
  <c r="H91" i="6"/>
  <c r="K49" i="5"/>
  <c r="X49" i="5"/>
  <c r="V31" i="5"/>
  <c r="S31" i="5"/>
  <c r="X14" i="5"/>
  <c r="BX22" i="2"/>
  <c r="BQ52" i="6"/>
  <c r="BS52" i="6" s="1"/>
  <c r="BK54" i="6"/>
  <c r="BM54" i="6" s="1"/>
  <c r="BE57" i="6"/>
  <c r="BG57" i="6" s="1"/>
  <c r="C57" i="6"/>
  <c r="E57" i="6" s="1"/>
  <c r="V10" i="5"/>
  <c r="X10" i="5" s="1"/>
  <c r="S10" i="5"/>
  <c r="V18" i="5"/>
  <c r="S18" i="5"/>
  <c r="Y21" i="5"/>
  <c r="AR23" i="2"/>
  <c r="DG23" i="2" s="1"/>
  <c r="DJ22" i="2"/>
  <c r="DM22" i="2" s="1"/>
  <c r="DN22" i="2" s="1"/>
  <c r="CR22" i="2"/>
  <c r="BX24" i="2"/>
  <c r="DK22" i="2"/>
  <c r="AU18" i="2"/>
  <c r="DK23" i="2"/>
  <c r="AU23" i="2"/>
  <c r="DJ19" i="2"/>
  <c r="CS19" i="2"/>
  <c r="BX19" i="2"/>
  <c r="DG17" i="2"/>
  <c r="AT17" i="2"/>
  <c r="AY17" i="2" s="1"/>
  <c r="DQ17" i="2"/>
  <c r="DI17" i="2"/>
  <c r="DV17" i="2"/>
  <c r="DW17" i="2" s="1"/>
  <c r="AZ17" i="2" s="1"/>
  <c r="CR17" i="2"/>
  <c r="DV18" i="2"/>
  <c r="DW18" i="2" s="1"/>
  <c r="AZ18" i="2" s="1"/>
  <c r="DI18" i="2"/>
  <c r="AT18" i="2"/>
  <c r="AY18" i="2" s="1"/>
  <c r="DQ18" i="2"/>
  <c r="CS18" i="2"/>
  <c r="DJ18" i="2"/>
  <c r="BX18" i="2"/>
  <c r="CT24" i="2"/>
  <c r="DH24" i="2"/>
  <c r="CR24" i="2"/>
  <c r="DI24" i="2"/>
  <c r="AT24" i="2"/>
  <c r="AY24" i="2" s="1"/>
  <c r="DQ24" i="2"/>
  <c r="DV24" i="2"/>
  <c r="DW24" i="2" s="1"/>
  <c r="AZ24" i="2" s="1"/>
  <c r="DI20" i="2"/>
  <c r="CT20" i="2"/>
  <c r="DH20" i="2"/>
  <c r="AU20" i="2"/>
  <c r="DJ25" i="2"/>
  <c r="BX25" i="2"/>
  <c r="CS25" i="2"/>
  <c r="AR25" i="2"/>
  <c r="DG25" i="2" s="1"/>
  <c r="DB16" i="2"/>
  <c r="BA16" i="2"/>
  <c r="CR19" i="2"/>
  <c r="DQ19" i="2"/>
  <c r="DV19" i="2"/>
  <c r="DW19" i="2" s="1"/>
  <c r="AZ19" i="2" s="1"/>
  <c r="AT19" i="2"/>
  <c r="AY19" i="2" s="1"/>
  <c r="DI19" i="2"/>
  <c r="DI23" i="2"/>
  <c r="CR23" i="2"/>
  <c r="DQ23" i="2"/>
  <c r="DV23" i="2"/>
  <c r="DW23" i="2" s="1"/>
  <c r="AZ23" i="2" s="1"/>
  <c r="AT23" i="2"/>
  <c r="AY23" i="2" s="1"/>
  <c r="CT17" i="2"/>
  <c r="DH17" i="2"/>
  <c r="DK17" i="2"/>
  <c r="AU17" i="2"/>
  <c r="CT19" i="2"/>
  <c r="DH19" i="2"/>
  <c r="DH18" i="2"/>
  <c r="CT18" i="2"/>
  <c r="AU24" i="2"/>
  <c r="DK24" i="2"/>
  <c r="DJ20" i="2"/>
  <c r="DV20" i="2"/>
  <c r="DW20" i="2" s="1"/>
  <c r="AZ20" i="2" s="1"/>
  <c r="CS20" i="2"/>
  <c r="BX20" i="2"/>
  <c r="AU25" i="2"/>
  <c r="DK25" i="2"/>
  <c r="DH25" i="2"/>
  <c r="CT25" i="2"/>
  <c r="DK19" i="2"/>
  <c r="AU19" i="2"/>
  <c r="DJ23" i="2"/>
  <c r="BX23" i="2"/>
  <c r="CS23" i="2"/>
  <c r="CT23" i="2"/>
  <c r="DH23" i="2"/>
  <c r="CS17" i="2"/>
  <c r="BX17" i="2"/>
  <c r="DD22" i="9" l="1"/>
  <c r="AX19" i="9"/>
  <c r="DD19" i="9"/>
  <c r="AX17" i="9"/>
  <c r="DD17" i="9"/>
  <c r="DD25" i="9"/>
  <c r="AX25" i="9"/>
  <c r="DD20" i="9"/>
  <c r="AX20" i="9"/>
  <c r="AR16" i="2"/>
  <c r="DG16" i="2" s="1"/>
  <c r="DV25" i="2"/>
  <c r="DW25" i="2" s="1"/>
  <c r="AZ25" i="2" s="1"/>
  <c r="DQ25" i="2"/>
  <c r="AR24" i="2"/>
  <c r="DG24" i="2" s="1"/>
  <c r="DB22" i="2"/>
  <c r="DC22" i="2" s="1"/>
  <c r="AW22" i="2" s="1"/>
  <c r="DH21" i="2"/>
  <c r="CT21" i="2"/>
  <c r="CR25" i="2"/>
  <c r="DB25" i="2" s="1"/>
  <c r="DC25" i="2" s="1"/>
  <c r="AW25" i="2" s="1"/>
  <c r="CR18" i="2"/>
  <c r="DK21" i="2"/>
  <c r="AU21" i="2"/>
  <c r="BX21" i="2"/>
  <c r="ES17" i="2"/>
  <c r="X17" i="2"/>
  <c r="DQ21" i="2"/>
  <c r="DV21" i="2"/>
  <c r="DW21" i="2" s="1"/>
  <c r="AZ21" i="2" s="1"/>
  <c r="AT21" i="2"/>
  <c r="AY21" i="2" s="1"/>
  <c r="CR21" i="2"/>
  <c r="DI21" i="2"/>
  <c r="ES20" i="2"/>
  <c r="AT20" i="2"/>
  <c r="AY20" i="2" s="1"/>
  <c r="DQ20" i="2"/>
  <c r="DR20" i="2" s="1"/>
  <c r="DT20" i="2" s="1"/>
  <c r="CR20" i="2"/>
  <c r="AR21" i="2"/>
  <c r="DG21" i="2" s="1"/>
  <c r="DJ21" i="2"/>
  <c r="CS21" i="2"/>
  <c r="J40" i="5"/>
  <c r="Y40" i="5" s="1"/>
  <c r="K40" i="5"/>
  <c r="J10" i="5"/>
  <c r="Y10" i="5" s="1"/>
  <c r="K10" i="5"/>
  <c r="J27" i="5"/>
  <c r="Y27" i="5" s="1"/>
  <c r="K27" i="5"/>
  <c r="J42" i="5"/>
  <c r="K42" i="5"/>
  <c r="Z42" i="5" s="1"/>
  <c r="X41" i="5"/>
  <c r="DO22" i="2"/>
  <c r="DP22" i="2" s="1"/>
  <c r="DQ22" i="2"/>
  <c r="DR22" i="2" s="1"/>
  <c r="DT22" i="2" s="1"/>
  <c r="J49" i="5"/>
  <c r="L49" i="5"/>
  <c r="Z49" i="5" s="1"/>
  <c r="K13" i="5"/>
  <c r="Y33" i="5"/>
  <c r="B106" i="6"/>
  <c r="B114" i="6"/>
  <c r="B105" i="6"/>
  <c r="B108" i="6"/>
  <c r="B110" i="6"/>
  <c r="B113" i="6"/>
  <c r="B104" i="6"/>
  <c r="B101" i="6" s="1"/>
  <c r="B112" i="6"/>
  <c r="B109" i="6"/>
  <c r="B107" i="6"/>
  <c r="B111" i="6"/>
  <c r="J11" i="5"/>
  <c r="L11" i="5"/>
  <c r="K22" i="5"/>
  <c r="Z22" i="5" s="1"/>
  <c r="L22" i="5"/>
  <c r="Y47" i="5"/>
  <c r="Z11" i="5"/>
  <c r="B124" i="6"/>
  <c r="B121" i="6" s="1"/>
  <c r="B129" i="6"/>
  <c r="B133" i="6"/>
  <c r="B132" i="6"/>
  <c r="B134" i="6"/>
  <c r="H124" i="6"/>
  <c r="H121" i="6" s="1"/>
  <c r="B127" i="6"/>
  <c r="B125" i="6"/>
  <c r="B130" i="6"/>
  <c r="B126" i="6"/>
  <c r="B131" i="6"/>
  <c r="E124" i="6"/>
  <c r="E121" i="6" s="1"/>
  <c r="B128" i="6"/>
  <c r="J9" i="5"/>
  <c r="Y9" i="5" s="1"/>
  <c r="L9" i="5"/>
  <c r="H128" i="6"/>
  <c r="H125" i="6"/>
  <c r="H133" i="6"/>
  <c r="H134" i="6"/>
  <c r="H131" i="6"/>
  <c r="H126" i="6"/>
  <c r="H129" i="6"/>
  <c r="H130" i="6"/>
  <c r="H127" i="6"/>
  <c r="H132" i="6"/>
  <c r="J36" i="5"/>
  <c r="Y36" i="5" s="1"/>
  <c r="L36" i="5"/>
  <c r="L16" i="5"/>
  <c r="L34" i="5"/>
  <c r="X31" i="5"/>
  <c r="L31" i="5" s="1"/>
  <c r="DV22" i="2"/>
  <c r="DW22" i="2" s="1"/>
  <c r="AZ22" i="2" s="1"/>
  <c r="X16" i="5"/>
  <c r="Y44" i="5"/>
  <c r="L28" i="5"/>
  <c r="X26" i="5"/>
  <c r="K9" i="5"/>
  <c r="Z9" i="5" s="1"/>
  <c r="E127" i="6"/>
  <c r="E128" i="6"/>
  <c r="E133" i="6"/>
  <c r="E131" i="6"/>
  <c r="E134" i="6"/>
  <c r="E126" i="6"/>
  <c r="E129" i="6"/>
  <c r="E125" i="6"/>
  <c r="E130" i="6"/>
  <c r="E132" i="6"/>
  <c r="Z19" i="5"/>
  <c r="K36" i="5"/>
  <c r="Z36" i="5" s="1"/>
  <c r="L15" i="5"/>
  <c r="X15" i="5"/>
  <c r="L27" i="5"/>
  <c r="X20" i="5"/>
  <c r="L20" i="5" s="1"/>
  <c r="Z35" i="5"/>
  <c r="K44" i="5"/>
  <c r="Z44" i="5" s="1"/>
  <c r="K46" i="5"/>
  <c r="L13" i="5"/>
  <c r="Y13" i="5" s="1"/>
  <c r="L46" i="5"/>
  <c r="J19" i="5"/>
  <c r="L19" i="5"/>
  <c r="Z18" i="5"/>
  <c r="Y45" i="5"/>
  <c r="K34" i="5"/>
  <c r="Z34" i="5" s="1"/>
  <c r="BA22" i="2"/>
  <c r="L18" i="5"/>
  <c r="Y18" i="5" s="1"/>
  <c r="K14" i="5"/>
  <c r="J14" i="5"/>
  <c r="L35" i="5"/>
  <c r="J35" i="5"/>
  <c r="Y35" i="5" s="1"/>
  <c r="X28" i="5"/>
  <c r="L30" i="5"/>
  <c r="X30" i="5"/>
  <c r="X38" i="5"/>
  <c r="L38" i="5" s="1"/>
  <c r="AT16" i="2"/>
  <c r="AY16" i="2" s="1"/>
  <c r="DQ16" i="2"/>
  <c r="DV16" i="2"/>
  <c r="DW16" i="2" s="1"/>
  <c r="AZ16" i="2" s="1"/>
  <c r="Z32" i="5"/>
  <c r="L10" i="5"/>
  <c r="L14" i="5"/>
  <c r="L42" i="5"/>
  <c r="J12" i="5"/>
  <c r="Y12" i="5" s="1"/>
  <c r="K12" i="5"/>
  <c r="Z12" i="5" s="1"/>
  <c r="L40" i="5"/>
  <c r="Y32" i="5"/>
  <c r="AX22" i="2"/>
  <c r="D22" i="2" s="1"/>
  <c r="F22" i="2" s="1"/>
  <c r="AS22" i="2" s="1"/>
  <c r="DM17" i="2"/>
  <c r="DN17" i="2" s="1"/>
  <c r="DO17" i="2"/>
  <c r="DP17" i="2" s="1"/>
  <c r="DB20" i="2"/>
  <c r="DC20" i="2" s="1"/>
  <c r="AW20" i="2" s="1"/>
  <c r="CX20" i="2"/>
  <c r="BA20" i="2"/>
  <c r="DM24" i="2"/>
  <c r="DN24" i="2" s="1"/>
  <c r="DO24" i="2"/>
  <c r="DP24" i="2" s="1"/>
  <c r="AX23" i="2"/>
  <c r="D23" i="2" s="1"/>
  <c r="DR23" i="2"/>
  <c r="DT23" i="2" s="1"/>
  <c r="DO20" i="2"/>
  <c r="DP20" i="2" s="1"/>
  <c r="DM20" i="2"/>
  <c r="DN20" i="2" s="1"/>
  <c r="DO19" i="2"/>
  <c r="DP19" i="2" s="1"/>
  <c r="DM19" i="2"/>
  <c r="DN19" i="2" s="1"/>
  <c r="DO25" i="2"/>
  <c r="DP25" i="2" s="1"/>
  <c r="DM25" i="2"/>
  <c r="DN25" i="2" s="1"/>
  <c r="CY22" i="2"/>
  <c r="AV22" i="2"/>
  <c r="BB22" i="2" s="1"/>
  <c r="CX25" i="2"/>
  <c r="BA25" i="2"/>
  <c r="DB24" i="2"/>
  <c r="DC24" i="2" s="1"/>
  <c r="AW24" i="2" s="1"/>
  <c r="CX24" i="2"/>
  <c r="BA24" i="2"/>
  <c r="CY14" i="2"/>
  <c r="CV16" i="2"/>
  <c r="BB16" i="2"/>
  <c r="AX24" i="2"/>
  <c r="D24" i="2" s="1"/>
  <c r="DR24" i="2"/>
  <c r="DT24" i="2" s="1"/>
  <c r="DR17" i="2"/>
  <c r="DT17" i="2" s="1"/>
  <c r="AX17" i="2"/>
  <c r="D17" i="2" s="1"/>
  <c r="CX23" i="2"/>
  <c r="BA23" i="2"/>
  <c r="DB23" i="2"/>
  <c r="DC23" i="2" s="1"/>
  <c r="AW23" i="2" s="1"/>
  <c r="DO18" i="2"/>
  <c r="DP18" i="2" s="1"/>
  <c r="DM18" i="2"/>
  <c r="DN18" i="2" s="1"/>
  <c r="CX19" i="2"/>
  <c r="DB19" i="2"/>
  <c r="DC19" i="2" s="1"/>
  <c r="AW19" i="2" s="1"/>
  <c r="BA19" i="2"/>
  <c r="AX25" i="2"/>
  <c r="D25" i="2" s="1"/>
  <c r="DR25" i="2"/>
  <c r="DT25" i="2" s="1"/>
  <c r="BA17" i="2"/>
  <c r="DB17" i="2"/>
  <c r="DC17" i="2" s="1"/>
  <c r="AW17" i="2" s="1"/>
  <c r="CX17" i="2"/>
  <c r="AX19" i="2"/>
  <c r="D19" i="2" s="1"/>
  <c r="DR19" i="2"/>
  <c r="DT19" i="2" s="1"/>
  <c r="CY16" i="2"/>
  <c r="CZ16" i="2" s="1"/>
  <c r="DC16" i="2"/>
  <c r="AW16" i="2" s="1"/>
  <c r="DR18" i="2"/>
  <c r="DT18" i="2" s="1"/>
  <c r="AX18" i="2"/>
  <c r="D18" i="2" s="1"/>
  <c r="DO23" i="2"/>
  <c r="DP23" i="2" s="1"/>
  <c r="DM23" i="2"/>
  <c r="DN23" i="2" s="1"/>
  <c r="DB18" i="2"/>
  <c r="DC18" i="2" s="1"/>
  <c r="AW18" i="2" s="1"/>
  <c r="CX18" i="2"/>
  <c r="BA18" i="2"/>
  <c r="CX21" i="2" l="1"/>
  <c r="BA21" i="2"/>
  <c r="DB21" i="2"/>
  <c r="DC21" i="2" s="1"/>
  <c r="AW21" i="2" s="1"/>
  <c r="DO21" i="2"/>
  <c r="DP21" i="2" s="1"/>
  <c r="DM21" i="2"/>
  <c r="DN21" i="2" s="1"/>
  <c r="AX20" i="2"/>
  <c r="D20" i="2" s="1"/>
  <c r="DR21" i="2"/>
  <c r="DT21" i="2" s="1"/>
  <c r="AX21" i="2"/>
  <c r="D21" i="2" s="1"/>
  <c r="F21" i="2" s="1"/>
  <c r="AS21" i="2" s="1"/>
  <c r="F19" i="2"/>
  <c r="AS19" i="2" s="1"/>
  <c r="F24" i="2"/>
  <c r="AS24" i="2" s="1"/>
  <c r="F18" i="2"/>
  <c r="AS18" i="2" s="1"/>
  <c r="F17" i="2"/>
  <c r="AS17" i="2" s="1"/>
  <c r="F25" i="2"/>
  <c r="AS25" i="2" s="1"/>
  <c r="J16" i="5"/>
  <c r="K16" i="5"/>
  <c r="Z16" i="5" s="1"/>
  <c r="DR16" i="2"/>
  <c r="DT16" i="2" s="1"/>
  <c r="AX16" i="2"/>
  <c r="D16" i="2" s="1"/>
  <c r="Y14" i="5"/>
  <c r="Y19" i="5"/>
  <c r="Y11" i="5"/>
  <c r="J20" i="5"/>
  <c r="Y20" i="5" s="1"/>
  <c r="K20" i="5"/>
  <c r="Z20" i="5" s="1"/>
  <c r="Y49" i="5"/>
  <c r="Y42" i="5"/>
  <c r="F20" i="2"/>
  <c r="AS20" i="2" s="1"/>
  <c r="Z14" i="5"/>
  <c r="Z27" i="5"/>
  <c r="J38" i="5"/>
  <c r="K38" i="5"/>
  <c r="Z38" i="5" s="1"/>
  <c r="Y34" i="5"/>
  <c r="J26" i="5"/>
  <c r="K26" i="5"/>
  <c r="K31" i="5"/>
  <c r="Z31" i="5" s="1"/>
  <c r="J31" i="5"/>
  <c r="Y31" i="5" s="1"/>
  <c r="F23" i="2"/>
  <c r="AS23" i="2" s="1"/>
  <c r="J30" i="5"/>
  <c r="K30" i="5"/>
  <c r="Z30" i="5" s="1"/>
  <c r="K15" i="5"/>
  <c r="Z15" i="5" s="1"/>
  <c r="J15" i="5"/>
  <c r="Y15" i="5" s="1"/>
  <c r="L26" i="5"/>
  <c r="Y22" i="5"/>
  <c r="Z10" i="5"/>
  <c r="Z46" i="5"/>
  <c r="J41" i="5"/>
  <c r="K41" i="5"/>
  <c r="Z41" i="5" s="1"/>
  <c r="J28" i="5"/>
  <c r="K28" i="5"/>
  <c r="Z28" i="5" s="1"/>
  <c r="Y46" i="5"/>
  <c r="Z13" i="5"/>
  <c r="L41" i="5"/>
  <c r="Z40" i="5"/>
  <c r="CY17" i="2"/>
  <c r="AV17" i="2"/>
  <c r="BB17" i="2" s="1"/>
  <c r="CY25" i="2"/>
  <c r="AV25" i="2"/>
  <c r="BB25" i="2" s="1"/>
  <c r="AV19" i="2"/>
  <c r="BB19" i="2" s="1"/>
  <c r="CY19" i="2"/>
  <c r="CY20" i="2"/>
  <c r="AV20" i="2"/>
  <c r="BB20" i="2" s="1"/>
  <c r="CY24" i="2"/>
  <c r="AV24" i="2"/>
  <c r="BB24" i="2" s="1"/>
  <c r="CY23" i="2"/>
  <c r="AV23" i="2"/>
  <c r="BB23" i="2" s="1"/>
  <c r="AV18" i="2"/>
  <c r="BB18" i="2" s="1"/>
  <c r="CY18" i="2"/>
  <c r="CY21" i="2" l="1"/>
  <c r="AV21" i="2"/>
  <c r="BB21" i="2" s="1"/>
  <c r="Y38" i="5"/>
  <c r="Y30" i="5"/>
  <c r="Z26" i="5"/>
  <c r="Y28" i="5"/>
  <c r="Y26" i="5"/>
  <c r="Y41" i="5"/>
  <c r="Y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U13" authorId="0" shapeId="0" xr:uid="{F1994EC8-5656-4D85-8894-C476CC7ABA82}">
      <text>
        <r>
          <rPr>
            <sz val="10"/>
            <color rgb="FF000000"/>
            <rFont val="Tahoma"/>
            <family val="2"/>
          </rPr>
          <t xml:space="preserve">Beattie's (1993) thermomter uses only liquid composition and P as input. It is grouped here as it relies on a prediction of D(Mg) (only from a liquid composition) and is mathematically more akin tothe  Ol+liq thermometers (which rely on an olivine composition to compute D(Mg)). For anhydrous systems, no model has yet proved more accurate than Beattie's (1993). </t>
        </r>
      </text>
    </comment>
    <comment ref="F14" authorId="0" shapeId="0" xr:uid="{690D731A-C02F-45BF-8C30-5276745F30E9}">
      <text>
        <r>
          <rPr>
            <sz val="12"/>
            <color rgb="FF000000"/>
            <rFont val="Verdana"/>
            <family val="2"/>
          </rPr>
          <t>This spreadsheet is designed so that all Fe is treated as FeO (e.g, FeO</t>
        </r>
        <r>
          <rPr>
            <vertAlign val="subscript"/>
            <sz val="12"/>
            <color rgb="FF000000"/>
            <rFont val="Verdana"/>
            <family val="2"/>
          </rPr>
          <t xml:space="preserve">total </t>
        </r>
        <r>
          <rPr>
            <sz val="12"/>
            <color rgb="FF000000"/>
            <rFont val="Verdana"/>
            <family val="2"/>
          </rPr>
          <t>or FeOt). Thermometers calibrated using</t>
        </r>
        <r>
          <rPr>
            <i/>
            <sz val="12"/>
            <color rgb="FF000000"/>
            <rFont val="Verdana"/>
            <family val="2"/>
          </rPr>
          <t xml:space="preserve"> D</t>
        </r>
        <r>
          <rPr>
            <sz val="12"/>
            <color rgb="FF000000"/>
            <rFont val="Verdana"/>
            <family val="2"/>
          </rPr>
          <t xml:space="preserve">(MgO) (columns AV-AZ) are nearly insensitive to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and the ratio of  Fe</t>
        </r>
        <r>
          <rPr>
            <vertAlign val="subscript"/>
            <sz val="12"/>
            <color rgb="FF000000"/>
            <rFont val="Verdana"/>
            <family val="2"/>
          </rPr>
          <t>2</t>
        </r>
        <r>
          <rPr>
            <sz val="12"/>
            <color rgb="FF000000"/>
            <rFont val="Verdana"/>
            <family val="2"/>
          </rPr>
          <t>O</t>
        </r>
        <r>
          <rPr>
            <vertAlign val="subscript"/>
            <sz val="12"/>
            <color rgb="FF000000"/>
            <rFont val="Verdana"/>
            <family val="2"/>
          </rPr>
          <t>3</t>
        </r>
        <r>
          <rPr>
            <sz val="12"/>
            <color rgb="FF000000"/>
            <rFont val="Verdana"/>
            <family val="2"/>
          </rPr>
          <t>/FeO in the equilibrated liquid. However, estimates of K</t>
        </r>
        <r>
          <rPr>
            <vertAlign val="subscript"/>
            <sz val="12"/>
            <color rgb="FF000000"/>
            <rFont val="Verdana"/>
            <family val="2"/>
          </rPr>
          <t>D</t>
        </r>
        <r>
          <rPr>
            <sz val="12"/>
            <color rgb="FF000000"/>
            <rFont val="Verdana"/>
            <family val="2"/>
          </rPr>
          <t>(Fe-Mg) (column AR) and the anticipated equilibrium values (column AS) are affected (see Matzen et al. 2011, J Pet). To account for such effects, enter number of log units above or below the QFM (quartz - fayalite - magnetite) oxygen buffer in cell F14. Column F calculates log(</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using temperature from column AY and the input P from column C, which is used as input to determine the equilibrium value for K</t>
        </r>
        <r>
          <rPr>
            <vertAlign val="subscript"/>
            <sz val="12"/>
            <color rgb="FF000000"/>
            <rFont val="Verdana"/>
            <family val="2"/>
          </rPr>
          <t>D</t>
        </r>
        <r>
          <rPr>
            <sz val="12"/>
            <color rgb="FF000000"/>
            <rFont val="Verdana"/>
            <family val="2"/>
          </rPr>
          <t>(Fe-Mg) (column AS,) which should then be compared to the measured value in column AT. Equilibirum is expected when column AT = AS; for a given olivine composition in columns AB-AM, an equilibrium liquid (and tempeature) can be obtained by changing the liquid composition in columns G-R so that AT = AS. This sheet does NOT calculate Fe</t>
        </r>
        <r>
          <rPr>
            <vertAlign val="superscript"/>
            <sz val="12"/>
            <color rgb="FF000000"/>
            <rFont val="Verdana"/>
            <family val="2"/>
          </rPr>
          <t>3+/</t>
        </r>
        <r>
          <rPr>
            <sz val="12"/>
            <color rgb="FF000000"/>
            <rFont val="Verdana"/>
            <family val="2"/>
          </rPr>
          <t>Fe</t>
        </r>
        <r>
          <rPr>
            <vertAlign val="superscript"/>
            <sz val="12"/>
            <color rgb="FF000000"/>
            <rFont val="Verdana"/>
            <family val="2"/>
          </rPr>
          <t xml:space="preserve">2+ </t>
        </r>
        <r>
          <rPr>
            <sz val="12"/>
            <color rgb="FF000000"/>
            <rFont val="Verdana"/>
            <family val="2"/>
          </rPr>
          <t xml:space="preserve">ratios, but uses the input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xml:space="preserve"> (column F) directly to obtain the effect on Fe-Mg exchange equilibrium (see Putirka 2016; Am Min, p 819-840).</t>
        </r>
        <r>
          <rPr>
            <sz val="12"/>
            <color rgb="FF000000"/>
            <rFont val="Verdana"/>
            <family val="2"/>
          </rPr>
          <t xml:space="preserve">
</t>
        </r>
      </text>
    </comment>
    <comment ref="BV14" authorId="0" shapeId="0" xr:uid="{CE09599F-09A5-4608-8FAD-D1F9E451F32F}">
      <text>
        <r>
          <rPr>
            <sz val="12"/>
            <color rgb="FF000000"/>
            <rFont val="Tahoma"/>
            <family val="2"/>
          </rPr>
          <t>Use the vaues in these columns to paste into the "R&amp;E chart", for the graphical approach to T estimates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U13" authorId="0" shapeId="0" xr:uid="{9B98335A-1B1A-4D36-8CC4-1B032E1C909D}">
      <text>
        <r>
          <rPr>
            <sz val="10"/>
            <color rgb="FF000000"/>
            <rFont val="Tahoma"/>
            <family val="2"/>
          </rPr>
          <t xml:space="preserve">Beattie's (1993) thermomter uses only liquid composition and P as input. It is grouped here as it relies on a prediction of D(Mg) (only from a liquid composition) and is mathematically more akin tothe  Ol+liq thermometers (which rely on an olivine composition to compute D(Mg)). For anhydrous systems, no model has yet proved more accurate than Beattie's (1993). </t>
        </r>
      </text>
    </comment>
    <comment ref="F14" authorId="0" shapeId="0" xr:uid="{12A8CBB7-263E-4427-88D2-6FF435FA672C}">
      <text>
        <r>
          <rPr>
            <sz val="12"/>
            <color rgb="FF000000"/>
            <rFont val="Verdana"/>
            <family val="2"/>
          </rPr>
          <t>This spreadsheet is designed so that all Fe is treated as FeO (e.g, FeO</t>
        </r>
        <r>
          <rPr>
            <vertAlign val="subscript"/>
            <sz val="12"/>
            <color rgb="FF000000"/>
            <rFont val="Verdana"/>
            <family val="2"/>
          </rPr>
          <t xml:space="preserve">total </t>
        </r>
        <r>
          <rPr>
            <sz val="12"/>
            <color rgb="FF000000"/>
            <rFont val="Verdana"/>
            <family val="2"/>
          </rPr>
          <t>or FeOt). Thermometers calibrated using</t>
        </r>
        <r>
          <rPr>
            <i/>
            <sz val="12"/>
            <color rgb="FF000000"/>
            <rFont val="Verdana"/>
            <family val="2"/>
          </rPr>
          <t xml:space="preserve"> D</t>
        </r>
        <r>
          <rPr>
            <sz val="12"/>
            <color rgb="FF000000"/>
            <rFont val="Verdana"/>
            <family val="2"/>
          </rPr>
          <t xml:space="preserve">(MgO) (columns AV-AZ) are nearly insensitive to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and the ratio of  Fe</t>
        </r>
        <r>
          <rPr>
            <vertAlign val="subscript"/>
            <sz val="12"/>
            <color rgb="FF000000"/>
            <rFont val="Verdana"/>
            <family val="2"/>
          </rPr>
          <t>2</t>
        </r>
        <r>
          <rPr>
            <sz val="12"/>
            <color rgb="FF000000"/>
            <rFont val="Verdana"/>
            <family val="2"/>
          </rPr>
          <t>O</t>
        </r>
        <r>
          <rPr>
            <vertAlign val="subscript"/>
            <sz val="12"/>
            <color rgb="FF000000"/>
            <rFont val="Verdana"/>
            <family val="2"/>
          </rPr>
          <t>3</t>
        </r>
        <r>
          <rPr>
            <sz val="12"/>
            <color rgb="FF000000"/>
            <rFont val="Verdana"/>
            <family val="2"/>
          </rPr>
          <t>/FeO in the equilibrated liquid. However, estimates of K</t>
        </r>
        <r>
          <rPr>
            <vertAlign val="subscript"/>
            <sz val="12"/>
            <color rgb="FF000000"/>
            <rFont val="Verdana"/>
            <family val="2"/>
          </rPr>
          <t>D</t>
        </r>
        <r>
          <rPr>
            <sz val="12"/>
            <color rgb="FF000000"/>
            <rFont val="Verdana"/>
            <family val="2"/>
          </rPr>
          <t>(Fe-Mg) (column AR) and the anticipated equilibrium values (column AS) are affected (see Matzen et al. 2011, J Pet). To account for such effects, enter number of log units above or below the QFM (quartz - fayalite - magnetite) oxygen buffer in cell F14. Column F calculates log(</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using temperature from column AY and the input P from column C, which is used as input to determine the equilibrium value for K</t>
        </r>
        <r>
          <rPr>
            <vertAlign val="subscript"/>
            <sz val="12"/>
            <color rgb="FF000000"/>
            <rFont val="Verdana"/>
            <family val="2"/>
          </rPr>
          <t>D</t>
        </r>
        <r>
          <rPr>
            <sz val="12"/>
            <color rgb="FF000000"/>
            <rFont val="Verdana"/>
            <family val="2"/>
          </rPr>
          <t>(Fe-Mg) (column AS,) which should then be compared to the measured value in column AT. Equilibirum is expected when column AT = AS; for a given olivine composition in columns AB-AM, an equilibrium liquid (and tempeature) can be obtained by changing the liquid composition in columns G-R so that AT = AS. This sheet does NOT calculate Fe</t>
        </r>
        <r>
          <rPr>
            <vertAlign val="superscript"/>
            <sz val="12"/>
            <color rgb="FF000000"/>
            <rFont val="Verdana"/>
            <family val="2"/>
          </rPr>
          <t>3+/</t>
        </r>
        <r>
          <rPr>
            <sz val="12"/>
            <color rgb="FF000000"/>
            <rFont val="Verdana"/>
            <family val="2"/>
          </rPr>
          <t>Fe</t>
        </r>
        <r>
          <rPr>
            <vertAlign val="superscript"/>
            <sz val="12"/>
            <color rgb="FF000000"/>
            <rFont val="Verdana"/>
            <family val="2"/>
          </rPr>
          <t xml:space="preserve">2+ </t>
        </r>
        <r>
          <rPr>
            <sz val="12"/>
            <color rgb="FF000000"/>
            <rFont val="Verdana"/>
            <family val="2"/>
          </rPr>
          <t xml:space="preserve">ratios, but uses the input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xml:space="preserve"> (column F) directly to obtain the effect on Fe-Mg exchange equilibrium (see Putirka 2016; Am Min, p 819-840).</t>
        </r>
        <r>
          <rPr>
            <sz val="12"/>
            <color rgb="FF000000"/>
            <rFont val="Verdana"/>
            <family val="2"/>
          </rPr>
          <t xml:space="preserve">
</t>
        </r>
      </text>
    </comment>
    <comment ref="BV14" authorId="0" shapeId="0" xr:uid="{58E3BE29-2677-46D8-9BDA-AFF781F9D9C4}">
      <text>
        <r>
          <rPr>
            <sz val="12"/>
            <color rgb="FF000000"/>
            <rFont val="Tahoma"/>
            <family val="2"/>
          </rPr>
          <t>Use the vaues in these columns to paste into the "R&amp;E chart", for the graphical approach to T estimates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U13" authorId="0" shapeId="0" xr:uid="{00000000-0006-0000-0100-000001000000}">
      <text>
        <r>
          <rPr>
            <sz val="10"/>
            <color rgb="FF000000"/>
            <rFont val="Tahoma"/>
            <family val="2"/>
          </rPr>
          <t xml:space="preserve">Beattie's (1993) thermomter uses only liquid composition and P as input. It is grouped here as it relies on a prediction of D(Mg) (only from a liquid composition) and is mathematically more akin tothe  Ol+liq thermometers (which rely on an olivine composition to compute D(Mg)). For anhydrous systems, no model has yet proved more accurate than Beattie's (1993). </t>
        </r>
      </text>
    </comment>
    <comment ref="F14" authorId="0" shapeId="0" xr:uid="{00000000-0006-0000-0100-000002000000}">
      <text>
        <r>
          <rPr>
            <sz val="12"/>
            <color rgb="FF000000"/>
            <rFont val="Verdana"/>
            <family val="2"/>
          </rPr>
          <t>This spreadsheet is designed so that all Fe is treated as FeO (e.g, FeO</t>
        </r>
        <r>
          <rPr>
            <vertAlign val="subscript"/>
            <sz val="12"/>
            <color rgb="FF000000"/>
            <rFont val="Verdana"/>
            <family val="2"/>
          </rPr>
          <t xml:space="preserve">total </t>
        </r>
        <r>
          <rPr>
            <sz val="12"/>
            <color rgb="FF000000"/>
            <rFont val="Verdana"/>
            <family val="2"/>
          </rPr>
          <t>or FeOt). Thermometers calibrated using</t>
        </r>
        <r>
          <rPr>
            <i/>
            <sz val="12"/>
            <color rgb="FF000000"/>
            <rFont val="Verdana"/>
            <family val="2"/>
          </rPr>
          <t xml:space="preserve"> D</t>
        </r>
        <r>
          <rPr>
            <sz val="12"/>
            <color rgb="FF000000"/>
            <rFont val="Verdana"/>
            <family val="2"/>
          </rPr>
          <t xml:space="preserve">(MgO) (columns AV-AZ) are nearly insensitive to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and the ratio of  Fe</t>
        </r>
        <r>
          <rPr>
            <vertAlign val="subscript"/>
            <sz val="12"/>
            <color rgb="FF000000"/>
            <rFont val="Verdana"/>
            <family val="2"/>
          </rPr>
          <t>2</t>
        </r>
        <r>
          <rPr>
            <sz val="12"/>
            <color rgb="FF000000"/>
            <rFont val="Verdana"/>
            <family val="2"/>
          </rPr>
          <t>O</t>
        </r>
        <r>
          <rPr>
            <vertAlign val="subscript"/>
            <sz val="12"/>
            <color rgb="FF000000"/>
            <rFont val="Verdana"/>
            <family val="2"/>
          </rPr>
          <t>3</t>
        </r>
        <r>
          <rPr>
            <sz val="12"/>
            <color rgb="FF000000"/>
            <rFont val="Verdana"/>
            <family val="2"/>
          </rPr>
          <t>/FeO in the equilibrated liquid. However, estimates of K</t>
        </r>
        <r>
          <rPr>
            <vertAlign val="subscript"/>
            <sz val="12"/>
            <color rgb="FF000000"/>
            <rFont val="Verdana"/>
            <family val="2"/>
          </rPr>
          <t>D</t>
        </r>
        <r>
          <rPr>
            <sz val="12"/>
            <color rgb="FF000000"/>
            <rFont val="Verdana"/>
            <family val="2"/>
          </rPr>
          <t>(Fe-Mg) (column AR) and the anticipated equilibrium values (column AS) are affected (see Matzen et al. 2011, J Pet). To account for such effects, enter number of log units above or below the QFM (quartz - fayalite - magnetite) oxygen buffer in cell F14. Column F calculates log(</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using temperature from column AY and the input P from column C, which is used as input to determine the equilibrium value for K</t>
        </r>
        <r>
          <rPr>
            <vertAlign val="subscript"/>
            <sz val="12"/>
            <color rgb="FF000000"/>
            <rFont val="Verdana"/>
            <family val="2"/>
          </rPr>
          <t>D</t>
        </r>
        <r>
          <rPr>
            <sz val="12"/>
            <color rgb="FF000000"/>
            <rFont val="Verdana"/>
            <family val="2"/>
          </rPr>
          <t>(Fe-Mg) (column AS,) which should then be compared to the measured value in column AT. Equilibirum is expected when column AT = AS; for a given olivine composition in columns AB-AM, an equilibrium liquid (and tempeature) can be obtained by changing the liquid composition in columns G-R so that AT = AS. This sheet does NOT calculate Fe</t>
        </r>
        <r>
          <rPr>
            <vertAlign val="superscript"/>
            <sz val="12"/>
            <color rgb="FF000000"/>
            <rFont val="Verdana"/>
            <family val="2"/>
          </rPr>
          <t>3+/</t>
        </r>
        <r>
          <rPr>
            <sz val="12"/>
            <color rgb="FF000000"/>
            <rFont val="Verdana"/>
            <family val="2"/>
          </rPr>
          <t>Fe</t>
        </r>
        <r>
          <rPr>
            <vertAlign val="superscript"/>
            <sz val="12"/>
            <color rgb="FF000000"/>
            <rFont val="Verdana"/>
            <family val="2"/>
          </rPr>
          <t xml:space="preserve">2+ </t>
        </r>
        <r>
          <rPr>
            <sz val="12"/>
            <color rgb="FF000000"/>
            <rFont val="Verdana"/>
            <family val="2"/>
          </rPr>
          <t xml:space="preserve">ratios, but uses the input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xml:space="preserve"> (column F) directly to obtain the effect on Fe-Mg exchange equilibrium (see Putirka 2016; Am Min, p 819-840).</t>
        </r>
        <r>
          <rPr>
            <sz val="12"/>
            <color rgb="FF000000"/>
            <rFont val="Verdana"/>
            <family val="2"/>
          </rPr>
          <t xml:space="preserve">
</t>
        </r>
      </text>
    </comment>
    <comment ref="BR14" authorId="0" shapeId="0" xr:uid="{00000000-0006-0000-0100-000003000000}">
      <text>
        <r>
          <rPr>
            <sz val="12"/>
            <color rgb="FF000000"/>
            <rFont val="Tahoma"/>
            <family val="2"/>
          </rPr>
          <t>Use the vaues in these columns to paste into the "R&amp;E chart", for the graphical approach to T estimates</t>
        </r>
      </text>
    </comment>
  </commentList>
</comments>
</file>

<file path=xl/sharedStrings.xml><?xml version="1.0" encoding="utf-8"?>
<sst xmlns="http://schemas.openxmlformats.org/spreadsheetml/2006/main" count="1019" uniqueCount="267">
  <si>
    <t>Experimental Compositions given  as examples</t>
  </si>
  <si>
    <t>Si</t>
  </si>
  <si>
    <t>F (fract resid liq)</t>
  </si>
  <si>
    <t>Cl</t>
  </si>
  <si>
    <t>mol</t>
  </si>
  <si>
    <t>FeO</t>
  </si>
  <si>
    <t>wts</t>
  </si>
  <si>
    <t>MgO</t>
  </si>
  <si>
    <t>100 X</t>
  </si>
  <si>
    <r>
      <t>Select Value for K</t>
    </r>
    <r>
      <rPr>
        <b/>
        <vertAlign val="subscript"/>
        <sz val="14"/>
        <rFont val="Verdana"/>
        <family val="2"/>
      </rPr>
      <t>D</t>
    </r>
    <r>
      <rPr>
        <b/>
        <sz val="14"/>
        <rFont val="Verdana"/>
        <family val="2"/>
      </rPr>
      <t>(Fe-Mg)ol-liq</t>
    </r>
    <phoneticPr fontId="4"/>
  </si>
  <si>
    <t>Cation Fraction</t>
  </si>
  <si>
    <t>Kd</t>
  </si>
  <si>
    <t>Mg/Fe ol</t>
  </si>
  <si>
    <t>Mg/Fe liq</t>
  </si>
  <si>
    <t>Mg# liq</t>
  </si>
  <si>
    <t>Mg# ol</t>
  </si>
  <si>
    <t>MgO liq mol/wt ratio</t>
  </si>
  <si>
    <t>Mg</t>
  </si>
  <si>
    <t>Fe</t>
  </si>
  <si>
    <t>Select Value for KD(Fe-Mg)ol-liq</t>
  </si>
  <si>
    <t>Anhydrous</t>
  </si>
  <si>
    <t>Mg/Fe in olivine</t>
    <phoneticPr fontId="4"/>
  </si>
  <si>
    <t>3) OUTPUT for Olivine-Liquid equilibrium temperatures are in BLUE columns AU - AX</t>
    <phoneticPr fontId="4"/>
  </si>
  <si>
    <t>2) OUTPUT for Liquid only thermometer results are in BLUE columns, U - Z</t>
    <phoneticPr fontId="4"/>
  </si>
  <si>
    <t>LIQUID mole proportions</t>
  </si>
  <si>
    <t>LIQUID mole fractions</t>
  </si>
  <si>
    <t>Data Source</t>
  </si>
  <si>
    <t>Experiment #</t>
  </si>
  <si>
    <t>P (GPa)</t>
  </si>
  <si>
    <t>SiO2</t>
  </si>
  <si>
    <t>TiO2</t>
  </si>
  <si>
    <t>Al2O3</t>
  </si>
  <si>
    <t>FeOt</t>
  </si>
  <si>
    <t>MnO</t>
  </si>
  <si>
    <t>CaO</t>
  </si>
  <si>
    <t>Na2O</t>
  </si>
  <si>
    <t>K2O</t>
  </si>
  <si>
    <t>Cr2O3</t>
  </si>
  <si>
    <t>P2O5</t>
  </si>
  <si>
    <t>H2O</t>
  </si>
  <si>
    <t>Total</t>
  </si>
  <si>
    <t>Putirka RiMG '08</t>
  </si>
  <si>
    <t>Mg-thermometer</t>
  </si>
  <si>
    <t>Ca-thermometer</t>
  </si>
  <si>
    <t>Fo</t>
  </si>
  <si>
    <t>D(Mg)</t>
  </si>
  <si>
    <t xml:space="preserve">D(Mg) </t>
  </si>
  <si>
    <t>T(C )</t>
  </si>
  <si>
    <t>Phases</t>
  </si>
  <si>
    <t>XSiO2</t>
  </si>
  <si>
    <t>XTiO2</t>
  </si>
  <si>
    <t>XAlO3/2</t>
  </si>
  <si>
    <t>XFeO</t>
  </si>
  <si>
    <t>XMnO</t>
  </si>
  <si>
    <t>XMgO</t>
  </si>
  <si>
    <t>XCaO</t>
  </si>
  <si>
    <t>XNaO0.5</t>
  </si>
  <si>
    <t>XKO0.5</t>
  </si>
  <si>
    <t>total</t>
  </si>
  <si>
    <t>CNML</t>
  </si>
  <si>
    <t>CSiO2L</t>
  </si>
  <si>
    <t>NF</t>
  </si>
  <si>
    <t>Numerator</t>
  </si>
  <si>
    <t>denom</t>
  </si>
  <si>
    <t>T(K)</t>
  </si>
  <si>
    <t>P(Gpa)</t>
  </si>
  <si>
    <t>NF</t>
    <phoneticPr fontId="4" type="noConversion"/>
  </si>
  <si>
    <t>liq+ol+cpx+opx</t>
  </si>
  <si>
    <t>H199</t>
  </si>
  <si>
    <t>liq+ol+cpx+opx+spn</t>
  </si>
  <si>
    <t>H200</t>
  </si>
  <si>
    <t>H25.3</t>
  </si>
  <si>
    <t>liq+ol+opx</t>
  </si>
  <si>
    <t>H193</t>
  </si>
  <si>
    <t>H179</t>
  </si>
  <si>
    <t>H181</t>
  </si>
  <si>
    <t>liq+plag+ol+cpx+opx+spn</t>
  </si>
  <si>
    <t>H154</t>
  </si>
  <si>
    <t>H156</t>
  </si>
  <si>
    <t>100*Mg#</t>
  </si>
  <si>
    <t>Liquid (Glass) Composition - in Weight Percent</t>
  </si>
  <si>
    <t>Equation (13)</t>
  </si>
  <si>
    <t>Equation (14)</t>
  </si>
  <si>
    <t>Equation (15)</t>
  </si>
  <si>
    <t>Equation (16)</t>
  </si>
  <si>
    <t>Value for P(GPa)</t>
    <phoneticPr fontId="4"/>
  </si>
  <si>
    <t>dT/dP (K/kbar) (derived from Cell C31)</t>
    <phoneticPr fontId="4"/>
  </si>
  <si>
    <t>Select weight % FeO in liquid</t>
    <phoneticPr fontId="4"/>
  </si>
  <si>
    <t>MgO % in Liquid</t>
    <phoneticPr fontId="4"/>
  </si>
  <si>
    <t>Fo in olivine</t>
    <phoneticPr fontId="4"/>
  </si>
  <si>
    <r>
      <t>Calculate Mg#'s for K</t>
    </r>
    <r>
      <rPr>
        <b/>
        <vertAlign val="subscript"/>
        <sz val="12"/>
        <rFont val="Verdana"/>
        <family val="2"/>
      </rPr>
      <t>D</t>
    </r>
    <r>
      <rPr>
        <b/>
        <sz val="12"/>
        <rFont val="Verdana"/>
        <family val="2"/>
      </rPr>
      <t>(Fe-Mg) = 0.30</t>
    </r>
    <phoneticPr fontId="4"/>
  </si>
  <si>
    <t>B2</t>
  </si>
  <si>
    <t>Kd(Mg)</t>
  </si>
  <si>
    <t>Kd(Fe)</t>
  </si>
  <si>
    <t>C(MgO)</t>
  </si>
  <si>
    <t>C(FeO)</t>
  </si>
  <si>
    <t>D(Mg)</t>
    <phoneticPr fontId="4" type="noConversion"/>
  </si>
  <si>
    <t>Beatttie</t>
    <phoneticPr fontId="4" type="noConversion"/>
  </si>
  <si>
    <t>Beattie 1 atm</t>
    <phoneticPr fontId="4" type="noConversion"/>
  </si>
  <si>
    <t>MgO wt</t>
    <phoneticPr fontId="4"/>
  </si>
  <si>
    <t>1) INPUT required in GRAY columns (C, G - R, and AB - AM)</t>
    <phoneticPr fontId="4"/>
  </si>
  <si>
    <t>Calcualte Equilibrium Olivine composition</t>
    <phoneticPr fontId="4"/>
  </si>
  <si>
    <t>Olivine weight %'s</t>
    <phoneticPr fontId="4"/>
  </si>
  <si>
    <t>Fe/Mg</t>
    <phoneticPr fontId="4"/>
  </si>
  <si>
    <t>Mg</t>
    <phoneticPr fontId="4"/>
  </si>
  <si>
    <t>Fe</t>
    <phoneticPr fontId="4"/>
  </si>
  <si>
    <t>Si</t>
    <phoneticPr fontId="4"/>
  </si>
  <si>
    <t>FeO wt</t>
    <phoneticPr fontId="4"/>
  </si>
  <si>
    <t>SiO2</t>
    <phoneticPr fontId="4"/>
  </si>
  <si>
    <t>MgO</t>
    <phoneticPr fontId="4"/>
  </si>
  <si>
    <t>FeO</t>
    <phoneticPr fontId="4"/>
  </si>
  <si>
    <t>Mg/Fe wt ratio</t>
  </si>
  <si>
    <t>Equilibirum crystallization</t>
  </si>
  <si>
    <t>Fractional Crystallizaiton</t>
  </si>
  <si>
    <t>Co</t>
  </si>
  <si>
    <t>ClNM</t>
    <phoneticPr fontId="4" type="noConversion"/>
  </si>
  <si>
    <t>CSiO2</t>
    <phoneticPr fontId="4" type="noConversion"/>
  </si>
  <si>
    <t xml:space="preserve">Copy these cells and paste into </t>
  </si>
  <si>
    <t>Rhodes Diagram Sheet</t>
  </si>
  <si>
    <t>Geothermometers based on olivine-liquid, or liquid composition only</t>
  </si>
  <si>
    <t>Gray field = input</t>
  </si>
  <si>
    <t>Blue field = output</t>
  </si>
  <si>
    <t>Total alkalis</t>
  </si>
  <si>
    <t>H2O in liq</t>
  </si>
  <si>
    <t>P/T</t>
  </si>
  <si>
    <t>A1</t>
  </si>
  <si>
    <t>B1</t>
  </si>
  <si>
    <t>A2</t>
  </si>
  <si>
    <t>Fo</t>
    <phoneticPr fontId="4"/>
  </si>
  <si>
    <t>H&amp;O corr</t>
    <phoneticPr fontId="4" type="noConversion"/>
  </si>
  <si>
    <t>Putirka et al.</t>
  </si>
  <si>
    <t>Their Eqn. (2)</t>
  </si>
  <si>
    <t>Beattie (1993) liquid components</t>
  </si>
  <si>
    <t>Eqn 22 in RiMG T(C )</t>
  </si>
  <si>
    <r>
      <t>K</t>
    </r>
    <r>
      <rPr>
        <b/>
        <vertAlign val="subscript"/>
        <sz val="11"/>
        <color indexed="8"/>
        <rFont val="Verdana"/>
        <family val="2"/>
      </rPr>
      <t>D</t>
    </r>
    <r>
      <rPr>
        <b/>
        <sz val="11"/>
        <color indexed="8"/>
        <rFont val="Verdana"/>
        <family val="2"/>
      </rPr>
      <t>(Fe-Mg)</t>
    </r>
  </si>
  <si>
    <t>CALCULATE ISOTHERMS (Temperatures in Row 36)</t>
  </si>
  <si>
    <t>(See R&amp;E Chart for Results)</t>
  </si>
  <si>
    <t>Fe liq</t>
  </si>
  <si>
    <t>Mg liq</t>
  </si>
  <si>
    <t>CALCUALTE FORSTERITE ISOPLETHS</t>
  </si>
  <si>
    <t>INPUT FOR GRAPHICAL THERMOMETER</t>
  </si>
  <si>
    <t>Liquid Composition</t>
  </si>
  <si>
    <r>
      <t>Al</t>
    </r>
    <r>
      <rPr>
        <vertAlign val="subscript"/>
        <sz val="12"/>
        <rFont val="Verdana"/>
        <family val="2"/>
      </rPr>
      <t>2</t>
    </r>
    <r>
      <rPr>
        <sz val="12"/>
        <rFont val="Verdana"/>
        <family val="2"/>
      </rPr>
      <t>O</t>
    </r>
    <r>
      <rPr>
        <vertAlign val="subscript"/>
        <sz val="12"/>
        <rFont val="Verdana"/>
        <family val="2"/>
      </rPr>
      <t>3</t>
    </r>
    <r>
      <rPr>
        <sz val="12"/>
        <rFont val="Verdana"/>
        <family val="2"/>
      </rPr>
      <t xml:space="preserve"> (wt. %)</t>
    </r>
  </si>
  <si>
    <r>
      <t>Na</t>
    </r>
    <r>
      <rPr>
        <vertAlign val="subscript"/>
        <sz val="12"/>
        <rFont val="Verdana"/>
        <family val="2"/>
      </rPr>
      <t>2</t>
    </r>
    <r>
      <rPr>
        <sz val="12"/>
        <rFont val="Verdana"/>
        <family val="2"/>
      </rPr>
      <t>O + K</t>
    </r>
    <r>
      <rPr>
        <vertAlign val="subscript"/>
        <sz val="12"/>
        <rFont val="Verdana"/>
        <family val="2"/>
      </rPr>
      <t>2</t>
    </r>
    <r>
      <rPr>
        <sz val="12"/>
        <rFont val="Verdana"/>
        <family val="2"/>
      </rPr>
      <t>O (wt. %)</t>
    </r>
  </si>
  <si>
    <r>
      <t>H</t>
    </r>
    <r>
      <rPr>
        <vertAlign val="subscript"/>
        <sz val="12"/>
        <rFont val="Verdana"/>
        <family val="2"/>
      </rPr>
      <t>2</t>
    </r>
    <r>
      <rPr>
        <sz val="12"/>
        <rFont val="Verdana"/>
        <family val="2"/>
      </rPr>
      <t>O (wt. %)</t>
    </r>
  </si>
  <si>
    <t>Pressure of Equilibration</t>
  </si>
  <si>
    <t>P(kbar)</t>
  </si>
  <si>
    <t>Based on approach of Roeder and Emslie (1970), using models from Putirka et al. (2007)</t>
  </si>
  <si>
    <t>Graphical Olivine-Liquid Thermometer</t>
  </si>
  <si>
    <t>Enter</t>
  </si>
  <si>
    <t>Appropriate</t>
  </si>
  <si>
    <t>Enter Liquid Composition Here</t>
  </si>
  <si>
    <t>Enter Olivine Composition Here</t>
  </si>
  <si>
    <t>coeff for lnKd(Mg)</t>
  </si>
  <si>
    <t>coeff for lnKd(Fe)</t>
  </si>
  <si>
    <t>Intercept</t>
  </si>
  <si>
    <t>Al2O3 liq</t>
  </si>
  <si>
    <t>1/T(C)</t>
  </si>
  <si>
    <t>(into columns G - R)</t>
  </si>
  <si>
    <r>
      <t xml:space="preserve">Temperature olivine-liquid equilibration </t>
    </r>
    <r>
      <rPr>
        <i/>
        <sz val="12"/>
        <rFont val="Verdana"/>
        <family val="2"/>
      </rPr>
      <t>T</t>
    </r>
    <r>
      <rPr>
        <vertAlign val="superscript"/>
        <sz val="12"/>
        <rFont val="Verdana"/>
        <family val="2"/>
      </rPr>
      <t>ol-liq</t>
    </r>
    <r>
      <rPr>
        <sz val="12"/>
        <rFont val="Verdana"/>
        <family val="2"/>
      </rPr>
      <t>(</t>
    </r>
    <r>
      <rPr>
        <vertAlign val="superscript"/>
        <sz val="12"/>
        <rFont val="Verdana"/>
        <family val="2"/>
      </rPr>
      <t>o</t>
    </r>
    <r>
      <rPr>
        <sz val="12"/>
        <rFont val="Verdana"/>
        <family val="2"/>
      </rPr>
      <t>C)</t>
    </r>
  </si>
  <si>
    <r>
      <t xml:space="preserve">Mantle Potential Temperature </t>
    </r>
    <r>
      <rPr>
        <i/>
        <sz val="12"/>
        <rFont val="Verdana"/>
        <family val="2"/>
      </rPr>
      <t>T</t>
    </r>
    <r>
      <rPr>
        <vertAlign val="subscript"/>
        <sz val="12"/>
        <rFont val="Verdana"/>
        <family val="2"/>
      </rPr>
      <t>p</t>
    </r>
    <r>
      <rPr>
        <sz val="12"/>
        <rFont val="Verdana"/>
        <family val="2"/>
      </rPr>
      <t>(</t>
    </r>
    <r>
      <rPr>
        <vertAlign val="superscript"/>
        <sz val="12"/>
        <rFont val="Verdana"/>
        <family val="2"/>
      </rPr>
      <t>o</t>
    </r>
    <r>
      <rPr>
        <sz val="12"/>
        <rFont val="Verdana"/>
        <family val="2"/>
      </rPr>
      <t>C)</t>
    </r>
  </si>
  <si>
    <r>
      <t xml:space="preserve">Other Adjustable Parameters (for calculating </t>
    </r>
    <r>
      <rPr>
        <i/>
        <sz val="12"/>
        <rFont val="Verdana"/>
        <family val="2"/>
      </rPr>
      <t>T</t>
    </r>
    <r>
      <rPr>
        <vertAlign val="subscript"/>
        <sz val="12"/>
        <rFont val="Verdana"/>
        <family val="2"/>
      </rPr>
      <t>p</t>
    </r>
    <r>
      <rPr>
        <sz val="12"/>
        <rFont val="Verdana"/>
        <family val="2"/>
      </rPr>
      <t>)</t>
    </r>
  </si>
  <si>
    <t>Sources for some thermodynamic parameters</t>
  </si>
  <si>
    <t>Temperature (K)</t>
  </si>
  <si>
    <t>Heat of fusion (perdiotite) (kJ/mole)</t>
  </si>
  <si>
    <t>Heat Capacity (peridotite) (J/mole*K)</t>
  </si>
  <si>
    <t>Molar volume (of olivine) (J/bar)</t>
  </si>
  <si>
    <t>Coefficient of thermal expansion (K)</t>
  </si>
  <si>
    <t>dT/dP (K/bar)</t>
  </si>
  <si>
    <r>
      <t>T</t>
    </r>
    <r>
      <rPr>
        <sz val="12"/>
        <rFont val="Verdana"/>
        <family val="2"/>
      </rPr>
      <t>(</t>
    </r>
    <r>
      <rPr>
        <vertAlign val="superscript"/>
        <sz val="12"/>
        <rFont val="Verdana"/>
        <family val="2"/>
      </rPr>
      <t>o</t>
    </r>
    <r>
      <rPr>
        <sz val="12"/>
        <rFont val="Verdana"/>
        <family val="2"/>
      </rPr>
      <t>C)</t>
    </r>
  </si>
  <si>
    <r>
      <t>K</t>
    </r>
    <r>
      <rPr>
        <vertAlign val="subscript"/>
        <sz val="12"/>
        <rFont val="Verdana"/>
        <family val="2"/>
      </rPr>
      <t>D</t>
    </r>
    <r>
      <rPr>
        <sz val="12"/>
        <rFont val="Verdana"/>
        <family val="2"/>
      </rPr>
      <t>(Fe-Mg)</t>
    </r>
    <r>
      <rPr>
        <vertAlign val="superscript"/>
        <sz val="12"/>
        <rFont val="Verdana"/>
        <family val="2"/>
      </rPr>
      <t>ol-liq</t>
    </r>
  </si>
  <si>
    <t>Model Parameters for isotherms</t>
  </si>
  <si>
    <t>(Richet, 1993, GRL v 20, 1675-1678; Richet and Bottinga 1996)</t>
  </si>
  <si>
    <t>(at 1700-1800 K; ,Robie and Hemingway,199; USGS Bull. 2131)</t>
  </si>
  <si>
    <t>Input to Calculate Mantle Potential Temperature</t>
  </si>
  <si>
    <t>Pressure of olivine-liquid equilibration (kbar)</t>
  </si>
  <si>
    <t>Output</t>
  </si>
  <si>
    <t>Melt Fraction</t>
  </si>
  <si>
    <t>Net T Increase due to partial fusion</t>
  </si>
  <si>
    <t>Calcualte equilibrium liquid composition</t>
  </si>
  <si>
    <t>Select Value for error bounds</t>
  </si>
  <si>
    <t>Equilibrium minus 1 sigma</t>
  </si>
  <si>
    <t>Equilibrium plus 1 sigma</t>
  </si>
  <si>
    <t>Mg/Fe-ol</t>
  </si>
  <si>
    <t>Mg/Fe-liq</t>
  </si>
  <si>
    <t>Mg#liq - 0.3</t>
  </si>
  <si>
    <t>Mg#ol - 0.3</t>
  </si>
  <si>
    <t>KD(Fe-Mg)</t>
  </si>
  <si>
    <t>The Rhodes Diagram - Test for Ol-liq Equilibrium</t>
  </si>
  <si>
    <t>Helz &amp;</t>
  </si>
  <si>
    <t>Beattie (1993)</t>
  </si>
  <si>
    <t>Putirka et al. 2007</t>
  </si>
  <si>
    <t>4) Tests for ol-liq equilibrium utilize calculations in columns AO - AR and the Rhodes Diagram Sheet</t>
  </si>
  <si>
    <t>Thornber '87</t>
  </si>
  <si>
    <t>Olivine Compositions - in Weight Percent</t>
  </si>
  <si>
    <t>Liquid</t>
  </si>
  <si>
    <t>Olivine</t>
  </si>
  <si>
    <t>Measured</t>
  </si>
  <si>
    <t>calculated</t>
  </si>
  <si>
    <t>w/ Herz corr</t>
  </si>
  <si>
    <t>Their Eqn. 4</t>
  </si>
  <si>
    <t>Sisson &amp; Grove</t>
  </si>
  <si>
    <t>LIQUID cation proportions</t>
  </si>
  <si>
    <t>LIQUID cation fractions</t>
  </si>
  <si>
    <t>OLIVINE cation proportions</t>
  </si>
  <si>
    <t>OLIVINE cation fractions</t>
  </si>
  <si>
    <t>Beattie</t>
    <phoneticPr fontId="4" type="noConversion"/>
  </si>
  <si>
    <t>Meas</t>
    <phoneticPr fontId="4" type="noConversion"/>
  </si>
  <si>
    <t>Eqn. 21 in RiMG T(C )</t>
  </si>
  <si>
    <t>(1992) Eqn. 2 T(C )</t>
  </si>
  <si>
    <t>Eqn 21</t>
    <phoneticPr fontId="4" type="noConversion"/>
  </si>
  <si>
    <t>Kd(Mg)</t>
    <phoneticPr fontId="4" type="noConversion"/>
  </si>
  <si>
    <t>Sisson and Grove Eqn. 2</t>
  </si>
  <si>
    <t>T(oC) meas</t>
    <phoneticPr fontId="4" type="noConversion"/>
  </si>
  <si>
    <t>XAl2O3</t>
  </si>
  <si>
    <t>XNa2O</t>
  </si>
  <si>
    <t>XK2O</t>
  </si>
  <si>
    <t>Kinzler, R.J., Grove, T.L. (1992)</t>
  </si>
  <si>
    <t>H195</t>
  </si>
  <si>
    <t>liq+ol+cpx</t>
  </si>
  <si>
    <t>H176</t>
  </si>
  <si>
    <r>
      <t>log (</t>
    </r>
    <r>
      <rPr>
        <b/>
        <i/>
        <sz val="11"/>
        <color rgb="FF000000"/>
        <rFont val="Verdana"/>
        <family val="2"/>
      </rPr>
      <t>f</t>
    </r>
    <r>
      <rPr>
        <b/>
        <sz val="11"/>
        <color indexed="8"/>
        <rFont val="Verdana"/>
        <family val="2"/>
      </rPr>
      <t>O</t>
    </r>
    <r>
      <rPr>
        <b/>
        <vertAlign val="subscript"/>
        <sz val="11"/>
        <color rgb="FF000000"/>
        <rFont val="Verdana"/>
        <family val="2"/>
      </rPr>
      <t>2</t>
    </r>
    <r>
      <rPr>
        <b/>
        <sz val="11"/>
        <color indexed="8"/>
        <rFont val="Verdana"/>
        <family val="2"/>
      </rPr>
      <t>)</t>
    </r>
  </si>
  <si>
    <t>log units</t>
  </si>
  <si>
    <t>above/below QFM</t>
  </si>
  <si>
    <t>Predicted</t>
  </si>
  <si>
    <t>Putirka (2008; Eqn. 22)</t>
  </si>
  <si>
    <r>
      <t xml:space="preserve">T Used to calculate </t>
    </r>
    <r>
      <rPr>
        <i/>
        <sz val="11"/>
        <color rgb="FF000000"/>
        <rFont val="Verdana"/>
        <family val="2"/>
      </rPr>
      <t>f</t>
    </r>
    <r>
      <rPr>
        <sz val="11"/>
        <color indexed="8"/>
        <rFont val="Verdana"/>
        <family val="2"/>
      </rPr>
      <t>O</t>
    </r>
    <r>
      <rPr>
        <vertAlign val="subscript"/>
        <sz val="11"/>
        <color rgb="FF000000"/>
        <rFont val="Verdana"/>
        <family val="2"/>
      </rPr>
      <t>2</t>
    </r>
  </si>
  <si>
    <t>Liquid-only thermometers (not nearly as reliable as ol + liq)</t>
  </si>
  <si>
    <t>Ol + liq thermometers</t>
  </si>
  <si>
    <t>* Using calculated KD MG</t>
  </si>
  <si>
    <t>*Using measured</t>
  </si>
  <si>
    <t>Meas Den</t>
  </si>
  <si>
    <t>* I added</t>
  </si>
  <si>
    <t>Beatte 1993 using olivine</t>
  </si>
  <si>
    <t>Eq 19 no olivine</t>
  </si>
  <si>
    <t>Eq 19 with olivine</t>
  </si>
  <si>
    <t>{'SiO2_Liq':</t>
  </si>
  <si>
    <t>60.0843,</t>
  </si>
  <si>
    <t>'MgO_Liq':</t>
  </si>
  <si>
    <t>40.3044,</t>
  </si>
  <si>
    <t>'MnO_Liq':</t>
  </si>
  <si>
    <t>70.9375,</t>
  </si>
  <si>
    <t>'FeOt_Liq':71.8464,</t>
  </si>
  <si>
    <t>'CaO_Liq':</t>
  </si>
  <si>
    <t>56.0774,</t>
  </si>
  <si>
    <t>'Al2O3_Liq':</t>
  </si>
  <si>
    <t>101.961,</t>
  </si>
  <si>
    <t>'Na2O_Liq':</t>
  </si>
  <si>
    <t>61.9789,</t>
  </si>
  <si>
    <t>'K2O_Liq':</t>
  </si>
  <si>
    <t>94.196,</t>
  </si>
  <si>
    <t>'TiO2_Liq':</t>
  </si>
  <si>
    <t>79.8788,</t>
  </si>
  <si>
    <t>'P2O5_Liq':</t>
  </si>
  <si>
    <t>141.937,</t>
  </si>
  <si>
    <t>'Cr2O3_Liq':151.9982}</t>
  </si>
  <si>
    <t>* Changed to ones above</t>
  </si>
  <si>
    <t>* Calculated olivine was here</t>
  </si>
  <si>
    <t>* cell used for herz corr</t>
  </si>
  <si>
    <t>Deno_meas ol</t>
  </si>
  <si>
    <t>* cell used</t>
  </si>
  <si>
    <t>Meas Ol_Herzcorr</t>
  </si>
  <si>
    <t>Eq 21 using calc DMg</t>
  </si>
  <si>
    <t>Eq 22 using calc DMg</t>
  </si>
  <si>
    <t>*uses calc not measured</t>
  </si>
  <si>
    <t>* I changed molar masses for consistency</t>
  </si>
  <si>
    <t>FeOt_Liq':71.844,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</si>
</sst>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45">
    <font>
      <sz val="12"/>
      <name val="Verdana"/>
    </font>
    <font>
      <b/>
      <sz val="12"/>
      <name val="Verdana"/>
      <family val="2"/>
    </font>
    <font>
      <i/>
      <sz val="12"/>
      <name val="Verdana"/>
      <family val="2"/>
    </font>
    <font>
      <sz val="12"/>
      <name val="Verdana"/>
      <family val="2"/>
    </font>
    <font>
      <sz val="8"/>
      <name val="Verdana"/>
      <family val="2"/>
    </font>
    <font>
      <b/>
      <sz val="14"/>
      <name val="Verdana"/>
      <family val="2"/>
    </font>
    <font>
      <sz val="14"/>
      <name val="Verdana"/>
      <family val="2"/>
    </font>
    <font>
      <b/>
      <sz val="18"/>
      <name val="Geneva"/>
      <family val="2"/>
    </font>
    <font>
      <b/>
      <sz val="18"/>
      <color indexed="8"/>
      <name val="Verdana"/>
      <family val="2"/>
    </font>
    <font>
      <sz val="10"/>
      <color indexed="8"/>
      <name val="Verdana"/>
      <family val="2"/>
    </font>
    <font>
      <sz val="18"/>
      <color indexed="8"/>
      <name val="Verdana"/>
      <family val="2"/>
    </font>
    <font>
      <sz val="14"/>
      <color indexed="8"/>
      <name val="Verdana"/>
      <family val="2"/>
    </font>
    <font>
      <b/>
      <sz val="12"/>
      <color indexed="8"/>
      <name val="Verdana"/>
      <family val="2"/>
    </font>
    <font>
      <sz val="11"/>
      <color indexed="8"/>
      <name val="Verdana"/>
      <family val="2"/>
    </font>
    <font>
      <b/>
      <sz val="11"/>
      <color indexed="8"/>
      <name val="Verdana"/>
      <family val="2"/>
    </font>
    <font>
      <b/>
      <sz val="11"/>
      <name val="Verdana"/>
      <family val="2"/>
    </font>
    <font>
      <b/>
      <sz val="16"/>
      <name val="Verdana"/>
      <family val="2"/>
    </font>
    <font>
      <sz val="12"/>
      <color indexed="8"/>
      <name val="Verdana"/>
      <family val="2"/>
    </font>
    <font>
      <b/>
      <sz val="10"/>
      <name val="Geneva"/>
      <family val="2"/>
    </font>
    <font>
      <sz val="10"/>
      <name val="Geneva"/>
      <family val="2"/>
    </font>
    <font>
      <vertAlign val="subscript"/>
      <sz val="12"/>
      <name val="Verdana"/>
      <family val="2"/>
    </font>
    <font>
      <u/>
      <sz val="12"/>
      <name val="Verdana"/>
      <family val="2"/>
    </font>
    <font>
      <vertAlign val="superscript"/>
      <sz val="12"/>
      <name val="Verdana"/>
      <family val="2"/>
    </font>
    <font>
      <b/>
      <sz val="12"/>
      <name val="Geneva"/>
      <family val="2"/>
    </font>
    <font>
      <sz val="12"/>
      <name val="Geneva"/>
      <family val="2"/>
    </font>
    <font>
      <sz val="12"/>
      <name val="Verdana"/>
      <family val="2"/>
    </font>
    <font>
      <b/>
      <sz val="10"/>
      <color indexed="8"/>
      <name val="Verdana"/>
      <family val="2"/>
    </font>
    <font>
      <b/>
      <vertAlign val="subscript"/>
      <sz val="11"/>
      <color indexed="8"/>
      <name val="Verdana"/>
      <family val="2"/>
    </font>
    <font>
      <b/>
      <u/>
      <sz val="12"/>
      <name val="Verdana"/>
      <family val="2"/>
    </font>
    <font>
      <b/>
      <vertAlign val="subscript"/>
      <sz val="12"/>
      <name val="Verdana"/>
      <family val="2"/>
    </font>
    <font>
      <b/>
      <vertAlign val="subscript"/>
      <sz val="14"/>
      <name val="Verdana"/>
      <family val="2"/>
    </font>
    <font>
      <sz val="12"/>
      <color theme="1"/>
      <name val="Verdana"/>
      <family val="2"/>
    </font>
    <font>
      <sz val="12"/>
      <color rgb="FFFF0000"/>
      <name val="Verdana"/>
      <family val="2"/>
    </font>
    <font>
      <sz val="10"/>
      <color rgb="FF000000"/>
      <name val="Tahoma"/>
      <family val="2"/>
    </font>
    <font>
      <sz val="12"/>
      <color rgb="FF000000"/>
      <name val="Verdana"/>
      <family val="2"/>
    </font>
    <font>
      <sz val="12"/>
      <color rgb="FF000000"/>
      <name val="Tahoma"/>
      <family val="2"/>
    </font>
    <font>
      <vertAlign val="superscript"/>
      <sz val="12"/>
      <color rgb="FF000000"/>
      <name val="Verdana"/>
      <family val="2"/>
    </font>
    <font>
      <b/>
      <i/>
      <sz val="11"/>
      <color rgb="FF000000"/>
      <name val="Verdana"/>
      <family val="2"/>
    </font>
    <font>
      <b/>
      <vertAlign val="subscript"/>
      <sz val="11"/>
      <color rgb="FF000000"/>
      <name val="Verdana"/>
      <family val="2"/>
    </font>
    <font>
      <vertAlign val="subscript"/>
      <sz val="12"/>
      <color rgb="FF000000"/>
      <name val="Verdana"/>
      <family val="2"/>
    </font>
    <font>
      <i/>
      <sz val="12"/>
      <color rgb="FF000000"/>
      <name val="Verdana"/>
      <family val="2"/>
    </font>
    <font>
      <vertAlign val="subscript"/>
      <sz val="11"/>
      <color rgb="FF000000"/>
      <name val="Verdana"/>
      <family val="2"/>
    </font>
    <font>
      <i/>
      <sz val="11"/>
      <color rgb="FF000000"/>
      <name val="Verdana"/>
      <family val="2"/>
    </font>
    <font>
      <b/>
      <sz val="14"/>
      <color indexed="8"/>
      <name val="Verdana"/>
      <family val="2"/>
    </font>
    <font>
      <b/>
      <sz val="16"/>
      <color indexed="8"/>
      <name val="Verdana"/>
      <family val="2"/>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style="thin">
        <color indexed="56"/>
      </top>
      <bottom/>
      <diagonal/>
    </border>
    <border>
      <left/>
      <right/>
      <top style="thin">
        <color indexed="10"/>
      </top>
      <bottom/>
      <diagonal/>
    </border>
    <border>
      <left style="thin">
        <color indexed="64"/>
      </left>
      <right/>
      <top style="thin">
        <color indexed="64"/>
      </top>
      <bottom style="thin">
        <color indexed="64"/>
      </bottom>
      <diagonal/>
    </border>
  </borders>
  <cellStyleXfs count="1">
    <xf numFmtId="0" fontId="0" fillId="0" borderId="0"/>
  </cellStyleXfs>
  <cellXfs count="20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0" xfId="0" applyFont="1"/>
    <xf numFmtId="0" fontId="5" fillId="0" borderId="0" xfId="0" applyFont="1"/>
    <xf numFmtId="0" fontId="5"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6" xfId="0" applyFont="1" applyBorder="1"/>
    <xf numFmtId="0" fontId="5" fillId="0" borderId="4" xfId="0" applyFont="1" applyBorder="1"/>
    <xf numFmtId="0" fontId="6" fillId="0" borderId="0" xfId="0" applyFont="1" applyBorder="1"/>
    <xf numFmtId="0" fontId="5" fillId="0" borderId="7" xfId="0" applyFont="1" applyBorder="1"/>
    <xf numFmtId="0" fontId="7" fillId="0" borderId="0" xfId="0" applyFont="1"/>
    <xf numFmtId="0" fontId="8" fillId="0" borderId="0" xfId="0" applyFont="1"/>
    <xf numFmtId="0" fontId="9" fillId="0" borderId="0" xfId="0" applyFont="1" applyFill="1"/>
    <xf numFmtId="0" fontId="9" fillId="0" borderId="0" xfId="0" applyFont="1" applyFill="1" applyAlignment="1">
      <alignment horizontal="center"/>
    </xf>
    <xf numFmtId="0" fontId="9" fillId="0" borderId="0" xfId="0" applyFont="1" applyFill="1" applyAlignment="1">
      <alignment horizontal="left"/>
    </xf>
    <xf numFmtId="0" fontId="9" fillId="0" borderId="0" xfId="0" applyFont="1"/>
    <xf numFmtId="0" fontId="10" fillId="0" borderId="0" xfId="0" applyFont="1"/>
    <xf numFmtId="0" fontId="11" fillId="0" borderId="0" xfId="0" applyFont="1"/>
    <xf numFmtId="0" fontId="12" fillId="0" borderId="0" xfId="0" applyFont="1" applyFill="1"/>
    <xf numFmtId="0" fontId="12" fillId="0" borderId="0" xfId="0" applyFont="1" applyFill="1" applyAlignment="1">
      <alignment horizontal="center"/>
    </xf>
    <xf numFmtId="0" fontId="13" fillId="0" borderId="0" xfId="0" applyFont="1" applyFill="1"/>
    <xf numFmtId="0" fontId="13" fillId="0" borderId="0" xfId="0" applyFont="1" applyFill="1" applyAlignment="1">
      <alignment horizontal="center"/>
    </xf>
    <xf numFmtId="0" fontId="14" fillId="2" borderId="0" xfId="0" applyFont="1" applyFill="1" applyAlignment="1">
      <alignment horizontal="center"/>
    </xf>
    <xf numFmtId="0" fontId="12" fillId="2" borderId="0" xfId="0" applyFont="1" applyFill="1" applyAlignment="1">
      <alignment horizontal="center"/>
    </xf>
    <xf numFmtId="0" fontId="14" fillId="0" borderId="0" xfId="0" applyFont="1" applyFill="1"/>
    <xf numFmtId="0" fontId="14" fillId="0" borderId="0" xfId="0" applyFont="1"/>
    <xf numFmtId="0" fontId="14" fillId="0" borderId="0" xfId="0" applyFont="1" applyAlignment="1">
      <alignment horizontal="left"/>
    </xf>
    <xf numFmtId="0" fontId="14" fillId="0" borderId="0" xfId="0" applyFont="1" applyAlignment="1">
      <alignment horizontal="center"/>
    </xf>
    <xf numFmtId="0" fontId="14" fillId="3" borderId="0" xfId="0" applyFont="1" applyFill="1" applyAlignment="1">
      <alignment horizontal="left"/>
    </xf>
    <xf numFmtId="0" fontId="13" fillId="3" borderId="0" xfId="0" applyFont="1" applyFill="1"/>
    <xf numFmtId="0" fontId="15" fillId="2" borderId="0" xfId="0" applyFont="1" applyFill="1" applyAlignment="1">
      <alignment horizontal="center"/>
    </xf>
    <xf numFmtId="0" fontId="14" fillId="3" borderId="5" xfId="0" applyFont="1" applyFill="1" applyBorder="1" applyAlignment="1">
      <alignment horizontal="center"/>
    </xf>
    <xf numFmtId="0" fontId="9" fillId="3" borderId="0" xfId="0" applyFont="1" applyFill="1"/>
    <xf numFmtId="164" fontId="9" fillId="2" borderId="0" xfId="0" applyNumberFormat="1" applyFont="1" applyFill="1" applyAlignment="1">
      <alignment horizontal="center"/>
    </xf>
    <xf numFmtId="2" fontId="9" fillId="2" borderId="0" xfId="0" applyNumberFormat="1" applyFont="1" applyFill="1" applyAlignment="1">
      <alignment horizontal="center"/>
    </xf>
    <xf numFmtId="165" fontId="9" fillId="2" borderId="0" xfId="0" applyNumberFormat="1" applyFont="1" applyFill="1" applyAlignment="1">
      <alignment horizontal="center"/>
    </xf>
    <xf numFmtId="0" fontId="14" fillId="0" borderId="0" xfId="0" applyFont="1" applyFill="1" applyAlignment="1">
      <alignment horizontal="center"/>
    </xf>
    <xf numFmtId="2" fontId="9" fillId="0" borderId="0" xfId="0" applyNumberFormat="1" applyFont="1" applyFill="1" applyAlignment="1">
      <alignment horizontal="center"/>
    </xf>
    <xf numFmtId="0" fontId="9" fillId="0" borderId="3" xfId="0" applyFont="1" applyFill="1" applyBorder="1" applyAlignment="1">
      <alignment horizontal="center"/>
    </xf>
    <xf numFmtId="0" fontId="9" fillId="0" borderId="8" xfId="0" applyFont="1" applyFill="1" applyBorder="1" applyAlignment="1">
      <alignment horizontal="center"/>
    </xf>
    <xf numFmtId="0" fontId="13" fillId="0" borderId="6" xfId="0" applyFont="1" applyFill="1" applyBorder="1" applyAlignment="1">
      <alignment horizontal="center"/>
    </xf>
    <xf numFmtId="0" fontId="9" fillId="0" borderId="9" xfId="0" applyFont="1" applyFill="1" applyBorder="1"/>
    <xf numFmtId="0" fontId="9" fillId="0" borderId="10" xfId="0" applyFont="1" applyFill="1" applyBorder="1"/>
    <xf numFmtId="0" fontId="16" fillId="0" borderId="0" xfId="0" applyFont="1"/>
    <xf numFmtId="0" fontId="3" fillId="0" borderId="0" xfId="0" applyFont="1"/>
    <xf numFmtId="0" fontId="14" fillId="2" borderId="5" xfId="0" applyFont="1" applyFill="1" applyBorder="1" applyAlignment="1">
      <alignment horizontal="center"/>
    </xf>
    <xf numFmtId="0" fontId="13" fillId="0" borderId="1" xfId="0" applyFont="1" applyFill="1" applyBorder="1"/>
    <xf numFmtId="0" fontId="13" fillId="0" borderId="2" xfId="0" applyFont="1" applyFill="1" applyBorder="1"/>
    <xf numFmtId="0" fontId="13" fillId="0" borderId="3" xfId="0" applyFont="1" applyFill="1" applyBorder="1"/>
    <xf numFmtId="0" fontId="14" fillId="0" borderId="4" xfId="0" applyFont="1" applyFill="1" applyBorder="1"/>
    <xf numFmtId="0" fontId="14" fillId="0" borderId="5" xfId="0" applyFont="1" applyFill="1" applyBorder="1"/>
    <xf numFmtId="0" fontId="14" fillId="0" borderId="6" xfId="0" applyFont="1" applyFill="1" applyBorder="1"/>
    <xf numFmtId="0" fontId="0" fillId="0" borderId="11" xfId="0" applyBorder="1"/>
    <xf numFmtId="0" fontId="0" fillId="0" borderId="0" xfId="0" applyBorder="1"/>
    <xf numFmtId="0" fontId="0" fillId="0" borderId="8" xfId="0" applyBorder="1"/>
    <xf numFmtId="0" fontId="19" fillId="0" borderId="11" xfId="0" applyFont="1" applyBorder="1"/>
    <xf numFmtId="0" fontId="19" fillId="0" borderId="0" xfId="0" applyFont="1" applyBorder="1"/>
    <xf numFmtId="0" fontId="19" fillId="0" borderId="8" xfId="0" applyFont="1" applyBorder="1"/>
    <xf numFmtId="0" fontId="19" fillId="0" borderId="5" xfId="0" applyFont="1" applyBorder="1"/>
    <xf numFmtId="0" fontId="19" fillId="0" borderId="6" xfId="0" applyFont="1" applyBorder="1"/>
    <xf numFmtId="0" fontId="19" fillId="0" borderId="0" xfId="0" applyFont="1"/>
    <xf numFmtId="0" fontId="18" fillId="0" borderId="5" xfId="0" applyFont="1" applyBorder="1"/>
    <xf numFmtId="0" fontId="18" fillId="0" borderId="6" xfId="0" applyFont="1" applyBorder="1"/>
    <xf numFmtId="0" fontId="18" fillId="0" borderId="0" xfId="0" applyFont="1"/>
    <xf numFmtId="0" fontId="0" fillId="3" borderId="12" xfId="0" applyFill="1" applyBorder="1"/>
    <xf numFmtId="0" fontId="0" fillId="0" borderId="13" xfId="0" applyBorder="1"/>
    <xf numFmtId="0" fontId="0" fillId="0" borderId="14" xfId="0" applyBorder="1"/>
    <xf numFmtId="0" fontId="21" fillId="0" borderId="13" xfId="0" applyFont="1" applyBorder="1"/>
    <xf numFmtId="0" fontId="0" fillId="3" borderId="14" xfId="0" applyFill="1" applyBorder="1"/>
    <xf numFmtId="0" fontId="0" fillId="0" borderId="15" xfId="0" applyBorder="1"/>
    <xf numFmtId="0" fontId="0" fillId="3" borderId="16" xfId="0" applyFill="1" applyBorder="1"/>
    <xf numFmtId="0" fontId="3" fillId="0" borderId="0" xfId="0" applyFont="1" applyBorder="1"/>
    <xf numFmtId="0" fontId="3" fillId="0" borderId="0" xfId="0" applyFont="1" applyFill="1" applyBorder="1"/>
    <xf numFmtId="0" fontId="5" fillId="3" borderId="17" xfId="0" applyFont="1" applyFill="1" applyBorder="1"/>
    <xf numFmtId="0" fontId="3" fillId="3" borderId="18" xfId="0" applyFont="1" applyFill="1" applyBorder="1"/>
    <xf numFmtId="0" fontId="1" fillId="3" borderId="12" xfId="0" applyFont="1" applyFill="1" applyBorder="1"/>
    <xf numFmtId="0" fontId="3" fillId="0" borderId="13" xfId="0" applyFont="1" applyBorder="1"/>
    <xf numFmtId="0" fontId="3" fillId="3" borderId="14" xfId="0" applyFont="1" applyFill="1" applyBorder="1"/>
    <xf numFmtId="0" fontId="3" fillId="0" borderId="15" xfId="0" applyFont="1" applyBorder="1"/>
    <xf numFmtId="0" fontId="3" fillId="0" borderId="19" xfId="0" applyFont="1" applyBorder="1"/>
    <xf numFmtId="0" fontId="3" fillId="3" borderId="16" xfId="0" applyFont="1" applyFill="1" applyBorder="1"/>
    <xf numFmtId="0" fontId="3" fillId="2" borderId="2" xfId="0" applyFont="1" applyFill="1" applyBorder="1"/>
    <xf numFmtId="0" fontId="3" fillId="2" borderId="3" xfId="0" applyFont="1" applyFill="1" applyBorder="1"/>
    <xf numFmtId="0" fontId="3" fillId="2" borderId="4" xfId="0" applyFont="1" applyFill="1" applyBorder="1"/>
    <xf numFmtId="0" fontId="3" fillId="2" borderId="5" xfId="0" applyFont="1" applyFill="1" applyBorder="1"/>
    <xf numFmtId="0" fontId="1" fillId="2" borderId="6" xfId="0" applyFont="1" applyFill="1" applyBorder="1"/>
    <xf numFmtId="0" fontId="3" fillId="0" borderId="2" xfId="0" applyFont="1" applyBorder="1"/>
    <xf numFmtId="0" fontId="3" fillId="0" borderId="3" xfId="0" applyFont="1" applyBorder="1"/>
    <xf numFmtId="0" fontId="3" fillId="0" borderId="11" xfId="0" applyFont="1" applyBorder="1"/>
    <xf numFmtId="0" fontId="3" fillId="0" borderId="1" xfId="0" applyFont="1" applyBorder="1"/>
    <xf numFmtId="0" fontId="3" fillId="0" borderId="11" xfId="0" applyFont="1" applyFill="1" applyBorder="1"/>
    <xf numFmtId="0" fontId="3" fillId="0" borderId="4" xfId="0" applyFont="1" applyFill="1" applyBorder="1"/>
    <xf numFmtId="0" fontId="3" fillId="0" borderId="6" xfId="0" applyFont="1" applyBorder="1"/>
    <xf numFmtId="0" fontId="2" fillId="0" borderId="0" xfId="0" applyFont="1" applyAlignment="1">
      <alignment horizontal="center"/>
    </xf>
    <xf numFmtId="0" fontId="23" fillId="0" borderId="2" xfId="0" applyFont="1" applyBorder="1" applyAlignment="1">
      <alignment horizontal="center"/>
    </xf>
    <xf numFmtId="0" fontId="24" fillId="0" borderId="3" xfId="0" applyFont="1" applyBorder="1"/>
    <xf numFmtId="0" fontId="24" fillId="0" borderId="0" xfId="0" applyFont="1"/>
    <xf numFmtId="0" fontId="25" fillId="0" borderId="1" xfId="0" applyFont="1" applyBorder="1"/>
    <xf numFmtId="0" fontId="25" fillId="0" borderId="2" xfId="0" applyFont="1" applyBorder="1"/>
    <xf numFmtId="0" fontId="23" fillId="0" borderId="2" xfId="0" applyFont="1" applyBorder="1"/>
    <xf numFmtId="0" fontId="25" fillId="0" borderId="0" xfId="0" applyFont="1"/>
    <xf numFmtId="0" fontId="23" fillId="0" borderId="20" xfId="0" applyFont="1" applyFill="1" applyBorder="1"/>
    <xf numFmtId="0" fontId="23" fillId="0" borderId="21" xfId="0" applyFont="1" applyFill="1" applyBorder="1"/>
    <xf numFmtId="0" fontId="21" fillId="0" borderId="1" xfId="0" applyFont="1" applyBorder="1"/>
    <xf numFmtId="0" fontId="19" fillId="0" borderId="11" xfId="0" applyFont="1" applyBorder="1" applyAlignment="1">
      <alignment vertical="top" wrapText="1"/>
    </xf>
    <xf numFmtId="0" fontId="19" fillId="0" borderId="0" xfId="0" applyFont="1" applyBorder="1" applyAlignment="1">
      <alignment horizontal="right" vertical="top" wrapText="1"/>
    </xf>
    <xf numFmtId="0" fontId="19" fillId="0" borderId="8" xfId="0" applyFont="1" applyBorder="1" applyAlignment="1">
      <alignment horizontal="right" vertical="top" wrapText="1"/>
    </xf>
    <xf numFmtId="0" fontId="5" fillId="2" borderId="1" xfId="0" applyFont="1" applyFill="1" applyBorder="1"/>
    <xf numFmtId="0" fontId="26" fillId="0" borderId="0" xfId="0" applyFont="1" applyFill="1" applyAlignment="1">
      <alignment horizontal="left"/>
    </xf>
    <xf numFmtId="0" fontId="14" fillId="2" borderId="0" xfId="0" applyFont="1" applyFill="1" applyBorder="1" applyAlignment="1">
      <alignment horizontal="center"/>
    </xf>
    <xf numFmtId="0" fontId="14" fillId="2" borderId="17" xfId="0" applyFont="1" applyFill="1" applyBorder="1" applyAlignment="1">
      <alignment horizontal="center"/>
    </xf>
    <xf numFmtId="0" fontId="12" fillId="2" borderId="18" xfId="0" applyFont="1" applyFill="1" applyBorder="1" applyAlignment="1">
      <alignment horizontal="center"/>
    </xf>
    <xf numFmtId="0" fontId="14" fillId="2" borderId="18" xfId="0" applyFont="1" applyFill="1" applyBorder="1" applyAlignment="1">
      <alignment horizontal="center"/>
    </xf>
    <xf numFmtId="0" fontId="14" fillId="2" borderId="12" xfId="0" applyFont="1" applyFill="1" applyBorder="1" applyAlignment="1">
      <alignment horizontal="center"/>
    </xf>
    <xf numFmtId="0" fontId="14" fillId="2" borderId="13" xfId="0" applyFont="1" applyFill="1" applyBorder="1" applyAlignment="1">
      <alignment horizontal="center"/>
    </xf>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9" xfId="0" applyFont="1" applyFill="1" applyBorder="1" applyAlignment="1">
      <alignment horizontal="center"/>
    </xf>
    <xf numFmtId="0" fontId="14" fillId="2" borderId="16" xfId="0" applyFont="1" applyFill="1" applyBorder="1" applyAlignment="1">
      <alignment horizontal="center"/>
    </xf>
    <xf numFmtId="0" fontId="11" fillId="0" borderId="22" xfId="0" applyFont="1" applyFill="1" applyBorder="1"/>
    <xf numFmtId="0" fontId="17" fillId="0" borderId="1" xfId="0" applyFont="1" applyFill="1" applyBorder="1" applyAlignment="1">
      <alignment horizontal="center"/>
    </xf>
    <xf numFmtId="0" fontId="17" fillId="0" borderId="11" xfId="0" applyFont="1" applyFill="1" applyBorder="1" applyAlignment="1">
      <alignment horizontal="center"/>
    </xf>
    <xf numFmtId="0" fontId="17" fillId="0" borderId="4" xfId="0" applyFont="1" applyFill="1" applyBorder="1" applyAlignment="1">
      <alignment horizontal="center"/>
    </xf>
    <xf numFmtId="0" fontId="3" fillId="3" borderId="8" xfId="0" applyFont="1" applyFill="1" applyBorder="1"/>
    <xf numFmtId="0" fontId="5" fillId="3" borderId="7" xfId="0" applyFont="1" applyFill="1" applyBorder="1"/>
    <xf numFmtId="0" fontId="0" fillId="2" borderId="0" xfId="0" applyFill="1"/>
    <xf numFmtId="0" fontId="3" fillId="2" borderId="0" xfId="0" applyFont="1" applyFill="1"/>
    <xf numFmtId="0" fontId="16" fillId="2" borderId="1" xfId="0" applyFont="1"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0" borderId="0" xfId="0" applyFill="1"/>
    <xf numFmtId="0" fontId="0" fillId="0" borderId="0" xfId="0" applyFill="1" applyBorder="1"/>
    <xf numFmtId="0" fontId="3" fillId="0" borderId="0" xfId="0" applyFont="1" applyFill="1"/>
    <xf numFmtId="0" fontId="0" fillId="0" borderId="2"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1" fillId="0" borderId="1" xfId="0" applyFont="1" applyBorder="1"/>
    <xf numFmtId="0" fontId="0" fillId="0" borderId="3" xfId="0" applyBorder="1" applyAlignment="1">
      <alignment horizontal="center"/>
    </xf>
    <xf numFmtId="0" fontId="28" fillId="2" borderId="6" xfId="0" applyFont="1" applyFill="1" applyBorder="1" applyAlignment="1">
      <alignment horizontal="center"/>
    </xf>
    <xf numFmtId="2" fontId="0" fillId="2" borderId="0" xfId="0" applyNumberFormat="1" applyFill="1" applyAlignment="1">
      <alignment horizontal="center"/>
    </xf>
    <xf numFmtId="2" fontId="3" fillId="2" borderId="0" xfId="0" applyNumberFormat="1" applyFont="1" applyFill="1" applyAlignment="1">
      <alignment horizontal="center"/>
    </xf>
    <xf numFmtId="0" fontId="3" fillId="0" borderId="0" xfId="0" applyFont="1" applyAlignment="1">
      <alignment horizontal="center"/>
    </xf>
    <xf numFmtId="0" fontId="0" fillId="3" borderId="0" xfId="0" applyFill="1"/>
    <xf numFmtId="0" fontId="3" fillId="3" borderId="0" xfId="0" applyFont="1" applyFill="1"/>
    <xf numFmtId="0" fontId="11" fillId="0" borderId="1" xfId="0" applyFont="1" applyFill="1" applyBorder="1"/>
    <xf numFmtId="0" fontId="9" fillId="0" borderId="2" xfId="0" applyFont="1" applyFill="1" applyBorder="1"/>
    <xf numFmtId="0" fontId="9" fillId="0" borderId="3" xfId="0" applyFont="1" applyFill="1" applyBorder="1"/>
    <xf numFmtId="0" fontId="17" fillId="0" borderId="4" xfId="0" applyFont="1" applyFill="1" applyBorder="1"/>
    <xf numFmtId="0" fontId="9" fillId="0" borderId="5" xfId="0" applyFont="1" applyFill="1" applyBorder="1"/>
    <xf numFmtId="0" fontId="9" fillId="0" borderId="6" xfId="0" applyFont="1" applyFill="1" applyBorder="1"/>
    <xf numFmtId="1" fontId="9" fillId="0" borderId="0" xfId="0" applyNumberFormat="1" applyFont="1" applyFill="1"/>
    <xf numFmtId="0" fontId="31" fillId="4" borderId="0" xfId="0" applyFont="1" applyFill="1"/>
    <xf numFmtId="0" fontId="31" fillId="4" borderId="0" xfId="0" applyFont="1" applyFill="1" applyAlignment="1">
      <alignment horizontal="center"/>
    </xf>
    <xf numFmtId="2" fontId="31" fillId="4" borderId="0" xfId="0" applyNumberFormat="1" applyFont="1" applyFill="1" applyAlignment="1">
      <alignment horizontal="center"/>
    </xf>
    <xf numFmtId="0" fontId="0" fillId="4" borderId="0" xfId="0" applyFill="1"/>
    <xf numFmtId="0" fontId="0" fillId="4" borderId="0" xfId="0" applyFill="1" applyAlignment="1">
      <alignment horizontal="center"/>
    </xf>
    <xf numFmtId="2" fontId="0" fillId="4" borderId="0" xfId="0" applyNumberFormat="1" applyFill="1" applyAlignment="1">
      <alignment horizontal="center"/>
    </xf>
    <xf numFmtId="0" fontId="32" fillId="3" borderId="0" xfId="0" applyFont="1" applyFill="1"/>
    <xf numFmtId="0" fontId="32" fillId="0" borderId="0" xfId="0" applyFont="1" applyAlignment="1">
      <alignment horizontal="center"/>
    </xf>
    <xf numFmtId="0" fontId="32" fillId="2" borderId="0" xfId="0" applyFont="1" applyFill="1" applyAlignment="1">
      <alignment horizontal="center"/>
    </xf>
    <xf numFmtId="0" fontId="32" fillId="0" borderId="0" xfId="0" applyFont="1"/>
    <xf numFmtId="2" fontId="32" fillId="2" borderId="0" xfId="0" applyNumberFormat="1" applyFont="1" applyFill="1" applyAlignment="1">
      <alignment horizontal="center"/>
    </xf>
    <xf numFmtId="0" fontId="32" fillId="2" borderId="0" xfId="0" applyFont="1" applyFill="1"/>
    <xf numFmtId="0" fontId="32" fillId="0" borderId="0" xfId="0" applyFont="1" applyFill="1"/>
    <xf numFmtId="165" fontId="9" fillId="0" borderId="0" xfId="0" applyNumberFormat="1" applyFont="1" applyFill="1"/>
    <xf numFmtId="1" fontId="9" fillId="0" borderId="0" xfId="0" applyNumberFormat="1" applyFont="1" applyFill="1" applyAlignment="1">
      <alignment horizontal="center"/>
    </xf>
    <xf numFmtId="0" fontId="14" fillId="0" borderId="7" xfId="0" applyFont="1" applyBorder="1" applyAlignment="1">
      <alignment horizontal="center"/>
    </xf>
    <xf numFmtId="2" fontId="12" fillId="0" borderId="0" xfId="0" applyNumberFormat="1" applyFont="1" applyFill="1" applyAlignment="1">
      <alignment horizontal="center"/>
    </xf>
    <xf numFmtId="2" fontId="14" fillId="0" borderId="5" xfId="0" applyNumberFormat="1" applyFont="1" applyFill="1" applyBorder="1" applyAlignment="1">
      <alignment horizontal="center"/>
    </xf>
    <xf numFmtId="2" fontId="31" fillId="5" borderId="0" xfId="0" applyNumberFormat="1" applyFont="1" applyFill="1" applyAlignment="1">
      <alignment horizontal="center"/>
    </xf>
    <xf numFmtId="0" fontId="43" fillId="0" borderId="0" xfId="0" applyFont="1" applyFill="1" applyAlignment="1">
      <alignment horizontal="left"/>
    </xf>
    <xf numFmtId="0" fontId="44" fillId="0" borderId="0" xfId="0" applyFont="1" applyFill="1" applyAlignment="1">
      <alignment horizontal="left"/>
    </xf>
    <xf numFmtId="0" fontId="9" fillId="5" borderId="0" xfId="0" applyFont="1" applyFill="1"/>
    <xf numFmtId="0" fontId="0" fillId="6" borderId="0" xfId="0" applyFill="1"/>
    <xf numFmtId="166" fontId="9" fillId="2" borderId="0" xfId="0" applyNumberFormat="1" applyFont="1" applyFill="1" applyAlignment="1">
      <alignment horizontal="center"/>
    </xf>
    <xf numFmtId="167" fontId="9" fillId="2" borderId="0" xfId="0" applyNumberFormat="1" applyFont="1" applyFill="1" applyAlignment="1">
      <alignment horizontal="center"/>
    </xf>
    <xf numFmtId="0" fontId="14" fillId="7" borderId="0" xfId="0" applyFont="1" applyFill="1"/>
    <xf numFmtId="0" fontId="12" fillId="2" borderId="0" xfId="0" applyFont="1" applyFill="1" applyAlignment="1">
      <alignment horizontal="center" wrapText="1"/>
    </xf>
    <xf numFmtId="0" fontId="14" fillId="2" borderId="0" xfId="0" applyFont="1" applyFill="1" applyBorder="1" applyAlignment="1">
      <alignment horizontal="center" wrapText="1"/>
    </xf>
    <xf numFmtId="0" fontId="9" fillId="7" borderId="0" xfId="0" applyFont="1" applyFill="1"/>
    <xf numFmtId="0" fontId="0" fillId="7" borderId="0" xfId="0" applyFill="1"/>
    <xf numFmtId="1" fontId="9" fillId="7" borderId="0" xfId="0" applyNumberFormat="1" applyFont="1" applyFill="1" applyAlignment="1">
      <alignment horizontal="center"/>
    </xf>
    <xf numFmtId="0" fontId="9" fillId="7" borderId="0" xfId="0" applyFont="1" applyFill="1" applyAlignment="1">
      <alignment horizontal="center"/>
    </xf>
    <xf numFmtId="2" fontId="12" fillId="7" borderId="0" xfId="0" applyNumberFormat="1" applyFont="1" applyFill="1" applyAlignment="1">
      <alignment horizontal="center"/>
    </xf>
    <xf numFmtId="164" fontId="9" fillId="7" borderId="0" xfId="0" applyNumberFormat="1" applyFont="1" applyFill="1" applyAlignment="1">
      <alignment horizontal="center"/>
    </xf>
    <xf numFmtId="2" fontId="9" fillId="7" borderId="0" xfId="0" applyNumberFormat="1" applyFont="1" applyFill="1" applyAlignment="1">
      <alignment horizontal="center"/>
    </xf>
    <xf numFmtId="165" fontId="9" fillId="7" borderId="0" xfId="0" applyNumberFormat="1" applyFont="1" applyFill="1" applyAlignment="1">
      <alignment horizontal="center"/>
    </xf>
    <xf numFmtId="2" fontId="31" fillId="7" borderId="0" xfId="0" applyNumberFormat="1" applyFont="1" applyFill="1" applyAlignment="1">
      <alignment horizontal="center"/>
    </xf>
    <xf numFmtId="167" fontId="9" fillId="7" borderId="0" xfId="0" applyNumberFormat="1" applyFont="1" applyFill="1" applyAlignment="1">
      <alignment horizontal="center"/>
    </xf>
    <xf numFmtId="166" fontId="9" fillId="7" borderId="0" xfId="0" applyNumberFormat="1" applyFont="1" applyFill="1" applyAlignment="1">
      <alignment horizontal="center"/>
    </xf>
    <xf numFmtId="0" fontId="12" fillId="7" borderId="0" xfId="0" applyFont="1" applyFill="1"/>
    <xf numFmtId="0" fontId="14" fillId="0" borderId="0" xfId="0" applyFont="1" applyFill="1" applyAlignment="1">
      <alignment wrapText="1"/>
    </xf>
    <xf numFmtId="166" fontId="9" fillId="0" borderId="0" xfId="0" applyNumberFormat="1" applyFont="1" applyFill="1"/>
    <xf numFmtId="166" fontId="9" fillId="7" borderId="0" xfId="0" applyNumberFormat="1" applyFont="1" applyFill="1"/>
    <xf numFmtId="0" fontId="9" fillId="0" borderId="0" xfId="0" quotePrefix="1" applyFont="1" applyFill="1"/>
    <xf numFmtId="167" fontId="9" fillId="0" borderId="0" xfId="0" applyNumberFormat="1" applyFont="1" applyFill="1"/>
    <xf numFmtId="167" fontId="9" fillId="7" borderId="0" xfId="0" applyNumberFormat="1" applyFont="1" applyFill="1"/>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939393939394"/>
          <c:y val="4.1394335511982572E-2"/>
          <c:w val="0.8161616161616162"/>
          <c:h val="0.82135076252723316"/>
        </c:manualLayout>
      </c:layout>
      <c:scatterChart>
        <c:scatterStyle val="lineMarker"/>
        <c:varyColors val="0"/>
        <c:ser>
          <c:idx val="0"/>
          <c:order val="0"/>
          <c:spPr>
            <a:ln w="12700">
              <a:solidFill>
                <a:srgbClr val="000000"/>
              </a:solidFill>
              <a:prstDash val="solid"/>
            </a:ln>
          </c:spPr>
          <c:marker>
            <c:symbol val="none"/>
          </c:marker>
          <c:xVal>
            <c:numRef>
              <c:f>'Rhodes Diag Calcs'!$C$10:$C$41</c:f>
              <c:numCache>
                <c:formatCode>General</c:formatCode>
                <c:ptCount val="32"/>
                <c:pt idx="0">
                  <c:v>0</c:v>
                </c:pt>
                <c:pt idx="1">
                  <c:v>2.912621359223301</c:v>
                </c:pt>
                <c:pt idx="2">
                  <c:v>5.6603773584905657</c:v>
                </c:pt>
                <c:pt idx="3">
                  <c:v>8.2568807339449535</c:v>
                </c:pt>
                <c:pt idx="4">
                  <c:v>10.714285714285714</c:v>
                </c:pt>
                <c:pt idx="5">
                  <c:v>13.043478260869566</c:v>
                </c:pt>
                <c:pt idx="6">
                  <c:v>15.254237288135593</c:v>
                </c:pt>
                <c:pt idx="7">
                  <c:v>17.355371900826448</c:v>
                </c:pt>
                <c:pt idx="8">
                  <c:v>19.35483870967742</c:v>
                </c:pt>
                <c:pt idx="9">
                  <c:v>21.259842519685041</c:v>
                </c:pt>
                <c:pt idx="10">
                  <c:v>23.076923076923077</c:v>
                </c:pt>
                <c:pt idx="11">
                  <c:v>24.81203007518797</c:v>
                </c:pt>
                <c:pt idx="12">
                  <c:v>26.47058823529412</c:v>
                </c:pt>
                <c:pt idx="13">
                  <c:v>28.057553956834528</c:v>
                </c:pt>
                <c:pt idx="14">
                  <c:v>29.577464788732396</c:v>
                </c:pt>
                <c:pt idx="15">
                  <c:v>31.034482758620687</c:v>
                </c:pt>
                <c:pt idx="16">
                  <c:v>32.432432432432435</c:v>
                </c:pt>
                <c:pt idx="17">
                  <c:v>33.774834437086092</c:v>
                </c:pt>
                <c:pt idx="18">
                  <c:v>39.75903614457831</c:v>
                </c:pt>
                <c:pt idx="19">
                  <c:v>44.751381215469614</c:v>
                </c:pt>
                <c:pt idx="20">
                  <c:v>48.979591836734691</c:v>
                </c:pt>
                <c:pt idx="21">
                  <c:v>52.606635071090047</c:v>
                </c:pt>
                <c:pt idx="22">
                  <c:v>55.752212389380539</c:v>
                </c:pt>
                <c:pt idx="23">
                  <c:v>60.9375</c:v>
                </c:pt>
                <c:pt idx="24">
                  <c:v>65.03496503496504</c:v>
                </c:pt>
                <c:pt idx="25">
                  <c:v>68.35443037974683</c:v>
                </c:pt>
                <c:pt idx="26">
                  <c:v>75</c:v>
                </c:pt>
                <c:pt idx="27">
                  <c:v>85.714285714285708</c:v>
                </c:pt>
                <c:pt idx="28">
                  <c:v>92.307692307692307</c:v>
                </c:pt>
                <c:pt idx="29">
                  <c:v>96</c:v>
                </c:pt>
                <c:pt idx="30">
                  <c:v>98.360655737704917</c:v>
                </c:pt>
                <c:pt idx="31">
                  <c:v>99.667774086378742</c:v>
                </c:pt>
              </c:numCache>
            </c:numRef>
          </c:xVal>
          <c:yVal>
            <c:numRef>
              <c:f>'Rhodes Diag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0-E102-EF4B-B8A4-537F98124DDB}"/>
            </c:ext>
          </c:extLst>
        </c:ser>
        <c:ser>
          <c:idx val="1"/>
          <c:order val="1"/>
          <c:spPr>
            <a:ln w="12700">
              <a:solidFill>
                <a:srgbClr val="000000"/>
              </a:solidFill>
              <a:prstDash val="lgDash"/>
            </a:ln>
          </c:spPr>
          <c:marker>
            <c:symbol val="none"/>
          </c:marker>
          <c:xVal>
            <c:numRef>
              <c:f>'Rhodes Diag Calcs'!$H$10:$H$40</c:f>
              <c:numCache>
                <c:formatCode>General</c:formatCode>
                <c:ptCount val="31"/>
                <c:pt idx="0">
                  <c:v>0</c:v>
                </c:pt>
                <c:pt idx="1">
                  <c:v>2.6290165530671863</c:v>
                </c:pt>
                <c:pt idx="2">
                  <c:v>5.1233396584440225</c:v>
                </c:pt>
                <c:pt idx="3">
                  <c:v>7.4930619796484734</c:v>
                </c:pt>
                <c:pt idx="4">
                  <c:v>9.7472924187725631</c:v>
                </c:pt>
                <c:pt idx="5">
                  <c:v>11.894273127753303</c:v>
                </c:pt>
                <c:pt idx="6">
                  <c:v>13.941480206540447</c:v>
                </c:pt>
                <c:pt idx="7">
                  <c:v>15.895710681244742</c:v>
                </c:pt>
                <c:pt idx="8">
                  <c:v>17.763157894736842</c:v>
                </c:pt>
                <c:pt idx="9">
                  <c:v>19.549477071600965</c:v>
                </c:pt>
                <c:pt idx="10">
                  <c:v>21.259842519685041</c:v>
                </c:pt>
                <c:pt idx="11">
                  <c:v>22.898997686969931</c:v>
                </c:pt>
                <c:pt idx="12">
                  <c:v>24.471299093655588</c:v>
                </c:pt>
                <c:pt idx="13">
                  <c:v>25.980754996299041</c:v>
                </c:pt>
                <c:pt idx="14">
                  <c:v>27.431059506531199</c:v>
                </c:pt>
                <c:pt idx="15">
                  <c:v>28.82562277580071</c:v>
                </c:pt>
                <c:pt idx="16">
                  <c:v>30.16759776536313</c:v>
                </c:pt>
                <c:pt idx="17">
                  <c:v>31.459904043865659</c:v>
                </c:pt>
                <c:pt idx="18">
                  <c:v>37.264742785445421</c:v>
                </c:pt>
                <c:pt idx="19">
                  <c:v>42.1631000578369</c:v>
                </c:pt>
                <c:pt idx="20">
                  <c:v>46.351931330472105</c:v>
                </c:pt>
                <c:pt idx="21">
                  <c:v>49.974987493746873</c:v>
                </c:pt>
                <c:pt idx="22">
                  <c:v>53.139643861293337</c:v>
                </c:pt>
                <c:pt idx="23">
                  <c:v>58.402662229617306</c:v>
                </c:pt>
                <c:pt idx="24">
                  <c:v>62.602842183994007</c:v>
                </c:pt>
                <c:pt idx="25">
                  <c:v>66.032608695652172</c:v>
                </c:pt>
                <c:pt idx="26">
                  <c:v>72.972972972972968</c:v>
                </c:pt>
                <c:pt idx="27">
                  <c:v>84.375</c:v>
                </c:pt>
                <c:pt idx="28">
                  <c:v>91.52542372881355</c:v>
                </c:pt>
                <c:pt idx="29">
                  <c:v>95.575221238938042</c:v>
                </c:pt>
                <c:pt idx="30">
                  <c:v>98.181818181818187</c:v>
                </c:pt>
              </c:numCache>
            </c:numRef>
          </c:xVal>
          <c:yVal>
            <c:numRef>
              <c:f>'Rhodes Diag Calcs'!$I$10:$I$40</c:f>
              <c:numCache>
                <c:formatCode>General</c:formatCode>
                <c:ptCount val="31"/>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numCache>
            </c:numRef>
          </c:yVal>
          <c:smooth val="0"/>
          <c:extLst>
            <c:ext xmlns:c16="http://schemas.microsoft.com/office/drawing/2014/chart" uri="{C3380CC4-5D6E-409C-BE32-E72D297353CC}">
              <c16:uniqueId val="{00000001-E102-EF4B-B8A4-537F98124DDB}"/>
            </c:ext>
          </c:extLst>
        </c:ser>
        <c:ser>
          <c:idx val="2"/>
          <c:order val="2"/>
          <c:spPr>
            <a:ln w="12700">
              <a:solidFill>
                <a:srgbClr val="000000"/>
              </a:solidFill>
              <a:prstDash val="lgDash"/>
            </a:ln>
          </c:spPr>
          <c:marker>
            <c:symbol val="none"/>
          </c:marker>
          <c:xVal>
            <c:numRef>
              <c:f>'Rhodes Diag Calcs'!$M$10:$M$41</c:f>
              <c:numCache>
                <c:formatCode>General</c:formatCode>
                <c:ptCount val="32"/>
                <c:pt idx="0">
                  <c:v>0</c:v>
                </c:pt>
                <c:pt idx="1">
                  <c:v>3.1945788964181991</c:v>
                </c:pt>
                <c:pt idx="2">
                  <c:v>6.1913696060037511</c:v>
                </c:pt>
                <c:pt idx="3">
                  <c:v>9.0081892629663312</c:v>
                </c:pt>
                <c:pt idx="4">
                  <c:v>11.66077738515901</c:v>
                </c:pt>
                <c:pt idx="5">
                  <c:v>14.163090128755361</c:v>
                </c:pt>
                <c:pt idx="6">
                  <c:v>16.527545909849749</c:v>
                </c:pt>
                <c:pt idx="7">
                  <c:v>18.765231519090168</c:v>
                </c:pt>
                <c:pt idx="8">
                  <c:v>20.886075949367086</c:v>
                </c:pt>
                <c:pt idx="9">
                  <c:v>22.898997686969931</c:v>
                </c:pt>
                <c:pt idx="10">
                  <c:v>24.812030075187963</c:v>
                </c:pt>
                <c:pt idx="11">
                  <c:v>26.632428466617753</c:v>
                </c:pt>
                <c:pt idx="12">
                  <c:v>28.366762177650429</c:v>
                </c:pt>
                <c:pt idx="13">
                  <c:v>30.020993701889431</c:v>
                </c:pt>
                <c:pt idx="14">
                  <c:v>31.600547195622429</c:v>
                </c:pt>
                <c:pt idx="15">
                  <c:v>33.110367892976583</c:v>
                </c:pt>
                <c:pt idx="16">
                  <c:v>34.55497382198952</c:v>
                </c:pt>
                <c:pt idx="17">
                  <c:v>35.938500960922482</c:v>
                </c:pt>
                <c:pt idx="18">
                  <c:v>42.062572421784473</c:v>
                </c:pt>
                <c:pt idx="19">
                  <c:v>47.117927022739288</c:v>
                </c:pt>
                <c:pt idx="20">
                  <c:v>51.361867704280144</c:v>
                </c:pt>
                <c:pt idx="21">
                  <c:v>54.975236380008994</c:v>
                </c:pt>
                <c:pt idx="22">
                  <c:v>58.088851634534784</c:v>
                </c:pt>
                <c:pt idx="23">
                  <c:v>63.181148748159053</c:v>
                </c:pt>
                <c:pt idx="24">
                  <c:v>67.170059093893627</c:v>
                </c:pt>
                <c:pt idx="25">
                  <c:v>70.379146919431278</c:v>
                </c:pt>
                <c:pt idx="26">
                  <c:v>76.744186046511629</c:v>
                </c:pt>
                <c:pt idx="27">
                  <c:v>86.842105263157904</c:v>
                </c:pt>
                <c:pt idx="28">
                  <c:v>92.957746478873247</c:v>
                </c:pt>
                <c:pt idx="29">
                  <c:v>96.350364963503651</c:v>
                </c:pt>
                <c:pt idx="30">
                  <c:v>98.507462686567152</c:v>
                </c:pt>
                <c:pt idx="31">
                  <c:v>99.697885196374614</c:v>
                </c:pt>
              </c:numCache>
            </c:numRef>
          </c:xVal>
          <c:yVal>
            <c:numRef>
              <c:f>'Rhodes Diag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E102-EF4B-B8A4-537F98124DDB}"/>
            </c:ext>
          </c:extLst>
        </c:ser>
        <c:ser>
          <c:idx val="3"/>
          <c:order val="3"/>
          <c:spPr>
            <a:ln w="28575">
              <a:noFill/>
            </a:ln>
          </c:spPr>
          <c:marker>
            <c:symbol val="circle"/>
            <c:size val="5"/>
            <c:spPr>
              <a:noFill/>
              <a:ln>
                <a:solidFill>
                  <a:srgbClr val="000000"/>
                </a:solidFill>
                <a:prstDash val="solid"/>
              </a:ln>
            </c:spPr>
          </c:marker>
          <c:xVal>
            <c:numRef>
              <c:f>'Olivine-liq thermometry'!$AO$16:$AO$25</c:f>
              <c:numCache>
                <c:formatCode>0.00</c:formatCode>
                <c:ptCount val="10"/>
                <c:pt idx="0">
                  <c:v>63.14606927709756</c:v>
                </c:pt>
                <c:pt idx="1">
                  <c:v>56.699402676715607</c:v>
                </c:pt>
                <c:pt idx="2">
                  <c:v>52.308903696157898</c:v>
                </c:pt>
                <c:pt idx="3">
                  <c:v>46.776908442256399</c:v>
                </c:pt>
                <c:pt idx="4">
                  <c:v>53.207868179739876</c:v>
                </c:pt>
                <c:pt idx="5">
                  <c:v>51.010377559758531</c:v>
                </c:pt>
                <c:pt idx="6">
                  <c:v>47.305075824783266</c:v>
                </c:pt>
                <c:pt idx="7">
                  <c:v>56.629165966346363</c:v>
                </c:pt>
                <c:pt idx="8">
                  <c:v>52.889375939184042</c:v>
                </c:pt>
                <c:pt idx="9">
                  <c:v>61.443159287348657</c:v>
                </c:pt>
              </c:numCache>
            </c:numRef>
          </c:xVal>
          <c:yVal>
            <c:numRef>
              <c:f>'Olivine-liq thermometry'!$AP$16:$AP$25</c:f>
              <c:numCache>
                <c:formatCode>0.00</c:formatCode>
                <c:ptCount val="10"/>
                <c:pt idx="0">
                  <c:v>87.204416437710762</c:v>
                </c:pt>
                <c:pt idx="1">
                  <c:v>90.321978029958331</c:v>
                </c:pt>
                <c:pt idx="2">
                  <c:v>83.568238933299867</c:v>
                </c:pt>
                <c:pt idx="3">
                  <c:v>86.340877228119368</c:v>
                </c:pt>
                <c:pt idx="4">
                  <c:v>90.3294667146764</c:v>
                </c:pt>
                <c:pt idx="5">
                  <c:v>89.080000664637808</c:v>
                </c:pt>
                <c:pt idx="6">
                  <c:v>83.863547146109752</c:v>
                </c:pt>
                <c:pt idx="7">
                  <c:v>80.130850953039456</c:v>
                </c:pt>
                <c:pt idx="8">
                  <c:v>81.710311235535556</c:v>
                </c:pt>
                <c:pt idx="9">
                  <c:v>82.275203189615013</c:v>
                </c:pt>
              </c:numCache>
            </c:numRef>
          </c:yVal>
          <c:smooth val="0"/>
          <c:extLst>
            <c:ext xmlns:c16="http://schemas.microsoft.com/office/drawing/2014/chart" uri="{C3380CC4-5D6E-409C-BE32-E72D297353CC}">
              <c16:uniqueId val="{00000003-E102-EF4B-B8A4-537F98124DDB}"/>
            </c:ext>
          </c:extLst>
        </c:ser>
        <c:dLbls>
          <c:showLegendKey val="0"/>
          <c:showVal val="0"/>
          <c:showCatName val="0"/>
          <c:showSerName val="0"/>
          <c:showPercent val="0"/>
          <c:showBubbleSize val="0"/>
        </c:dLbls>
        <c:axId val="1538193136"/>
        <c:axId val="1"/>
      </c:scatterChart>
      <c:valAx>
        <c:axId val="1538193136"/>
        <c:scaling>
          <c:orientation val="minMax"/>
          <c:max val="100"/>
        </c:scaling>
        <c:delete val="0"/>
        <c:axPos val="b"/>
        <c:title>
          <c:tx>
            <c:rich>
              <a:bodyPr/>
              <a:lstStyle/>
              <a:p>
                <a:pPr>
                  <a:defRPr sz="1400" b="0" i="0" u="none" strike="noStrike" baseline="0">
                    <a:solidFill>
                      <a:srgbClr val="000000"/>
                    </a:solidFill>
                    <a:latin typeface="Verdana"/>
                    <a:ea typeface="Verdana"/>
                    <a:cs typeface="Verdana"/>
                  </a:defRPr>
                </a:pPr>
                <a:r>
                  <a:rPr lang="en-US"/>
                  <a:t>100xMg# Liquid</a:t>
                </a:r>
              </a:p>
            </c:rich>
          </c:tx>
          <c:layout>
            <c:manualLayout>
              <c:xMode val="edge"/>
              <c:yMode val="edge"/>
              <c:x val="0.41414134974018935"/>
              <c:y val="0.92810456791492613"/>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
        <c:crosses val="autoZero"/>
        <c:crossBetween val="midCat"/>
      </c:valAx>
      <c:valAx>
        <c:axId val="1"/>
        <c:scaling>
          <c:orientation val="minMax"/>
          <c:max val="100"/>
        </c:scaling>
        <c:delete val="0"/>
        <c:axPos val="l"/>
        <c:title>
          <c:tx>
            <c:rich>
              <a:bodyPr/>
              <a:lstStyle/>
              <a:p>
                <a:pPr>
                  <a:defRPr sz="1400" b="0" i="0" u="none" strike="noStrike" baseline="0">
                    <a:solidFill>
                      <a:srgbClr val="000000"/>
                    </a:solidFill>
                    <a:latin typeface="Verdana"/>
                    <a:ea typeface="Verdana"/>
                    <a:cs typeface="Verdana"/>
                  </a:defRPr>
                </a:pPr>
                <a:r>
                  <a:rPr lang="en-US"/>
                  <a:t>100xMg# Olivine</a:t>
                </a:r>
              </a:p>
            </c:rich>
          </c:tx>
          <c:layout>
            <c:manualLayout>
              <c:xMode val="edge"/>
              <c:yMode val="edge"/>
              <c:x val="1.8181803691542604E-2"/>
              <c:y val="0.29847497935997436"/>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538193136"/>
        <c:crosses val="autoZero"/>
        <c:crossBetween val="midCat"/>
      </c:valAx>
      <c:spPr>
        <a:noFill/>
        <a:ln w="25400">
          <a:solidFill>
            <a:srgbClr val="000000"/>
          </a:solidFill>
          <a:prstDash val="solid"/>
        </a:ln>
      </c:spPr>
    </c:plotArea>
    <c:plotVisOnly val="1"/>
    <c:dispBlanksAs val="gap"/>
    <c:showDLblsOverMax val="0"/>
  </c:chart>
  <c:spPr>
    <a:noFill/>
    <a:ln w="9525">
      <a:noFill/>
    </a:ln>
  </c:spPr>
  <c:txPr>
    <a:bodyPr/>
    <a:lstStyle/>
    <a:p>
      <a:pPr>
        <a:defRPr sz="875" b="0" i="0" u="none" strike="noStrike" baseline="0">
          <a:solidFill>
            <a:srgbClr val="000000"/>
          </a:solidFill>
          <a:latin typeface="Verdana"/>
          <a:ea typeface="Verdana"/>
          <a:cs typeface="Verdana"/>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61616161616163"/>
          <c:y val="4.1394335511982572E-2"/>
          <c:w val="0.78989898989898988"/>
          <c:h val="0.78867102396514166"/>
        </c:manualLayout>
      </c:layout>
      <c:scatterChart>
        <c:scatterStyle val="lineMarker"/>
        <c:varyColors val="0"/>
        <c:ser>
          <c:idx val="20"/>
          <c:order val="0"/>
          <c:spPr>
            <a:ln w="12700">
              <a:solidFill>
                <a:srgbClr val="000000"/>
              </a:solidFill>
              <a:prstDash val="solid"/>
            </a:ln>
          </c:spPr>
          <c:marker>
            <c:symbol val="none"/>
          </c:marker>
          <c:xVal>
            <c:numRef>
              <c:f>RECalcs!$G$84:$G$94</c:f>
              <c:numCache>
                <c:formatCode>General</c:formatCode>
                <c:ptCount val="11"/>
                <c:pt idx="0">
                  <c:v>1E-4</c:v>
                </c:pt>
                <c:pt idx="1">
                  <c:v>2.01E-2</c:v>
                </c:pt>
                <c:pt idx="2">
                  <c:v>4.0100000000000004E-2</c:v>
                </c:pt>
                <c:pt idx="3">
                  <c:v>6.0100000000000001E-2</c:v>
                </c:pt>
                <c:pt idx="4">
                  <c:v>8.7999999999999995E-2</c:v>
                </c:pt>
                <c:pt idx="5">
                  <c:v>0.10010000000000001</c:v>
                </c:pt>
                <c:pt idx="6">
                  <c:v>0.1201</c:v>
                </c:pt>
                <c:pt idx="7">
                  <c:v>0.1401</c:v>
                </c:pt>
                <c:pt idx="8">
                  <c:v>0.16009999999999999</c:v>
                </c:pt>
                <c:pt idx="9">
                  <c:v>0.18009999999999998</c:v>
                </c:pt>
                <c:pt idx="10">
                  <c:v>0.2001</c:v>
                </c:pt>
              </c:numCache>
            </c:numRef>
          </c:xVal>
          <c:yVal>
            <c:numRef>
              <c:f>RECalcs!$H$84:$H$94</c:f>
              <c:numCache>
                <c:formatCode>General</c:formatCode>
                <c:ptCount val="11"/>
                <c:pt idx="0">
                  <c:v>1.9266666666666667E-4</c:v>
                </c:pt>
                <c:pt idx="1">
                  <c:v>3.8725999999999997E-2</c:v>
                </c:pt>
                <c:pt idx="2">
                  <c:v>7.7259333333333333E-2</c:v>
                </c:pt>
                <c:pt idx="3">
                  <c:v>0.11579266666666665</c:v>
                </c:pt>
                <c:pt idx="4">
                  <c:v>0.16954666666666665</c:v>
                </c:pt>
                <c:pt idx="5">
                  <c:v>0.19285933333333333</c:v>
                </c:pt>
                <c:pt idx="6">
                  <c:v>0.23139266666666664</c:v>
                </c:pt>
                <c:pt idx="7">
                  <c:v>0.269926</c:v>
                </c:pt>
                <c:pt idx="8">
                  <c:v>0.30845933333333331</c:v>
                </c:pt>
                <c:pt idx="9">
                  <c:v>0.34699266666666662</c:v>
                </c:pt>
                <c:pt idx="10">
                  <c:v>0.38552599999999998</c:v>
                </c:pt>
              </c:numCache>
            </c:numRef>
          </c:yVal>
          <c:smooth val="0"/>
          <c:extLst>
            <c:ext xmlns:c16="http://schemas.microsoft.com/office/drawing/2014/chart" uri="{C3380CC4-5D6E-409C-BE32-E72D297353CC}">
              <c16:uniqueId val="{00000000-573E-2345-9F85-532E1CC0570A}"/>
            </c:ext>
          </c:extLst>
        </c:ser>
        <c:ser>
          <c:idx val="8"/>
          <c:order val="1"/>
          <c:spPr>
            <a:ln w="12700">
              <a:solidFill>
                <a:srgbClr val="000000"/>
              </a:solidFill>
              <a:prstDash val="solid"/>
            </a:ln>
          </c:spPr>
          <c:marker>
            <c:symbol val="none"/>
          </c:marker>
          <c:xVal>
            <c:numRef>
              <c:f>RECalcs!$CJ$52:$CJ$72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RECalcs!$CK$52:$CK$72</c:f>
              <c:numCache>
                <c:formatCode>General</c:formatCode>
                <c:ptCount val="21"/>
                <c:pt idx="0">
                  <c:v>9.735166441956428E-4</c:v>
                </c:pt>
                <c:pt idx="1">
                  <c:v>8.0398517442074001E-4</c:v>
                </c:pt>
                <c:pt idx="2">
                  <c:v>6.3445370464583722E-4</c:v>
                </c:pt>
                <c:pt idx="3">
                  <c:v>4.6492223487093449E-4</c:v>
                </c:pt>
                <c:pt idx="4">
                  <c:v>2.9539076509603159E-4</c:v>
                </c:pt>
                <c:pt idx="5">
                  <c:v>1.2585929532112875E-4</c:v>
                </c:pt>
                <c:pt idx="6">
                  <c:v>-4.3672174453773894E-5</c:v>
                </c:pt>
                <c:pt idx="7">
                  <c:v>-2.1320364422867689E-4</c:v>
                </c:pt>
                <c:pt idx="8">
                  <c:v>-3.8273511400357968E-4</c:v>
                </c:pt>
                <c:pt idx="9">
                  <c:v>-5.5226658377848219E-4</c:v>
                </c:pt>
                <c:pt idx="10">
                  <c:v>-7.2179805355338531E-4</c:v>
                </c:pt>
                <c:pt idx="11">
                  <c:v>-8.913295233282881E-4</c:v>
                </c:pt>
                <c:pt idx="12">
                  <c:v>-1.0608609931031907E-3</c:v>
                </c:pt>
                <c:pt idx="13">
                  <c:v>-1.2303924628780938E-3</c:v>
                </c:pt>
                <c:pt idx="14">
                  <c:v>-1.3999239326529967E-3</c:v>
                </c:pt>
                <c:pt idx="15">
                  <c:v>-1.5694554024278989E-3</c:v>
                </c:pt>
                <c:pt idx="16">
                  <c:v>-1.738986872202802E-3</c:v>
                </c:pt>
                <c:pt idx="17">
                  <c:v>-1.9085183419777052E-3</c:v>
                </c:pt>
                <c:pt idx="18">
                  <c:v>-2.0780498117526072E-3</c:v>
                </c:pt>
                <c:pt idx="19">
                  <c:v>-2.2475812815275103E-3</c:v>
                </c:pt>
                <c:pt idx="20">
                  <c:v>-2.4171127513024134E-3</c:v>
                </c:pt>
              </c:numCache>
            </c:numRef>
          </c:yVal>
          <c:smooth val="0"/>
          <c:extLst>
            <c:ext xmlns:c16="http://schemas.microsoft.com/office/drawing/2014/chart" uri="{C3380CC4-5D6E-409C-BE32-E72D297353CC}">
              <c16:uniqueId val="{00000001-573E-2345-9F85-532E1CC0570A}"/>
            </c:ext>
          </c:extLst>
        </c:ser>
        <c:ser>
          <c:idx val="0"/>
          <c:order val="2"/>
          <c:spPr>
            <a:ln w="12700">
              <a:solidFill>
                <a:srgbClr val="000000"/>
              </a:solidFill>
              <a:prstDash val="solid"/>
            </a:ln>
          </c:spPr>
          <c:marker>
            <c:symbol val="none"/>
          </c:marker>
          <c:xVal>
            <c:numRef>
              <c:f>RECalcs!$D$84:$D$94</c:f>
              <c:numCache>
                <c:formatCode>General</c:formatCode>
                <c:ptCount val="11"/>
                <c:pt idx="0">
                  <c:v>1E-4</c:v>
                </c:pt>
                <c:pt idx="1">
                  <c:v>2.01E-2</c:v>
                </c:pt>
                <c:pt idx="2">
                  <c:v>4.0100000000000004E-2</c:v>
                </c:pt>
                <c:pt idx="3">
                  <c:v>6.0100000000000001E-2</c:v>
                </c:pt>
                <c:pt idx="4">
                  <c:v>8.0100000000000005E-2</c:v>
                </c:pt>
                <c:pt idx="5">
                  <c:v>0.10010000000000001</c:v>
                </c:pt>
                <c:pt idx="6">
                  <c:v>0.1201</c:v>
                </c:pt>
                <c:pt idx="7">
                  <c:v>0.1401</c:v>
                </c:pt>
                <c:pt idx="8">
                  <c:v>0.16009999999999999</c:v>
                </c:pt>
                <c:pt idx="9">
                  <c:v>0.18009999999999998</c:v>
                </c:pt>
                <c:pt idx="10">
                  <c:v>0.2001</c:v>
                </c:pt>
              </c:numCache>
            </c:numRef>
          </c:xVal>
          <c:yVal>
            <c:numRef>
              <c:f>RECalcs!$E$84:$E$94</c:f>
              <c:numCache>
                <c:formatCode>General</c:formatCode>
                <c:ptCount val="11"/>
                <c:pt idx="0">
                  <c:v>3.0600000000000012E-4</c:v>
                </c:pt>
                <c:pt idx="1">
                  <c:v>6.1506000000000019E-2</c:v>
                </c:pt>
                <c:pt idx="2">
                  <c:v>0.12270600000000005</c:v>
                </c:pt>
                <c:pt idx="3">
                  <c:v>0.18390600000000007</c:v>
                </c:pt>
                <c:pt idx="4">
                  <c:v>0.2451060000000001</c:v>
                </c:pt>
                <c:pt idx="5">
                  <c:v>0.30630600000000013</c:v>
                </c:pt>
                <c:pt idx="6">
                  <c:v>0.36750600000000011</c:v>
                </c:pt>
                <c:pt idx="7">
                  <c:v>0.42870600000000014</c:v>
                </c:pt>
                <c:pt idx="8">
                  <c:v>0.48990600000000012</c:v>
                </c:pt>
                <c:pt idx="9">
                  <c:v>0.5511060000000001</c:v>
                </c:pt>
                <c:pt idx="10">
                  <c:v>0.61230600000000024</c:v>
                </c:pt>
              </c:numCache>
            </c:numRef>
          </c:yVal>
          <c:smooth val="0"/>
          <c:extLst>
            <c:ext xmlns:c16="http://schemas.microsoft.com/office/drawing/2014/chart" uri="{C3380CC4-5D6E-409C-BE32-E72D297353CC}">
              <c16:uniqueId val="{00000002-573E-2345-9F85-532E1CC0570A}"/>
            </c:ext>
          </c:extLst>
        </c:ser>
        <c:ser>
          <c:idx val="2"/>
          <c:order val="3"/>
          <c:spPr>
            <a:ln w="12700">
              <a:solidFill>
                <a:srgbClr val="808080"/>
              </a:solidFill>
              <a:prstDash val="solid"/>
            </a:ln>
          </c:spPr>
          <c:marker>
            <c:symbol val="none"/>
          </c:marker>
          <c:xVal>
            <c:numRef>
              <c:f>RECalcs!$CD$52:$CD$72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RECalcs!$CE$52:$CE$72</c:f>
              <c:numCache>
                <c:formatCode>General</c:formatCode>
                <c:ptCount val="21"/>
                <c:pt idx="0">
                  <c:v>3.6345478810990905E-3</c:v>
                </c:pt>
                <c:pt idx="1">
                  <c:v>3.294310182707213E-3</c:v>
                </c:pt>
                <c:pt idx="2">
                  <c:v>2.9540724843153364E-3</c:v>
                </c:pt>
                <c:pt idx="3">
                  <c:v>2.6138347859234589E-3</c:v>
                </c:pt>
                <c:pt idx="4">
                  <c:v>2.2735970875315814E-3</c:v>
                </c:pt>
                <c:pt idx="5">
                  <c:v>1.9333593891397039E-3</c:v>
                </c:pt>
                <c:pt idx="6">
                  <c:v>1.5931216907478269E-3</c:v>
                </c:pt>
                <c:pt idx="7">
                  <c:v>1.2528839923559494E-3</c:v>
                </c:pt>
                <c:pt idx="8">
                  <c:v>9.126462939640723E-4</c:v>
                </c:pt>
                <c:pt idx="9">
                  <c:v>5.7240859557219491E-4</c:v>
                </c:pt>
                <c:pt idx="10">
                  <c:v>2.3217089718031747E-4</c:v>
                </c:pt>
                <c:pt idx="11">
                  <c:v>-1.0806680121155933E-4</c:v>
                </c:pt>
                <c:pt idx="12">
                  <c:v>-4.4830449960343676E-4</c:v>
                </c:pt>
                <c:pt idx="13">
                  <c:v>-7.885421979953142E-4</c:v>
                </c:pt>
                <c:pt idx="14">
                  <c:v>-1.1287798963871916E-3</c:v>
                </c:pt>
                <c:pt idx="15">
                  <c:v>-1.4690175947790684E-3</c:v>
                </c:pt>
                <c:pt idx="16">
                  <c:v>-1.8092552931709459E-3</c:v>
                </c:pt>
                <c:pt idx="17">
                  <c:v>-2.1494929915628234E-3</c:v>
                </c:pt>
                <c:pt idx="18">
                  <c:v>-2.4897306899547005E-3</c:v>
                </c:pt>
                <c:pt idx="19">
                  <c:v>-2.829968388346578E-3</c:v>
                </c:pt>
                <c:pt idx="20">
                  <c:v>-3.1702060867384555E-3</c:v>
                </c:pt>
              </c:numCache>
            </c:numRef>
          </c:yVal>
          <c:smooth val="0"/>
          <c:extLst>
            <c:ext xmlns:c16="http://schemas.microsoft.com/office/drawing/2014/chart" uri="{C3380CC4-5D6E-409C-BE32-E72D297353CC}">
              <c16:uniqueId val="{00000003-573E-2345-9F85-532E1CC0570A}"/>
            </c:ext>
          </c:extLst>
        </c:ser>
        <c:ser>
          <c:idx val="1"/>
          <c:order val="4"/>
          <c:spPr>
            <a:ln w="12700">
              <a:solidFill>
                <a:srgbClr val="000000"/>
              </a:solidFill>
              <a:prstDash val="solid"/>
            </a:ln>
          </c:spPr>
          <c:marker>
            <c:symbol val="none"/>
          </c:marker>
          <c:xVal>
            <c:numRef>
              <c:f>RECalcs!$A$84:$A$94</c:f>
              <c:numCache>
                <c:formatCode>General</c:formatCode>
                <c:ptCount val="11"/>
                <c:pt idx="0">
                  <c:v>1E-4</c:v>
                </c:pt>
                <c:pt idx="1">
                  <c:v>1.01E-2</c:v>
                </c:pt>
                <c:pt idx="2">
                  <c:v>2.01E-2</c:v>
                </c:pt>
                <c:pt idx="3">
                  <c:v>3.0099999999999998E-2</c:v>
                </c:pt>
                <c:pt idx="4">
                  <c:v>4.0100000000000004E-2</c:v>
                </c:pt>
                <c:pt idx="5">
                  <c:v>5.0100000000000006E-2</c:v>
                </c:pt>
                <c:pt idx="6">
                  <c:v>6.0100000000000001E-2</c:v>
                </c:pt>
                <c:pt idx="7">
                  <c:v>7.010000000000001E-2</c:v>
                </c:pt>
                <c:pt idx="8">
                  <c:v>8.0100000000000005E-2</c:v>
                </c:pt>
                <c:pt idx="9">
                  <c:v>0.12</c:v>
                </c:pt>
                <c:pt idx="10">
                  <c:v>0.15</c:v>
                </c:pt>
              </c:numCache>
            </c:numRef>
          </c:xVal>
          <c:yVal>
            <c:numRef>
              <c:f>RECalcs!$B$84:$B$94</c:f>
              <c:numCache>
                <c:formatCode>General</c:formatCode>
                <c:ptCount val="11"/>
                <c:pt idx="0">
                  <c:v>6.4599999999999955E-4</c:v>
                </c:pt>
                <c:pt idx="1">
                  <c:v>6.5245999999999943E-2</c:v>
                </c:pt>
                <c:pt idx="2">
                  <c:v>0.12984599999999988</c:v>
                </c:pt>
                <c:pt idx="3">
                  <c:v>0.19444599999999984</c:v>
                </c:pt>
                <c:pt idx="4">
                  <c:v>0.25904599999999983</c:v>
                </c:pt>
                <c:pt idx="5">
                  <c:v>0.32364599999999977</c:v>
                </c:pt>
                <c:pt idx="6">
                  <c:v>0.3882459999999997</c:v>
                </c:pt>
                <c:pt idx="7">
                  <c:v>0.45284599999999969</c:v>
                </c:pt>
                <c:pt idx="8">
                  <c:v>0.51744599999999963</c:v>
                </c:pt>
                <c:pt idx="9">
                  <c:v>0.77519999999999933</c:v>
                </c:pt>
                <c:pt idx="10">
                  <c:v>0.9689999999999992</c:v>
                </c:pt>
              </c:numCache>
            </c:numRef>
          </c:yVal>
          <c:smooth val="0"/>
          <c:extLst>
            <c:ext xmlns:c16="http://schemas.microsoft.com/office/drawing/2014/chart" uri="{C3380CC4-5D6E-409C-BE32-E72D297353CC}">
              <c16:uniqueId val="{00000004-573E-2345-9F85-532E1CC0570A}"/>
            </c:ext>
          </c:extLst>
        </c:ser>
        <c:ser>
          <c:idx val="4"/>
          <c:order val="5"/>
          <c:spPr>
            <a:ln w="12700">
              <a:solidFill>
                <a:srgbClr val="000000"/>
              </a:solidFill>
              <a:prstDash val="solid"/>
            </a:ln>
          </c:spPr>
          <c:marker>
            <c:symbol val="none"/>
          </c:marker>
          <c:xVal>
            <c:numRef>
              <c:f>RECalcs!$A$104:$A$114</c:f>
              <c:numCache>
                <c:formatCode>General</c:formatCode>
                <c:ptCount val="11"/>
                <c:pt idx="0">
                  <c:v>1E-4</c:v>
                </c:pt>
                <c:pt idx="1">
                  <c:v>2.01E-2</c:v>
                </c:pt>
                <c:pt idx="2">
                  <c:v>4.0100000000000004E-2</c:v>
                </c:pt>
                <c:pt idx="3">
                  <c:v>6.0100000000000001E-2</c:v>
                </c:pt>
                <c:pt idx="4">
                  <c:v>8.0100000000000005E-2</c:v>
                </c:pt>
                <c:pt idx="5">
                  <c:v>0.10010000000000001</c:v>
                </c:pt>
                <c:pt idx="6">
                  <c:v>0.1201</c:v>
                </c:pt>
                <c:pt idx="7">
                  <c:v>0.1401</c:v>
                </c:pt>
                <c:pt idx="8">
                  <c:v>0.16009999999999999</c:v>
                </c:pt>
                <c:pt idx="9">
                  <c:v>0.18009999999999998</c:v>
                </c:pt>
                <c:pt idx="10">
                  <c:v>0.2001</c:v>
                </c:pt>
              </c:numCache>
            </c:numRef>
          </c:xVal>
          <c:yVal>
            <c:numRef>
              <c:f>RECalcs!$B$104:$B$114</c:f>
              <c:numCache>
                <c:formatCode>General</c:formatCode>
                <c:ptCount val="11"/>
                <c:pt idx="0">
                  <c:v>1.3600000000000003E-4</c:v>
                </c:pt>
                <c:pt idx="1">
                  <c:v>2.7336000000000006E-2</c:v>
                </c:pt>
                <c:pt idx="2">
                  <c:v>5.4536000000000015E-2</c:v>
                </c:pt>
                <c:pt idx="3">
                  <c:v>8.1736000000000017E-2</c:v>
                </c:pt>
                <c:pt idx="4">
                  <c:v>0.10893600000000003</c:v>
                </c:pt>
                <c:pt idx="5">
                  <c:v>0.13613600000000003</c:v>
                </c:pt>
                <c:pt idx="6">
                  <c:v>0.16333600000000004</c:v>
                </c:pt>
                <c:pt idx="7">
                  <c:v>0.19053600000000004</c:v>
                </c:pt>
                <c:pt idx="8">
                  <c:v>0.21773600000000004</c:v>
                </c:pt>
                <c:pt idx="9">
                  <c:v>0.24493600000000004</c:v>
                </c:pt>
                <c:pt idx="10">
                  <c:v>0.27213600000000004</c:v>
                </c:pt>
              </c:numCache>
            </c:numRef>
          </c:yVal>
          <c:smooth val="0"/>
          <c:extLst>
            <c:ext xmlns:c16="http://schemas.microsoft.com/office/drawing/2014/chart" uri="{C3380CC4-5D6E-409C-BE32-E72D297353CC}">
              <c16:uniqueId val="{00000005-573E-2345-9F85-532E1CC0570A}"/>
            </c:ext>
          </c:extLst>
        </c:ser>
        <c:ser>
          <c:idx val="5"/>
          <c:order val="6"/>
          <c:spPr>
            <a:ln w="12700">
              <a:solidFill>
                <a:srgbClr val="000000"/>
              </a:solidFill>
              <a:prstDash val="solid"/>
            </a:ln>
          </c:spPr>
          <c:marker>
            <c:symbol val="none"/>
          </c:marker>
          <c:xVal>
            <c:numRef>
              <c:f>RECalcs!$D$104:$D$114</c:f>
              <c:numCache>
                <c:formatCode>General</c:formatCode>
                <c:ptCount val="11"/>
                <c:pt idx="0">
                  <c:v>1E-4</c:v>
                </c:pt>
                <c:pt idx="1">
                  <c:v>2.01E-2</c:v>
                </c:pt>
                <c:pt idx="2">
                  <c:v>4.0100000000000004E-2</c:v>
                </c:pt>
                <c:pt idx="3">
                  <c:v>6.0100000000000001E-2</c:v>
                </c:pt>
                <c:pt idx="4">
                  <c:v>8.0100000000000005E-2</c:v>
                </c:pt>
                <c:pt idx="5">
                  <c:v>0.10010000000000001</c:v>
                </c:pt>
                <c:pt idx="6">
                  <c:v>0.1201</c:v>
                </c:pt>
                <c:pt idx="7">
                  <c:v>0.1401</c:v>
                </c:pt>
                <c:pt idx="8">
                  <c:v>0.16009999999999999</c:v>
                </c:pt>
                <c:pt idx="9">
                  <c:v>0.18009999999999998</c:v>
                </c:pt>
                <c:pt idx="10">
                  <c:v>0.2001</c:v>
                </c:pt>
              </c:numCache>
            </c:numRef>
          </c:xVal>
          <c:yVal>
            <c:numRef>
              <c:f>RECalcs!$E$104:$E$114</c:f>
              <c:numCache>
                <c:formatCode>General</c:formatCode>
                <c:ptCount val="11"/>
                <c:pt idx="0">
                  <c:v>1.0200000000000001E-4</c:v>
                </c:pt>
                <c:pt idx="1">
                  <c:v>2.0501999999999999E-2</c:v>
                </c:pt>
                <c:pt idx="2">
                  <c:v>4.0902000000000008E-2</c:v>
                </c:pt>
                <c:pt idx="3">
                  <c:v>6.1302000000000002E-2</c:v>
                </c:pt>
                <c:pt idx="4">
                  <c:v>8.1702000000000011E-2</c:v>
                </c:pt>
                <c:pt idx="5">
                  <c:v>0.10210200000000001</c:v>
                </c:pt>
                <c:pt idx="6">
                  <c:v>0.122502</c:v>
                </c:pt>
                <c:pt idx="7">
                  <c:v>0.142902</c:v>
                </c:pt>
                <c:pt idx="8">
                  <c:v>0.163302</c:v>
                </c:pt>
                <c:pt idx="9">
                  <c:v>0.18370199999999998</c:v>
                </c:pt>
                <c:pt idx="10">
                  <c:v>0.20410200000000001</c:v>
                </c:pt>
              </c:numCache>
            </c:numRef>
          </c:yVal>
          <c:smooth val="0"/>
          <c:extLst>
            <c:ext xmlns:c16="http://schemas.microsoft.com/office/drawing/2014/chart" uri="{C3380CC4-5D6E-409C-BE32-E72D297353CC}">
              <c16:uniqueId val="{00000006-573E-2345-9F85-532E1CC0570A}"/>
            </c:ext>
          </c:extLst>
        </c:ser>
        <c:ser>
          <c:idx val="3"/>
          <c:order val="7"/>
          <c:spPr>
            <a:ln w="12700">
              <a:solidFill>
                <a:srgbClr val="808080"/>
              </a:solidFill>
              <a:prstDash val="solid"/>
            </a:ln>
          </c:spPr>
          <c:marker>
            <c:symbol val="none"/>
          </c:marker>
          <c:xVal>
            <c:numRef>
              <c:f>RECalcs!$D$52:$D$72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RECalcs!$E$52:$E$72</c:f>
              <c:numCache>
                <c:formatCode>General</c:formatCode>
                <c:ptCount val="21"/>
                <c:pt idx="0">
                  <c:v>0.61896735909613476</c:v>
                </c:pt>
                <c:pt idx="1">
                  <c:v>0.61381913266533195</c:v>
                </c:pt>
                <c:pt idx="2">
                  <c:v>0.60867090623452902</c:v>
                </c:pt>
                <c:pt idx="3">
                  <c:v>0.6035226798037262</c:v>
                </c:pt>
                <c:pt idx="4">
                  <c:v>0.59837445337292328</c:v>
                </c:pt>
                <c:pt idx="5">
                  <c:v>0.59322622694212046</c:v>
                </c:pt>
                <c:pt idx="6">
                  <c:v>0.58807800051131753</c:v>
                </c:pt>
                <c:pt idx="7">
                  <c:v>0.58292977408051472</c:v>
                </c:pt>
                <c:pt idx="8">
                  <c:v>0.57778154764971179</c:v>
                </c:pt>
                <c:pt idx="9">
                  <c:v>0.57263332121890886</c:v>
                </c:pt>
                <c:pt idx="10">
                  <c:v>0.56748509478810594</c:v>
                </c:pt>
                <c:pt idx="11">
                  <c:v>0.56233686835730312</c:v>
                </c:pt>
                <c:pt idx="12">
                  <c:v>0.55718864192650019</c:v>
                </c:pt>
                <c:pt idx="13">
                  <c:v>0.55204041549569738</c:v>
                </c:pt>
                <c:pt idx="14">
                  <c:v>0.54689218906489445</c:v>
                </c:pt>
                <c:pt idx="15">
                  <c:v>0.54174396263409164</c:v>
                </c:pt>
                <c:pt idx="16">
                  <c:v>0.53659573620328871</c:v>
                </c:pt>
                <c:pt idx="17">
                  <c:v>0.53144750977248589</c:v>
                </c:pt>
                <c:pt idx="18">
                  <c:v>0.52629928334168297</c:v>
                </c:pt>
                <c:pt idx="19">
                  <c:v>0.52115105691088015</c:v>
                </c:pt>
                <c:pt idx="20">
                  <c:v>0.51600283048007722</c:v>
                </c:pt>
              </c:numCache>
            </c:numRef>
          </c:yVal>
          <c:smooth val="0"/>
          <c:extLst>
            <c:ext xmlns:c16="http://schemas.microsoft.com/office/drawing/2014/chart" uri="{C3380CC4-5D6E-409C-BE32-E72D297353CC}">
              <c16:uniqueId val="{00000007-573E-2345-9F85-532E1CC0570A}"/>
            </c:ext>
          </c:extLst>
        </c:ser>
        <c:ser>
          <c:idx val="6"/>
          <c:order val="8"/>
          <c:spPr>
            <a:ln w="12700">
              <a:solidFill>
                <a:srgbClr val="808080"/>
              </a:solidFill>
              <a:prstDash val="solid"/>
            </a:ln>
          </c:spPr>
          <c:marker>
            <c:symbol val="none"/>
          </c:marker>
          <c:xVal>
            <c:numRef>
              <c:f>RECalcs!$P$52:$P$72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RECalcs!$Q$52:$Q$72</c:f>
              <c:numCache>
                <c:formatCode>General</c:formatCode>
                <c:ptCount val="21"/>
                <c:pt idx="0">
                  <c:v>0.4551725998739074</c:v>
                </c:pt>
                <c:pt idx="1">
                  <c:v>0.45079670564985075</c:v>
                </c:pt>
                <c:pt idx="2">
                  <c:v>0.44642081142579415</c:v>
                </c:pt>
                <c:pt idx="3">
                  <c:v>0.4420449172017375</c:v>
                </c:pt>
                <c:pt idx="4">
                  <c:v>0.43766902297768084</c:v>
                </c:pt>
                <c:pt idx="5">
                  <c:v>0.43329312875362419</c:v>
                </c:pt>
                <c:pt idx="6">
                  <c:v>0.42891723452956759</c:v>
                </c:pt>
                <c:pt idx="7">
                  <c:v>0.42454134030551094</c:v>
                </c:pt>
                <c:pt idx="8">
                  <c:v>0.42016544608145423</c:v>
                </c:pt>
                <c:pt idx="9">
                  <c:v>0.41578955185739763</c:v>
                </c:pt>
                <c:pt idx="10">
                  <c:v>0.41141365763334098</c:v>
                </c:pt>
                <c:pt idx="11">
                  <c:v>0.40703776340928433</c:v>
                </c:pt>
                <c:pt idx="12">
                  <c:v>0.40266186918522767</c:v>
                </c:pt>
                <c:pt idx="13">
                  <c:v>0.39828597496117107</c:v>
                </c:pt>
                <c:pt idx="14">
                  <c:v>0.39391008073711442</c:v>
                </c:pt>
                <c:pt idx="15">
                  <c:v>0.38953418651305777</c:v>
                </c:pt>
                <c:pt idx="16">
                  <c:v>0.38515829228900117</c:v>
                </c:pt>
                <c:pt idx="17">
                  <c:v>0.38078239806494452</c:v>
                </c:pt>
                <c:pt idx="18">
                  <c:v>0.37640650384088781</c:v>
                </c:pt>
                <c:pt idx="19">
                  <c:v>0.37203060961683115</c:v>
                </c:pt>
                <c:pt idx="20">
                  <c:v>0.3676547153927745</c:v>
                </c:pt>
              </c:numCache>
            </c:numRef>
          </c:yVal>
          <c:smooth val="0"/>
          <c:extLst>
            <c:ext xmlns:c16="http://schemas.microsoft.com/office/drawing/2014/chart" uri="{C3380CC4-5D6E-409C-BE32-E72D297353CC}">
              <c16:uniqueId val="{00000008-573E-2345-9F85-532E1CC0570A}"/>
            </c:ext>
          </c:extLst>
        </c:ser>
        <c:ser>
          <c:idx val="7"/>
          <c:order val="9"/>
          <c:spPr>
            <a:ln w="12700">
              <a:solidFill>
                <a:srgbClr val="808080"/>
              </a:solidFill>
              <a:prstDash val="solid"/>
            </a:ln>
          </c:spPr>
          <c:marker>
            <c:symbol val="none"/>
          </c:marker>
          <c:xVal>
            <c:numRef>
              <c:f>RECalcs!$J$52:$J$72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RECalcs!$K$52:$K$72</c:f>
              <c:numCache>
                <c:formatCode>General</c:formatCode>
                <c:ptCount val="21"/>
                <c:pt idx="0">
                  <c:v>0.53509989641108113</c:v>
                </c:pt>
                <c:pt idx="1">
                  <c:v>0.5303331737875514</c:v>
                </c:pt>
                <c:pt idx="2">
                  <c:v>0.52556645116402168</c:v>
                </c:pt>
                <c:pt idx="3">
                  <c:v>0.52079972854049195</c:v>
                </c:pt>
                <c:pt idx="4">
                  <c:v>0.51603300591696222</c:v>
                </c:pt>
                <c:pt idx="5">
                  <c:v>0.51126628329343249</c:v>
                </c:pt>
                <c:pt idx="6">
                  <c:v>0.50649956066990287</c:v>
                </c:pt>
                <c:pt idx="7">
                  <c:v>0.50173283804637314</c:v>
                </c:pt>
                <c:pt idx="8">
                  <c:v>0.4969661154228433</c:v>
                </c:pt>
                <c:pt idx="9">
                  <c:v>0.49219939279931368</c:v>
                </c:pt>
                <c:pt idx="10">
                  <c:v>0.48743267017578384</c:v>
                </c:pt>
                <c:pt idx="11">
                  <c:v>0.48266594755225417</c:v>
                </c:pt>
                <c:pt idx="12">
                  <c:v>0.47789922492872444</c:v>
                </c:pt>
                <c:pt idx="13">
                  <c:v>0.47313250230519471</c:v>
                </c:pt>
                <c:pt idx="14">
                  <c:v>0.46836577968166498</c:v>
                </c:pt>
                <c:pt idx="15">
                  <c:v>0.46359905705813531</c:v>
                </c:pt>
                <c:pt idx="16">
                  <c:v>0.45883233443460558</c:v>
                </c:pt>
                <c:pt idx="17">
                  <c:v>0.45406561181107585</c:v>
                </c:pt>
                <c:pt idx="18">
                  <c:v>0.44929888918754612</c:v>
                </c:pt>
                <c:pt idx="19">
                  <c:v>0.4445321665640164</c:v>
                </c:pt>
                <c:pt idx="20">
                  <c:v>0.43976544394048672</c:v>
                </c:pt>
              </c:numCache>
            </c:numRef>
          </c:yVal>
          <c:smooth val="0"/>
          <c:extLst>
            <c:ext xmlns:c16="http://schemas.microsoft.com/office/drawing/2014/chart" uri="{C3380CC4-5D6E-409C-BE32-E72D297353CC}">
              <c16:uniqueId val="{00000009-573E-2345-9F85-532E1CC0570A}"/>
            </c:ext>
          </c:extLst>
        </c:ser>
        <c:ser>
          <c:idx val="9"/>
          <c:order val="10"/>
          <c:spPr>
            <a:ln w="12700">
              <a:solidFill>
                <a:srgbClr val="808080"/>
              </a:solidFill>
              <a:prstDash val="solid"/>
            </a:ln>
          </c:spPr>
          <c:marker>
            <c:symbol val="none"/>
          </c:marker>
          <c:xVal>
            <c:numRef>
              <c:f>RECalcs!$V$52:$V$72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RECalcs!$W$52:$W$72</c:f>
              <c:numCache>
                <c:formatCode>General</c:formatCode>
                <c:ptCount val="21"/>
                <c:pt idx="0">
                  <c:v>0.3798845392855843</c:v>
                </c:pt>
                <c:pt idx="1">
                  <c:v>0.37590765640532497</c:v>
                </c:pt>
                <c:pt idx="2">
                  <c:v>0.37193077352506565</c:v>
                </c:pt>
                <c:pt idx="3">
                  <c:v>0.36795389064480627</c:v>
                </c:pt>
                <c:pt idx="4">
                  <c:v>0.36397700776454694</c:v>
                </c:pt>
                <c:pt idx="5">
                  <c:v>0.36000012488428762</c:v>
                </c:pt>
                <c:pt idx="6">
                  <c:v>0.3560232420040283</c:v>
                </c:pt>
                <c:pt idx="7">
                  <c:v>0.35204635912376891</c:v>
                </c:pt>
                <c:pt idx="8">
                  <c:v>0.34806947624350959</c:v>
                </c:pt>
                <c:pt idx="9">
                  <c:v>0.34409259336325027</c:v>
                </c:pt>
                <c:pt idx="10">
                  <c:v>0.34011571048299094</c:v>
                </c:pt>
                <c:pt idx="11">
                  <c:v>0.3361388276027315</c:v>
                </c:pt>
                <c:pt idx="12">
                  <c:v>0.33216194472247218</c:v>
                </c:pt>
                <c:pt idx="13">
                  <c:v>0.32818506184221286</c:v>
                </c:pt>
                <c:pt idx="14">
                  <c:v>0.32420817896195353</c:v>
                </c:pt>
                <c:pt idx="15">
                  <c:v>0.32023129608169415</c:v>
                </c:pt>
                <c:pt idx="16">
                  <c:v>0.31625441320143483</c:v>
                </c:pt>
                <c:pt idx="17">
                  <c:v>0.3122775303211755</c:v>
                </c:pt>
                <c:pt idx="18">
                  <c:v>0.30830064744091618</c:v>
                </c:pt>
                <c:pt idx="19">
                  <c:v>0.3043237645606568</c:v>
                </c:pt>
                <c:pt idx="20">
                  <c:v>0.30034688168039747</c:v>
                </c:pt>
              </c:numCache>
            </c:numRef>
          </c:yVal>
          <c:smooth val="0"/>
          <c:extLst>
            <c:ext xmlns:c16="http://schemas.microsoft.com/office/drawing/2014/chart" uri="{C3380CC4-5D6E-409C-BE32-E72D297353CC}">
              <c16:uniqueId val="{0000000A-573E-2345-9F85-532E1CC0570A}"/>
            </c:ext>
          </c:extLst>
        </c:ser>
        <c:ser>
          <c:idx val="10"/>
          <c:order val="11"/>
          <c:spPr>
            <a:ln w="12700">
              <a:solidFill>
                <a:srgbClr val="808080"/>
              </a:solidFill>
              <a:prstDash val="solid"/>
            </a:ln>
          </c:spPr>
          <c:marker>
            <c:symbol val="none"/>
          </c:marker>
          <c:xVal>
            <c:numRef>
              <c:f>RECalcs!$AB$52:$AB$72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RECalcs!$AC$52:$AC$72</c:f>
              <c:numCache>
                <c:formatCode>General</c:formatCode>
                <c:ptCount val="21"/>
                <c:pt idx="0">
                  <c:v>0.3099642202048824</c:v>
                </c:pt>
                <c:pt idx="1">
                  <c:v>0.30639290415960552</c:v>
                </c:pt>
                <c:pt idx="2">
                  <c:v>0.30282158811432863</c:v>
                </c:pt>
                <c:pt idx="3">
                  <c:v>0.29925027206905175</c:v>
                </c:pt>
                <c:pt idx="4">
                  <c:v>0.29567895602377492</c:v>
                </c:pt>
                <c:pt idx="5">
                  <c:v>0.29210763997849803</c:v>
                </c:pt>
                <c:pt idx="6">
                  <c:v>0.28853632393322121</c:v>
                </c:pt>
                <c:pt idx="7">
                  <c:v>0.28496500788794427</c:v>
                </c:pt>
                <c:pt idx="8">
                  <c:v>0.28139369184266738</c:v>
                </c:pt>
                <c:pt idx="9">
                  <c:v>0.27782237579739055</c:v>
                </c:pt>
                <c:pt idx="10">
                  <c:v>0.27425105975211367</c:v>
                </c:pt>
                <c:pt idx="11">
                  <c:v>0.27067974370683678</c:v>
                </c:pt>
                <c:pt idx="12">
                  <c:v>0.2671084276615599</c:v>
                </c:pt>
                <c:pt idx="13">
                  <c:v>0.26353711161628307</c:v>
                </c:pt>
                <c:pt idx="14">
                  <c:v>0.25996579557100619</c:v>
                </c:pt>
                <c:pt idx="15">
                  <c:v>0.25639447952572936</c:v>
                </c:pt>
                <c:pt idx="16">
                  <c:v>0.25282316348045242</c:v>
                </c:pt>
                <c:pt idx="17">
                  <c:v>0.24925184743517553</c:v>
                </c:pt>
                <c:pt idx="18">
                  <c:v>0.2456805313898987</c:v>
                </c:pt>
                <c:pt idx="19">
                  <c:v>0.24210921534462179</c:v>
                </c:pt>
                <c:pt idx="20">
                  <c:v>0.23853789929934496</c:v>
                </c:pt>
              </c:numCache>
            </c:numRef>
          </c:yVal>
          <c:smooth val="0"/>
          <c:extLst>
            <c:ext xmlns:c16="http://schemas.microsoft.com/office/drawing/2014/chart" uri="{C3380CC4-5D6E-409C-BE32-E72D297353CC}">
              <c16:uniqueId val="{0000000B-573E-2345-9F85-532E1CC0570A}"/>
            </c:ext>
          </c:extLst>
        </c:ser>
        <c:ser>
          <c:idx val="11"/>
          <c:order val="12"/>
          <c:spPr>
            <a:ln w="12700">
              <a:solidFill>
                <a:srgbClr val="808080"/>
              </a:solidFill>
              <a:prstDash val="solid"/>
            </a:ln>
          </c:spPr>
          <c:marker>
            <c:symbol val="none"/>
          </c:marker>
          <c:xVal>
            <c:numRef>
              <c:f>RECalcs!$AH$52:$AH$72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RECalcs!$AI$52:$AI$72</c:f>
              <c:numCache>
                <c:formatCode>General</c:formatCode>
                <c:ptCount val="21"/>
                <c:pt idx="0">
                  <c:v>0.24614603129477927</c:v>
                </c:pt>
                <c:pt idx="1">
                  <c:v>0.24298458967298961</c:v>
                </c:pt>
                <c:pt idx="2">
                  <c:v>0.23982314805119995</c:v>
                </c:pt>
                <c:pt idx="3">
                  <c:v>0.23666170642941028</c:v>
                </c:pt>
                <c:pt idx="4">
                  <c:v>0.23350026480762065</c:v>
                </c:pt>
                <c:pt idx="5">
                  <c:v>0.23033882318583099</c:v>
                </c:pt>
                <c:pt idx="6">
                  <c:v>0.22717738156404133</c:v>
                </c:pt>
                <c:pt idx="7">
                  <c:v>0.22401593994225164</c:v>
                </c:pt>
                <c:pt idx="8">
                  <c:v>0.22085449832046197</c:v>
                </c:pt>
                <c:pt idx="9">
                  <c:v>0.21769305669867234</c:v>
                </c:pt>
                <c:pt idx="10">
                  <c:v>0.21453161507688268</c:v>
                </c:pt>
                <c:pt idx="11">
                  <c:v>0.21137017345509301</c:v>
                </c:pt>
                <c:pt idx="12">
                  <c:v>0.20820873183330335</c:v>
                </c:pt>
                <c:pt idx="13">
                  <c:v>0.20504729021151372</c:v>
                </c:pt>
                <c:pt idx="14">
                  <c:v>0.20188584858972405</c:v>
                </c:pt>
                <c:pt idx="15">
                  <c:v>0.19872440696793439</c:v>
                </c:pt>
                <c:pt idx="16">
                  <c:v>0.19556296534614473</c:v>
                </c:pt>
                <c:pt idx="17">
                  <c:v>0.19240152372435509</c:v>
                </c:pt>
                <c:pt idx="18">
                  <c:v>0.18924008210256543</c:v>
                </c:pt>
                <c:pt idx="19">
                  <c:v>0.18607864048077577</c:v>
                </c:pt>
                <c:pt idx="20">
                  <c:v>0.18291719885898611</c:v>
                </c:pt>
              </c:numCache>
            </c:numRef>
          </c:yVal>
          <c:smooth val="0"/>
          <c:extLst>
            <c:ext xmlns:c16="http://schemas.microsoft.com/office/drawing/2014/chart" uri="{C3380CC4-5D6E-409C-BE32-E72D297353CC}">
              <c16:uniqueId val="{0000000C-573E-2345-9F85-532E1CC0570A}"/>
            </c:ext>
          </c:extLst>
        </c:ser>
        <c:ser>
          <c:idx val="12"/>
          <c:order val="13"/>
          <c:spPr>
            <a:ln w="12700">
              <a:solidFill>
                <a:srgbClr val="808080"/>
              </a:solidFill>
              <a:prstDash val="solid"/>
            </a:ln>
          </c:spPr>
          <c:marker>
            <c:symbol val="none"/>
          </c:marker>
          <c:xVal>
            <c:numRef>
              <c:f>RECalcs!$AN$52:$AN$72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RECalcs!$AO$52:$AO$72</c:f>
              <c:numCache>
                <c:formatCode>General</c:formatCode>
                <c:ptCount val="21"/>
                <c:pt idx="0">
                  <c:v>0.18913479591844662</c:v>
                </c:pt>
                <c:pt idx="1">
                  <c:v>0.1863845042972247</c:v>
                </c:pt>
                <c:pt idx="2">
                  <c:v>0.1836342126760028</c:v>
                </c:pt>
                <c:pt idx="3">
                  <c:v>0.18088392105478088</c:v>
                </c:pt>
                <c:pt idx="4">
                  <c:v>0.17813362943355895</c:v>
                </c:pt>
                <c:pt idx="5">
                  <c:v>0.17538333781233703</c:v>
                </c:pt>
                <c:pt idx="6">
                  <c:v>0.17263304619111511</c:v>
                </c:pt>
                <c:pt idx="7">
                  <c:v>0.16988275456989319</c:v>
                </c:pt>
                <c:pt idx="8">
                  <c:v>0.16713246294867126</c:v>
                </c:pt>
                <c:pt idx="9">
                  <c:v>0.16438217132744934</c:v>
                </c:pt>
                <c:pt idx="10">
                  <c:v>0.16163187970622742</c:v>
                </c:pt>
                <c:pt idx="11">
                  <c:v>0.15888158808500549</c:v>
                </c:pt>
                <c:pt idx="12">
                  <c:v>0.15613129646378357</c:v>
                </c:pt>
                <c:pt idx="13">
                  <c:v>0.15338100484256162</c:v>
                </c:pt>
                <c:pt idx="14">
                  <c:v>0.1506307132213397</c:v>
                </c:pt>
                <c:pt idx="15">
                  <c:v>0.14788042160011777</c:v>
                </c:pt>
                <c:pt idx="16">
                  <c:v>0.14513012997889588</c:v>
                </c:pt>
                <c:pt idx="17">
                  <c:v>0.14237983835767395</c:v>
                </c:pt>
                <c:pt idx="18">
                  <c:v>0.13962954673645203</c:v>
                </c:pt>
                <c:pt idx="19">
                  <c:v>0.13687925511523011</c:v>
                </c:pt>
                <c:pt idx="20">
                  <c:v>0.13412896349400819</c:v>
                </c:pt>
              </c:numCache>
            </c:numRef>
          </c:yVal>
          <c:smooth val="0"/>
          <c:extLst>
            <c:ext xmlns:c16="http://schemas.microsoft.com/office/drawing/2014/chart" uri="{C3380CC4-5D6E-409C-BE32-E72D297353CC}">
              <c16:uniqueId val="{0000000D-573E-2345-9F85-532E1CC0570A}"/>
            </c:ext>
          </c:extLst>
        </c:ser>
        <c:ser>
          <c:idx val="13"/>
          <c:order val="14"/>
          <c:spPr>
            <a:ln w="12700">
              <a:solidFill>
                <a:srgbClr val="808080"/>
              </a:solidFill>
              <a:prstDash val="solid"/>
            </a:ln>
          </c:spPr>
          <c:marker>
            <c:symbol val="none"/>
          </c:marker>
          <c:xVal>
            <c:numRef>
              <c:f>RECalcs!$AT$52:$AT$72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RECalcs!$AU$52:$AU$72</c:f>
              <c:numCache>
                <c:formatCode>General</c:formatCode>
                <c:ptCount val="21"/>
                <c:pt idx="0">
                  <c:v>0.13955543016083541</c:v>
                </c:pt>
                <c:pt idx="1">
                  <c:v>0.13721355551543724</c:v>
                </c:pt>
                <c:pt idx="2">
                  <c:v>0.13487168087003906</c:v>
                </c:pt>
                <c:pt idx="3">
                  <c:v>0.13252980622464089</c:v>
                </c:pt>
                <c:pt idx="4">
                  <c:v>0.13018793157924269</c:v>
                </c:pt>
                <c:pt idx="5">
                  <c:v>0.12784605693384454</c:v>
                </c:pt>
                <c:pt idx="6">
                  <c:v>0.12550418228844637</c:v>
                </c:pt>
                <c:pt idx="7">
                  <c:v>0.12316230764304818</c:v>
                </c:pt>
                <c:pt idx="8">
                  <c:v>0.12082043299765001</c:v>
                </c:pt>
                <c:pt idx="9">
                  <c:v>0.11847855835225182</c:v>
                </c:pt>
                <c:pt idx="10">
                  <c:v>0.11613668370685365</c:v>
                </c:pt>
                <c:pt idx="11">
                  <c:v>0.11379480906145546</c:v>
                </c:pt>
                <c:pt idx="12">
                  <c:v>0.11145293441605729</c:v>
                </c:pt>
                <c:pt idx="13">
                  <c:v>0.1091110597706591</c:v>
                </c:pt>
                <c:pt idx="14">
                  <c:v>0.10676918512526093</c:v>
                </c:pt>
                <c:pt idx="15">
                  <c:v>0.10442731047986276</c:v>
                </c:pt>
                <c:pt idx="16">
                  <c:v>0.10208543583446458</c:v>
                </c:pt>
                <c:pt idx="17">
                  <c:v>9.9743561189066396E-2</c:v>
                </c:pt>
                <c:pt idx="18">
                  <c:v>9.7401686543668237E-2</c:v>
                </c:pt>
                <c:pt idx="19">
                  <c:v>9.505981189827005E-2</c:v>
                </c:pt>
                <c:pt idx="20">
                  <c:v>9.2717937252871876E-2</c:v>
                </c:pt>
              </c:numCache>
            </c:numRef>
          </c:yVal>
          <c:smooth val="0"/>
          <c:extLst>
            <c:ext xmlns:c16="http://schemas.microsoft.com/office/drawing/2014/chart" uri="{C3380CC4-5D6E-409C-BE32-E72D297353CC}">
              <c16:uniqueId val="{0000000E-573E-2345-9F85-532E1CC0570A}"/>
            </c:ext>
          </c:extLst>
        </c:ser>
        <c:ser>
          <c:idx val="14"/>
          <c:order val="15"/>
          <c:spPr>
            <a:ln w="12700">
              <a:solidFill>
                <a:srgbClr val="808080"/>
              </a:solidFill>
              <a:prstDash val="solid"/>
            </a:ln>
          </c:spPr>
          <c:marker>
            <c:symbol val="none"/>
          </c:marker>
          <c:xVal>
            <c:numRef>
              <c:f>RECalcs!$AZ$52:$AZ$72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RECalcs!$BA$52:$BA$72</c:f>
              <c:numCache>
                <c:formatCode>General</c:formatCode>
                <c:ptCount val="21"/>
                <c:pt idx="0">
                  <c:v>9.7885401922721174E-2</c:v>
                </c:pt>
                <c:pt idx="1">
                  <c:v>9.5944012346655991E-2</c:v>
                </c:pt>
                <c:pt idx="2">
                  <c:v>9.400262277059078E-2</c:v>
                </c:pt>
                <c:pt idx="3">
                  <c:v>9.2061233194525596E-2</c:v>
                </c:pt>
                <c:pt idx="4">
                  <c:v>9.0119843618460399E-2</c:v>
                </c:pt>
                <c:pt idx="5">
                  <c:v>8.8178454042395216E-2</c:v>
                </c:pt>
                <c:pt idx="6">
                  <c:v>8.6237064466330032E-2</c:v>
                </c:pt>
                <c:pt idx="7">
                  <c:v>8.4295674890264821E-2</c:v>
                </c:pt>
                <c:pt idx="8">
                  <c:v>8.2354285314199638E-2</c:v>
                </c:pt>
                <c:pt idx="9">
                  <c:v>8.0412895738134441E-2</c:v>
                </c:pt>
                <c:pt idx="10">
                  <c:v>7.8471506162069243E-2</c:v>
                </c:pt>
                <c:pt idx="11">
                  <c:v>7.653011658600406E-2</c:v>
                </c:pt>
                <c:pt idx="12">
                  <c:v>7.4588727009938863E-2</c:v>
                </c:pt>
                <c:pt idx="13">
                  <c:v>7.2647337433873665E-2</c:v>
                </c:pt>
                <c:pt idx="14">
                  <c:v>7.0705947857808468E-2</c:v>
                </c:pt>
                <c:pt idx="15">
                  <c:v>6.8764558281743285E-2</c:v>
                </c:pt>
                <c:pt idx="16">
                  <c:v>6.6823168705678102E-2</c:v>
                </c:pt>
                <c:pt idx="17">
                  <c:v>6.4881779129612904E-2</c:v>
                </c:pt>
                <c:pt idx="18">
                  <c:v>6.2940389553547707E-2</c:v>
                </c:pt>
                <c:pt idx="19">
                  <c:v>6.099899997748251E-2</c:v>
                </c:pt>
                <c:pt idx="20">
                  <c:v>5.9057610401417319E-2</c:v>
                </c:pt>
              </c:numCache>
            </c:numRef>
          </c:yVal>
          <c:smooth val="0"/>
          <c:extLst>
            <c:ext xmlns:c16="http://schemas.microsoft.com/office/drawing/2014/chart" uri="{C3380CC4-5D6E-409C-BE32-E72D297353CC}">
              <c16:uniqueId val="{0000000F-573E-2345-9F85-532E1CC0570A}"/>
            </c:ext>
          </c:extLst>
        </c:ser>
        <c:ser>
          <c:idx val="15"/>
          <c:order val="16"/>
          <c:spPr>
            <a:ln w="12700">
              <a:solidFill>
                <a:srgbClr val="808080"/>
              </a:solidFill>
              <a:prstDash val="solid"/>
            </a:ln>
          </c:spPr>
          <c:marker>
            <c:symbol val="none"/>
          </c:marker>
          <c:xVal>
            <c:numRef>
              <c:f>RECalcs!$BF$52:$BF$72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RECalcs!$BG$52:$BG$72</c:f>
              <c:numCache>
                <c:formatCode>General</c:formatCode>
                <c:ptCount val="21"/>
                <c:pt idx="0">
                  <c:v>6.4370054768093113E-2</c:v>
                </c:pt>
                <c:pt idx="1">
                  <c:v>6.2814617579042886E-2</c:v>
                </c:pt>
                <c:pt idx="2">
                  <c:v>6.125918038999266E-2</c:v>
                </c:pt>
                <c:pt idx="3">
                  <c:v>5.9703743200942447E-2</c:v>
                </c:pt>
                <c:pt idx="4">
                  <c:v>5.8148306011892227E-2</c:v>
                </c:pt>
                <c:pt idx="5">
                  <c:v>5.6592868822842007E-2</c:v>
                </c:pt>
                <c:pt idx="6">
                  <c:v>5.5037431633791788E-2</c:v>
                </c:pt>
                <c:pt idx="7">
                  <c:v>5.3481994444741561E-2</c:v>
                </c:pt>
                <c:pt idx="8">
                  <c:v>5.1926557255691341E-2</c:v>
                </c:pt>
                <c:pt idx="9">
                  <c:v>5.0371120066641129E-2</c:v>
                </c:pt>
                <c:pt idx="10">
                  <c:v>4.8815682877590895E-2</c:v>
                </c:pt>
                <c:pt idx="11">
                  <c:v>4.7260245688540682E-2</c:v>
                </c:pt>
                <c:pt idx="12">
                  <c:v>4.5704808499490462E-2</c:v>
                </c:pt>
                <c:pt idx="13">
                  <c:v>4.4149371310440243E-2</c:v>
                </c:pt>
                <c:pt idx="14">
                  <c:v>4.2593934121390016E-2</c:v>
                </c:pt>
                <c:pt idx="15">
                  <c:v>4.1038496932339803E-2</c:v>
                </c:pt>
                <c:pt idx="16">
                  <c:v>3.9483059743289577E-2</c:v>
                </c:pt>
                <c:pt idx="17">
                  <c:v>3.7927622554239357E-2</c:v>
                </c:pt>
                <c:pt idx="18">
                  <c:v>3.6372185365189144E-2</c:v>
                </c:pt>
                <c:pt idx="19">
                  <c:v>3.4816748176138917E-2</c:v>
                </c:pt>
                <c:pt idx="20">
                  <c:v>3.3261310987088698E-2</c:v>
                </c:pt>
              </c:numCache>
            </c:numRef>
          </c:yVal>
          <c:smooth val="0"/>
          <c:extLst>
            <c:ext xmlns:c16="http://schemas.microsoft.com/office/drawing/2014/chart" uri="{C3380CC4-5D6E-409C-BE32-E72D297353CC}">
              <c16:uniqueId val="{00000010-573E-2345-9F85-532E1CC0570A}"/>
            </c:ext>
          </c:extLst>
        </c:ser>
        <c:ser>
          <c:idx val="16"/>
          <c:order val="17"/>
          <c:spPr>
            <a:ln w="12700">
              <a:solidFill>
                <a:srgbClr val="808080"/>
              </a:solidFill>
              <a:prstDash val="solid"/>
            </a:ln>
          </c:spPr>
          <c:marker>
            <c:symbol val="none"/>
          </c:marker>
          <c:xVal>
            <c:numRef>
              <c:f>RECalcs!$BL$52:$BL$72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RECalcs!$BM$52:$BM$72</c:f>
              <c:numCache>
                <c:formatCode>General</c:formatCode>
                <c:ptCount val="21"/>
                <c:pt idx="0">
                  <c:v>3.8926290459251806E-2</c:v>
                </c:pt>
                <c:pt idx="1">
                  <c:v>3.7734114883376073E-2</c:v>
                </c:pt>
                <c:pt idx="2">
                  <c:v>3.6541939307500347E-2</c:v>
                </c:pt>
                <c:pt idx="3">
                  <c:v>3.5349763731624614E-2</c:v>
                </c:pt>
                <c:pt idx="4">
                  <c:v>3.4157588155748889E-2</c:v>
                </c:pt>
                <c:pt idx="5">
                  <c:v>3.2965412579873156E-2</c:v>
                </c:pt>
                <c:pt idx="6">
                  <c:v>3.177323700399743E-2</c:v>
                </c:pt>
                <c:pt idx="7">
                  <c:v>3.0581061428121694E-2</c:v>
                </c:pt>
                <c:pt idx="8">
                  <c:v>2.9388885852245968E-2</c:v>
                </c:pt>
                <c:pt idx="9">
                  <c:v>2.8196710276370239E-2</c:v>
                </c:pt>
                <c:pt idx="10">
                  <c:v>2.700453470049451E-2</c:v>
                </c:pt>
                <c:pt idx="11">
                  <c:v>2.5812359124618777E-2</c:v>
                </c:pt>
                <c:pt idx="12">
                  <c:v>2.4620183548743051E-2</c:v>
                </c:pt>
                <c:pt idx="13">
                  <c:v>2.3428007972867319E-2</c:v>
                </c:pt>
                <c:pt idx="14">
                  <c:v>2.2235832396991589E-2</c:v>
                </c:pt>
                <c:pt idx="15">
                  <c:v>2.104365682111586E-2</c:v>
                </c:pt>
                <c:pt idx="16">
                  <c:v>1.9851481245240127E-2</c:v>
                </c:pt>
                <c:pt idx="17">
                  <c:v>1.8659305669364398E-2</c:v>
                </c:pt>
                <c:pt idx="18">
                  <c:v>1.7467130093488673E-2</c:v>
                </c:pt>
                <c:pt idx="19">
                  <c:v>1.627495451761294E-2</c:v>
                </c:pt>
                <c:pt idx="20">
                  <c:v>1.5082778941737211E-2</c:v>
                </c:pt>
              </c:numCache>
            </c:numRef>
          </c:yVal>
          <c:smooth val="0"/>
          <c:extLst>
            <c:ext xmlns:c16="http://schemas.microsoft.com/office/drawing/2014/chart" uri="{C3380CC4-5D6E-409C-BE32-E72D297353CC}">
              <c16:uniqueId val="{00000011-573E-2345-9F85-532E1CC0570A}"/>
            </c:ext>
          </c:extLst>
        </c:ser>
        <c:ser>
          <c:idx val="17"/>
          <c:order val="18"/>
          <c:spPr>
            <a:ln w="12700">
              <a:solidFill>
                <a:srgbClr val="808080"/>
              </a:solidFill>
              <a:prstDash val="solid"/>
            </a:ln>
          </c:spPr>
          <c:marker>
            <c:symbol val="none"/>
          </c:marker>
          <c:xVal>
            <c:numRef>
              <c:f>RECalcs!$BR$52:$BR$72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RECalcs!$BS$52:$BS$72</c:f>
              <c:numCache>
                <c:formatCode>General</c:formatCode>
                <c:ptCount val="21"/>
                <c:pt idx="0">
                  <c:v>2.1050370589589452E-2</c:v>
                </c:pt>
                <c:pt idx="1">
                  <c:v>2.0189062410489875E-2</c:v>
                </c:pt>
                <c:pt idx="2">
                  <c:v>1.9327754231390298E-2</c:v>
                </c:pt>
                <c:pt idx="3">
                  <c:v>1.8466446052290718E-2</c:v>
                </c:pt>
                <c:pt idx="4">
                  <c:v>1.7605137873191141E-2</c:v>
                </c:pt>
                <c:pt idx="5">
                  <c:v>1.6743829694091564E-2</c:v>
                </c:pt>
                <c:pt idx="6">
                  <c:v>1.5882521514991983E-2</c:v>
                </c:pt>
                <c:pt idx="7">
                  <c:v>1.5021213335892406E-2</c:v>
                </c:pt>
                <c:pt idx="8">
                  <c:v>1.4159905156792827E-2</c:v>
                </c:pt>
                <c:pt idx="9">
                  <c:v>1.329859697769325E-2</c:v>
                </c:pt>
                <c:pt idx="10">
                  <c:v>1.2437288798593672E-2</c:v>
                </c:pt>
                <c:pt idx="11">
                  <c:v>1.1575980619494095E-2</c:v>
                </c:pt>
                <c:pt idx="12">
                  <c:v>1.0714672440394516E-2</c:v>
                </c:pt>
                <c:pt idx="13">
                  <c:v>9.8533642612949369E-3</c:v>
                </c:pt>
                <c:pt idx="14">
                  <c:v>8.9920560821953582E-3</c:v>
                </c:pt>
                <c:pt idx="15">
                  <c:v>8.1307479030957811E-3</c:v>
                </c:pt>
                <c:pt idx="16">
                  <c:v>7.2694397239962032E-3</c:v>
                </c:pt>
                <c:pt idx="17">
                  <c:v>6.4081315448966227E-3</c:v>
                </c:pt>
                <c:pt idx="18">
                  <c:v>5.5468233657970465E-3</c:v>
                </c:pt>
                <c:pt idx="19">
                  <c:v>4.6855151866974686E-3</c:v>
                </c:pt>
                <c:pt idx="20">
                  <c:v>3.8242070075978902E-3</c:v>
                </c:pt>
              </c:numCache>
            </c:numRef>
          </c:yVal>
          <c:smooth val="0"/>
          <c:extLst>
            <c:ext xmlns:c16="http://schemas.microsoft.com/office/drawing/2014/chart" uri="{C3380CC4-5D6E-409C-BE32-E72D297353CC}">
              <c16:uniqueId val="{00000012-573E-2345-9F85-532E1CC0570A}"/>
            </c:ext>
          </c:extLst>
        </c:ser>
        <c:dLbls>
          <c:showLegendKey val="0"/>
          <c:showVal val="0"/>
          <c:showCatName val="0"/>
          <c:showSerName val="0"/>
          <c:showPercent val="0"/>
          <c:showBubbleSize val="0"/>
        </c:dLbls>
        <c:axId val="1436115792"/>
        <c:axId val="1"/>
      </c:scatterChart>
      <c:valAx>
        <c:axId val="1436115792"/>
        <c:scaling>
          <c:orientation val="minMax"/>
          <c:max val="0.2"/>
        </c:scaling>
        <c:delete val="0"/>
        <c:axPos val="b"/>
        <c:title>
          <c:tx>
            <c:rich>
              <a:bodyPr/>
              <a:lstStyle/>
              <a:p>
                <a:pPr>
                  <a:defRPr sz="1200" b="0" i="0" u="none" strike="noStrike" baseline="0">
                    <a:solidFill>
                      <a:srgbClr val="000000"/>
                    </a:solidFill>
                    <a:latin typeface="Verdana"/>
                    <a:ea typeface="Verdana"/>
                    <a:cs typeface="Verdana"/>
                  </a:defRPr>
                </a:pPr>
                <a:r>
                  <a:rPr lang="en-US" sz="2000" b="1" i="0" u="none" strike="noStrike" baseline="0">
                    <a:solidFill>
                      <a:srgbClr val="000000"/>
                    </a:solidFill>
                    <a:latin typeface="Verdana" pitchFamily="2" charset="0"/>
                    <a:ea typeface="Verdana" pitchFamily="2" charset="0"/>
                    <a:cs typeface="Verdana" pitchFamily="2" charset="0"/>
                  </a:rPr>
                  <a:t>X</a:t>
                </a:r>
                <a:r>
                  <a:rPr lang="en-US" sz="2000" b="1" i="0" u="none" strike="noStrike" baseline="-25000">
                    <a:solidFill>
                      <a:srgbClr val="000000"/>
                    </a:solidFill>
                    <a:latin typeface="Verdana" pitchFamily="2" charset="0"/>
                    <a:ea typeface="Verdana" pitchFamily="2" charset="0"/>
                    <a:cs typeface="Verdana" pitchFamily="2" charset="0"/>
                  </a:rPr>
                  <a:t>Fe</a:t>
                </a:r>
              </a:p>
            </c:rich>
          </c:tx>
          <c:layout>
            <c:manualLayout>
              <c:xMode val="edge"/>
              <c:yMode val="edge"/>
              <c:x val="0.51313127610060894"/>
              <c:y val="0.89542483660130723"/>
            </c:manualLayout>
          </c:layout>
          <c:overlay val="0"/>
          <c:spPr>
            <a:noFill/>
            <a:ln w="25400">
              <a:noFill/>
            </a:ln>
          </c:spPr>
        </c:title>
        <c:numFmt formatCode="General" sourceLinked="1"/>
        <c:majorTickMark val="in"/>
        <c:minorTickMark val="in"/>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
        <c:crosses val="autoZero"/>
        <c:crossBetween val="midCat"/>
      </c:valAx>
      <c:valAx>
        <c:axId val="1"/>
        <c:scaling>
          <c:orientation val="minMax"/>
          <c:max val="0.6"/>
          <c:min val="0"/>
        </c:scaling>
        <c:delete val="0"/>
        <c:axPos val="l"/>
        <c:title>
          <c:tx>
            <c:rich>
              <a:bodyPr/>
              <a:lstStyle/>
              <a:p>
                <a:pPr>
                  <a:defRPr sz="1200" b="0" i="0" u="none" strike="noStrike" baseline="0">
                    <a:solidFill>
                      <a:srgbClr val="000000"/>
                    </a:solidFill>
                    <a:latin typeface="Arial"/>
                    <a:ea typeface="Arial"/>
                    <a:cs typeface="Arial"/>
                  </a:defRPr>
                </a:pPr>
                <a:r>
                  <a:rPr lang="en-US"/>
                  <a:t>XMg</a:t>
                </a:r>
              </a:p>
            </c:rich>
          </c:tx>
          <c:layout>
            <c:manualLayout>
              <c:xMode val="edge"/>
              <c:yMode val="edge"/>
              <c:x val="1.8181803691542604E-2"/>
              <c:y val="0.38562091503267976"/>
            </c:manualLayout>
          </c:layout>
          <c:overlay val="0"/>
          <c:spPr>
            <a:noFill/>
            <a:ln w="25400">
              <a:noFill/>
            </a:ln>
          </c:spPr>
        </c:title>
        <c:numFmt formatCode="General" sourceLinked="1"/>
        <c:majorTickMark val="in"/>
        <c:minorTickMark val="in"/>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436115792"/>
        <c:crosses val="autoZero"/>
        <c:crossBetween val="midCat"/>
      </c:valAx>
      <c:spPr>
        <a:noFill/>
        <a:ln w="25400">
          <a:solidFill>
            <a:srgbClr val="000000"/>
          </a:solidFill>
          <a:prstDash val="solid"/>
        </a:ln>
      </c:spPr>
    </c:plotArea>
    <c:plotVisOnly val="1"/>
    <c:dispBlanksAs val="gap"/>
    <c:showDLblsOverMax val="0"/>
  </c:chart>
  <c:spPr>
    <a:noFill/>
    <a:ln w="9525">
      <a:noFill/>
    </a:ln>
  </c:spPr>
  <c:txPr>
    <a:bodyPr/>
    <a:lstStyle/>
    <a:p>
      <a:pPr>
        <a:defRPr sz="1200" b="0" i="0" u="none" strike="noStrike" baseline="0">
          <a:solidFill>
            <a:srgbClr val="000000"/>
          </a:solidFill>
          <a:latin typeface="Verdana"/>
          <a:ea typeface="Verdana"/>
          <a:cs typeface="Verdana"/>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64" workbookViewId="0"/>
  </sheetViews>
  <pageMargins left="0.75" right="0.75" top="1" bottom="1" header="0.5" footer="0.5"/>
  <pageSetup orientation="portrait" horizontalDpi="4294967292" verticalDpi="4294967292"/>
  <headerFooter alignWithMargins="0"/>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170" workbookViewId="0"/>
  </sheetViews>
  <pageMargins left="0.75" right="0.75" top="1" bottom="1" header="0.5" footer="0.5"/>
  <pageSetup orientation="portrait" horizontalDpi="4294967292" verticalDpi="4294967292"/>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980440</xdr:colOff>
      <xdr:row>2</xdr:row>
      <xdr:rowOff>76200</xdr:rowOff>
    </xdr:from>
    <xdr:to>
      <xdr:col>11</xdr:col>
      <xdr:colOff>368305</xdr:colOff>
      <xdr:row>81</xdr:row>
      <xdr:rowOff>88900</xdr:rowOff>
    </xdr:to>
    <xdr:sp macro="" textlink="">
      <xdr:nvSpPr>
        <xdr:cNvPr id="23555" name="TextBox 1">
          <a:extLst>
            <a:ext uri="{FF2B5EF4-FFF2-40B4-BE49-F238E27FC236}">
              <a16:creationId xmlns:a16="http://schemas.microsoft.com/office/drawing/2014/main" id="{0648EA7E-48BB-2444-A151-0C16FD35C4C3}"/>
            </a:ext>
          </a:extLst>
        </xdr:cNvPr>
        <xdr:cNvSpPr txBox="1">
          <a:spLocks noChangeArrowheads="1"/>
        </xdr:cNvSpPr>
      </xdr:nvSpPr>
      <xdr:spPr bwMode="auto">
        <a:xfrm>
          <a:off x="980440" y="482600"/>
          <a:ext cx="11821165" cy="16065500"/>
        </a:xfrm>
        <a:prstGeom prst="rect">
          <a:avLst/>
        </a:prstGeom>
        <a:solidFill>
          <a:srgbClr val="FFFFFF"/>
        </a:solidFill>
        <a:ln w="9525">
          <a:solidFill>
            <a:srgbClr val="BCBCBC"/>
          </a:solidFill>
          <a:miter lim="800000"/>
          <a:headEnd/>
          <a:tailEnd/>
        </a:ln>
      </xdr:spPr>
      <xdr:txBody>
        <a:bodyPr vertOverflow="clip" wrap="square" lIns="91440" tIns="45720" rIns="91440" bIns="45720" anchor="t"/>
        <a:lstStyle/>
        <a:p>
          <a:pPr algn="l" rtl="0">
            <a:defRPr sz="1000"/>
          </a:pPr>
          <a:r>
            <a:rPr lang="en-US" sz="1600" b="1" i="1" u="none" strike="noStrike" baseline="0">
              <a:solidFill>
                <a:srgbClr val="000000"/>
              </a:solidFill>
              <a:latin typeface="Calibri"/>
              <a:ea typeface="Calibri"/>
              <a:cs typeface="Calibri"/>
            </a:rPr>
            <a:t>Instructions for Estimating T Using Olivine- and Glass-based Thermometers</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For details and references  see: Putirka, K. (2008) Thermometers and Barometers for Volcanic Systems. In: Putirka, K., Tepley, F. (Eds.), Minerals, Inclusions and Volcanic Processes, Reviews in Mineralogy and Geochemistry, Mineralogical Soc. Am., v. 69, pp. 61-120.</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Input</a:t>
          </a:r>
        </a:p>
        <a:p>
          <a:pPr algn="l" rtl="0">
            <a:defRPr sz="1000"/>
          </a:pPr>
          <a:r>
            <a:rPr lang="en-US" sz="1200" b="0" i="0" u="none" strike="noStrike" baseline="0">
              <a:solidFill>
                <a:srgbClr val="000000"/>
              </a:solidFill>
              <a:latin typeface="Calibri"/>
              <a:ea typeface="Calibri"/>
              <a:cs typeface="Calibri"/>
            </a:rPr>
            <a:t>Enter a pessure in GPa in column C, a value for the number of log units above or below the quartz-fayalite-magetite (QFM) buffer in cell F14 (the default is zero so that the fO2 is at QFM), and a nominal liquid composition in columns G-R (in “Olivine-liq thermometry”), leaving blank any oxides that are not available. The “liquid” could be the composition of a glass, or the whole rock, or some calculated composition. If you are not using an olivine composition, temperature estimates based on liquid or glass-only models appear in columns U – Z. Be sure to input an appropriate pressure in column C.</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If you are using olivine-liquid equilibrium, enter an olivine composition in columns AB – AM (in “Olivine-liq thermometry”). This olivine should be in equilibrium with the liquid entered in columns G – R (in “Olivine-liq thermometry”). If you only have the Fo content of an olivine, and not the weight % oxides, as are needed, then see instructions for use of the spreadsheet “Mg# Worksheet” below, to transform the Fo content into major oxides. As a rule of thumb, you might consider matching mineral rims to matrix glass and mineral cores to whole rock compositions, at least to start. When using mineral core compositions, I often add or subtract minerals from the whole rock so as to achieve Fe-Mg exchange (i.e., following a cotectic). Be aware that in Column J, all Fe is as FeOt. For comparison of Fe-Mg exchange coefficients (see later section on tests for equilibrium), you may want to input FeO instead of FeOt.</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FeO &amp; fO2</a:t>
          </a: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Input for Fe (for liquid compositions) is taken as FeO, and assumes that FeO = FeOt. This sheet does not calculate Fe(3+)/Fe(2+) but instead uses fO2 as input to predict a KD(Fe-Mg) for the case that Fe is treated as FeOt (see Putirka, 2016; Am Min, pages 819-840 for details). For that case of equilibrium, the obsered Fe-Mg exchange coefficient in column AR should match the predicted Fe-Mg exchange coefficient in column AS. The predicted value in column AS is dependent upon both composition and fO2 and is calibrated without having to first translate fO2 into a Fe(3+)/Fe(2+) ratio. This more direct method decreases the total error related to using fO2 as an input variable. The value for log (fO2) requires temperature as input and uses the value of temperature in column D. THe default setting is that column D is set to be equal to the calculated temperature given in column AX. To use a different T estimate to determine fO2, simply edit the cells in column D to equal some other T, either as calculated elsewhere (U-Z, AV-AZ) or as a fixed value as desired.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Settings</a:t>
          </a:r>
        </a:p>
        <a:p>
          <a:pPr algn="l" rtl="0">
            <a:defRPr sz="1000"/>
          </a:pPr>
          <a:r>
            <a:rPr lang="en-US" sz="1200" b="0" i="0" u="none" strike="noStrike" baseline="0">
              <a:solidFill>
                <a:srgbClr val="000000"/>
              </a:solidFill>
              <a:latin typeface="Calibri"/>
              <a:ea typeface="Calibri"/>
              <a:cs typeface="Calibri"/>
            </a:rPr>
            <a:t>In this workbook some equations may be solved simultaneously by numerical methods. Please make certain that under Excel – Preferences – Calculations, that “Iterative” calculations are allowed, otherwise Excel will report a “Circular reference” error.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T calculations</a:t>
          </a:r>
        </a:p>
        <a:p>
          <a:pPr algn="l" rtl="0">
            <a:defRPr sz="1000"/>
          </a:pPr>
          <a:r>
            <a:rPr lang="en-US" sz="1200" b="0" i="0" u="none" strike="noStrike" baseline="0">
              <a:solidFill>
                <a:srgbClr val="000000"/>
              </a:solidFill>
              <a:latin typeface="Calibri"/>
              <a:ea typeface="Calibri"/>
              <a:cs typeface="Calibri"/>
            </a:rPr>
            <a:t>The thermometers in columns U – Z  (in “Olivine-liq thermometry”) are in some cases based only on composition, while others use P as input. None require an olivine composition as input, though all assume that the liquid is in equilibrium with an olivine (or some other phase that controls Mg#?) of some composition or another.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T estimates based  on olivine-liquid equilibrium are shown in columns AV – AZ. The Beattie (1993) model does note use olivine composition as input, but is grouped here due to its mathematical similarity and close agreement in output for anhydrous systems, compared to the models in AV-AZ. Tests involving more than 1200 experimental data show that the two best models here are by Beattie (1993) (see columns AV – AW in “Olivine-liq thermometry”) for dry systems and by Putirka et al. (2007), Eqn. 4 (see column AX  in “Olivine-liq thermometry”) for systems that have water, though for dry systems both odels are very close.</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Graphical Olivine Thermometry</a:t>
          </a:r>
        </a:p>
        <a:p>
          <a:pPr algn="l" rtl="0">
            <a:defRPr sz="1000"/>
          </a:pPr>
          <a:r>
            <a:rPr lang="en-US" sz="1200" b="0" i="0" u="none" strike="noStrike" baseline="0">
              <a:solidFill>
                <a:srgbClr val="000000"/>
              </a:solidFill>
              <a:latin typeface="Calibri"/>
              <a:ea typeface="Calibri"/>
              <a:cs typeface="Calibri"/>
            </a:rPr>
            <a:t>Another method to estimate T is to use the graphical method introduced by Roeder and Emslie (1970). This approach, in an updated version, is portrayed in the sheet titled “R&amp;E Chart” and is based on calculations shown in “RECalcs” and uses a fixed value for the Fe-Mg exchange coefficients KD(Fe-Mg).  The sheet uses models from Putirka et al. (2007) to calculate isotherms. Isopleths for constant forsterite (Fo) contents are also given in RECalcs. To use this graphical method, copy and paste the contents of columns BR and BT from “Olivine-liq thermometry” into “R&amp;E Chart”. For any given liquid composition (i.e., for each point), the plot yields the T at which the liquid will be saturated with olivine (from the isotherms) as well as the composition of the olivine that will crystallize (from the Fo isopleths).  These isotherms are sensitive to pressure. To change any of the coefficients used to calculate the isotherms, see cells B8 – B14 in RECalcs. To change just the pressure,  edit cell B14 in RECalcs.</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Mantle Potential Temperatures</a:t>
          </a:r>
        </a:p>
        <a:p>
          <a:pPr algn="l" rtl="0">
            <a:defRPr sz="1000"/>
          </a:pPr>
          <a:r>
            <a:rPr lang="en-US" sz="1200" b="0" i="0" u="none" strike="noStrike" baseline="0">
              <a:solidFill>
                <a:srgbClr val="000000"/>
              </a:solidFill>
              <a:latin typeface="Calibri"/>
              <a:ea typeface="Calibri"/>
              <a:cs typeface="Calibri"/>
            </a:rPr>
            <a:t>The sheet RECalcs also calculates the mantle potential temperature, using parameters used in Putirka (2008). To obtain a mantle potential temperature, enter a mantle mineral-liquid equilibrium temperature (usually, but not necessarily an olivine-liquid equilibration temperature) in cell C17. Then input the pressure at which this temperature of equilibration occurred, in cell C18. The output, the mantle potential temperature, will be given in cell C20. To change any of the thermodynamic parameters, such as the heat of fusion (cell C24) or the slope of the adiabat (cell C31) see cells C24 – C31 (note that C32 is derived from C31, so make adjustment to C31, not C32).</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Tests for equilibrium</a:t>
          </a:r>
        </a:p>
        <a:p>
          <a:pPr algn="l" rtl="0">
            <a:defRPr sz="1000"/>
          </a:pPr>
          <a:r>
            <a:rPr lang="en-US" sz="1200" b="0" i="0" u="none" strike="noStrike" baseline="0">
              <a:solidFill>
                <a:srgbClr val="000000"/>
              </a:solidFill>
              <a:latin typeface="Calibri"/>
              <a:ea typeface="Calibri"/>
              <a:cs typeface="Calibri"/>
            </a:rPr>
            <a:t>The best test is to compare T or P estimates from independent equilibria; if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The very familiar test proposed by Roeder and Emslie (1970) and often portrayed in the Rhodes diagram (see chart with this name, as well as Rhodes et al., 1979) are used. The test compares the observed Fe-Mg exchange coefficient with a constant value. The observed values for the exchange coeff. are shown in column AR (see “Olivine-liq thermometry”).</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Experimental data indicate a value of 0.29±0.03 when Fe is treated as FeOt (the values are higher when Fe(3+) is calculated - see Matzen et al. (2011) and Putirka (2016)). The test for equilibrium for the case of a constant Fe-Mg exchange coefficient is graphically portrayed in the chart titled “Rhodes Diagram”.  To change either the constant value, or the error bounds that are portrayed in the chart, go to the sheet titled “Rhodes Diagram Calcs” and edit the values in C4 (for the constant value) and C6 (for the error bounds). In ideal circumstances, data should fall within the dashed curves that mark the indicated error, on the chart titled “Rhodes Diagram”. To add data to this diagram, copy and past data from “Olivine-liq thermometry”, columns AO and AP, into the Rhodes Diagram chart sheet.</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Mg# Worksheet</a:t>
          </a:r>
        </a:p>
        <a:p>
          <a:pPr algn="l" rtl="0">
            <a:defRPr sz="1000"/>
          </a:pPr>
          <a:r>
            <a:rPr lang="en-US" sz="1200" b="0" i="0" u="none" strike="noStrike" baseline="0">
              <a:solidFill>
                <a:srgbClr val="000000"/>
              </a:solidFill>
              <a:latin typeface="Calibri"/>
              <a:ea typeface="Calibri"/>
              <a:cs typeface="Calibri"/>
            </a:rPr>
            <a:t>One final tool presented here allows one to use the nominal equilibrium value for the Fe-Mg exchange coefficient to calculate the MgO content of a liquid, given the FeO content of the same liquid, and an equilibrium olivine composition. In the Mg # Worksheet, enter the value for the exchange coefficient in cell B2 (default value is 0.32). Then enter the weight % FeO content of the equilibrium liquid in cell B4.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The MgO content of the equilibrium liquid is given in weight % values in column G. For the appropriate value, choose the row that shows the appropriate forsterite (Fo) content of olivine in column D.  For example, if the exchange coefficient is 0.32, and the FeO content of the liquid is 11.5 weight %, then the MgO content for the liquid is 8.25 weight % (cell G15), if the equilibrium olivine composition is Fo80 (cell D15)</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Using the Mg# Worksheet to Obtain the Weight % of an Olivine  When only Fo Content is Given</a:t>
          </a:r>
        </a:p>
        <a:p>
          <a:pPr algn="l" rtl="0">
            <a:defRPr sz="1000"/>
          </a:pPr>
          <a:r>
            <a:rPr lang="en-US" sz="1200" b="0" i="0" u="none" strike="noStrike" baseline="0">
              <a:solidFill>
                <a:srgbClr val="000000"/>
              </a:solidFill>
              <a:latin typeface="Calibri"/>
              <a:ea typeface="Calibri"/>
              <a:cs typeface="Calibri"/>
            </a:rPr>
            <a:t>If the weight % value of an olivine composition is needed, the mol proportions used for these calculations are converted to weight %, with results shown in columns J – L. These cells use only the arbitrarily selected olivine compositions noted in columns A and D, so if the Fo content of an olivine is known, regardless of what liquid it comes from, the equivalent weight % oxide values are given in columns J – L.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Al calculations are linked to the Mg/Fe ratios of olivine, which are shown in column A ; so only change the cells in column A, if you wish to change the Fo content that appears in column D – do not change the values in column D direclty. These values may be useful if the Fo content for a given olivine is reported, but you wish to estimate T using the “Olivine-liq thermometry” spreadsheet, which requires weight % values as input. If the precise Fo content is not shown in column D. Let’s say you need the weight % values for an olivine with Fo 80.05: use the “Tools - Goal Seek” command in Excel. In the Goal Seek window, “Set cell” D8, “To Value” 80.05, “By changing cell” A8, then hit RETURN.</a:t>
          </a:r>
        </a:p>
        <a:p>
          <a:pPr algn="l" rtl="0">
            <a:defRPr sz="1000"/>
          </a:pPr>
          <a:endParaRPr lang="en-US" sz="1200" b="0" i="0" u="none" strike="noStrike" baseline="0">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6273800" cy="8115300"/>
    <xdr:graphicFrame macro="">
      <xdr:nvGraphicFramePr>
        <xdr:cNvPr id="2" name="Chart 1">
          <a:extLst>
            <a:ext uri="{FF2B5EF4-FFF2-40B4-BE49-F238E27FC236}">
              <a16:creationId xmlns:a16="http://schemas.microsoft.com/office/drawing/2014/main" id="{36BF03FC-866A-6A4A-B037-0C4469A8792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6267824" cy="8113059"/>
    <xdr:graphicFrame macro="">
      <xdr:nvGraphicFramePr>
        <xdr:cNvPr id="2" name="Chart 1">
          <a:extLst>
            <a:ext uri="{FF2B5EF4-FFF2-40B4-BE49-F238E27FC236}">
              <a16:creationId xmlns:a16="http://schemas.microsoft.com/office/drawing/2014/main" id="{FEC0D1EA-C1D6-E347-881D-8DB8931BF4C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0.49625</cdr:x>
      <cdr:y>0.5625</cdr:y>
    </cdr:from>
    <cdr:to>
      <cdr:x>0.49625</cdr:x>
      <cdr:y>0.5625</cdr:y>
    </cdr:to>
    <cdr:sp macro="" textlink="">
      <cdr:nvSpPr>
        <cdr:cNvPr id="1033" name="Text Box 9"/>
        <cdr:cNvSpPr txBox="1">
          <a:spLocks xmlns:a="http://schemas.openxmlformats.org/drawingml/2006/main" noChangeArrowheads="1"/>
        </cdr:cNvSpPr>
      </cdr:nvSpPr>
      <cdr:spPr bwMode="auto">
        <a:xfrm xmlns:a="http://schemas.openxmlformats.org/drawingml/2006/main">
          <a:off x="3116532" y="3302298"/>
          <a:ext cx="0"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Verdana"/>
              <a:ea typeface="Verdana"/>
              <a:cs typeface="Verdana"/>
            </a:rPr>
            <a:t>Fo90.3</a:t>
          </a:r>
        </a:p>
      </cdr:txBody>
    </cdr:sp>
  </cdr:relSizeAnchor>
  <cdr:relSizeAnchor xmlns:cdr="http://schemas.openxmlformats.org/drawingml/2006/chartDrawing">
    <cdr:from>
      <cdr:x>0.69247</cdr:x>
      <cdr:y>0.16925</cdr:y>
    </cdr:from>
    <cdr:to>
      <cdr:x>0.75853</cdr:x>
      <cdr:y>0.20925</cdr:y>
    </cdr:to>
    <cdr:sp macro="" textlink="">
      <cdr:nvSpPr>
        <cdr:cNvPr id="1038" name="Text Box 14"/>
        <cdr:cNvSpPr txBox="1">
          <a:spLocks xmlns:a="http://schemas.openxmlformats.org/drawingml/2006/main" noChangeArrowheads="1"/>
        </cdr:cNvSpPr>
      </cdr:nvSpPr>
      <cdr:spPr bwMode="auto">
        <a:xfrm xmlns:a="http://schemas.openxmlformats.org/drawingml/2006/main">
          <a:off x="4344406" y="986592"/>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Fo90</a:t>
          </a:r>
        </a:p>
      </cdr:txBody>
    </cdr:sp>
  </cdr:relSizeAnchor>
  <cdr:relSizeAnchor xmlns:cdr="http://schemas.openxmlformats.org/drawingml/2006/chartDrawing">
    <cdr:from>
      <cdr:x>0.80147</cdr:x>
      <cdr:y>0.35625</cdr:y>
    </cdr:from>
    <cdr:to>
      <cdr:x>0.86753</cdr:x>
      <cdr:y>0.39625</cdr:y>
    </cdr:to>
    <cdr:sp macro="" textlink="">
      <cdr:nvSpPr>
        <cdr:cNvPr id="1039" name="Text Box 15"/>
        <cdr:cNvSpPr txBox="1">
          <a:spLocks xmlns:a="http://schemas.openxmlformats.org/drawingml/2006/main" noChangeArrowheads="1"/>
        </cdr:cNvSpPr>
      </cdr:nvSpPr>
      <cdr:spPr bwMode="auto">
        <a:xfrm xmlns:a="http://schemas.openxmlformats.org/drawingml/2006/main">
          <a:off x="5028250" y="2076671"/>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Fo85</a:t>
          </a:r>
        </a:p>
      </cdr:txBody>
    </cdr:sp>
  </cdr:relSizeAnchor>
  <cdr:relSizeAnchor xmlns:cdr="http://schemas.openxmlformats.org/drawingml/2006/chartDrawing">
    <cdr:from>
      <cdr:x>0.85722</cdr:x>
      <cdr:y>0.46487</cdr:y>
    </cdr:from>
    <cdr:to>
      <cdr:x>0.92353</cdr:x>
      <cdr:y>0.50613</cdr:y>
    </cdr:to>
    <cdr:sp macro="" textlink="">
      <cdr:nvSpPr>
        <cdr:cNvPr id="1040" name="Text Box 16"/>
        <cdr:cNvSpPr txBox="1">
          <a:spLocks xmlns:a="http://schemas.openxmlformats.org/drawingml/2006/main" noChangeArrowheads="1"/>
        </cdr:cNvSpPr>
      </cdr:nvSpPr>
      <cdr:spPr bwMode="auto">
        <a:xfrm xmlns:a="http://schemas.openxmlformats.org/drawingml/2006/main">
          <a:off x="5378014" y="2709879"/>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Fo80</a:t>
          </a:r>
        </a:p>
      </cdr:txBody>
    </cdr:sp>
  </cdr:relSizeAnchor>
  <cdr:relSizeAnchor xmlns:cdr="http://schemas.openxmlformats.org/drawingml/2006/chartDrawing">
    <cdr:from>
      <cdr:x>0.80909</cdr:x>
      <cdr:y>0.56675</cdr:y>
    </cdr:from>
    <cdr:to>
      <cdr:x>0.87541</cdr:x>
      <cdr:y>0.608</cdr:y>
    </cdr:to>
    <cdr:sp macro="" textlink="">
      <cdr:nvSpPr>
        <cdr:cNvPr id="1041" name="Text Box 17"/>
        <cdr:cNvSpPr txBox="1">
          <a:spLocks xmlns:a="http://schemas.openxmlformats.org/drawingml/2006/main" noChangeArrowheads="1"/>
        </cdr:cNvSpPr>
      </cdr:nvSpPr>
      <cdr:spPr bwMode="auto">
        <a:xfrm xmlns:a="http://schemas.openxmlformats.org/drawingml/2006/main">
          <a:off x="5076087" y="3303739"/>
          <a:ext cx="414473"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Fo75</a:t>
          </a:r>
        </a:p>
      </cdr:txBody>
    </cdr:sp>
  </cdr:relSizeAnchor>
  <cdr:relSizeAnchor xmlns:cdr="http://schemas.openxmlformats.org/drawingml/2006/chartDrawing">
    <cdr:from>
      <cdr:x>0.60319</cdr:x>
      <cdr:y>0.08185</cdr:y>
    </cdr:from>
    <cdr:to>
      <cdr:x>0.69831</cdr:x>
      <cdr:y>0.12315</cdr:y>
    </cdr:to>
    <cdr:sp macro="" textlink="">
      <cdr:nvSpPr>
        <cdr:cNvPr id="1042" name="Text Box 18"/>
        <cdr:cNvSpPr txBox="1">
          <a:spLocks xmlns:a="http://schemas.openxmlformats.org/drawingml/2006/main" noChangeArrowheads="1"/>
        </cdr:cNvSpPr>
      </cdr:nvSpPr>
      <cdr:spPr bwMode="auto">
        <a:xfrm xmlns:a="http://schemas.openxmlformats.org/drawingml/2006/main">
          <a:off x="3789053" y="472115"/>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2000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0.38858</cdr:x>
      <cdr:y>0.12897</cdr:y>
    </cdr:from>
    <cdr:to>
      <cdr:x>0.45517</cdr:x>
      <cdr:y>0.17028</cdr:y>
    </cdr:to>
    <cdr:sp macro="" textlink="">
      <cdr:nvSpPr>
        <cdr:cNvPr id="1043" name="Text Box 19"/>
        <cdr:cNvSpPr txBox="1">
          <a:spLocks xmlns:a="http://schemas.openxmlformats.org/drawingml/2006/main" noChangeArrowheads="1"/>
        </cdr:cNvSpPr>
      </cdr:nvSpPr>
      <cdr:spPr bwMode="auto">
        <a:xfrm xmlns:a="http://schemas.openxmlformats.org/drawingml/2006/main">
          <a:off x="2449426" y="746461"/>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Fo95</a:t>
          </a:r>
        </a:p>
      </cdr:txBody>
    </cdr:sp>
  </cdr:relSizeAnchor>
  <cdr:relSizeAnchor xmlns:cdr="http://schemas.openxmlformats.org/drawingml/2006/chartDrawing">
    <cdr:from>
      <cdr:x>0.52234</cdr:x>
      <cdr:y>0.1655</cdr:y>
    </cdr:from>
    <cdr:to>
      <cdr:x>0.61766</cdr:x>
      <cdr:y>0.2055</cdr:y>
    </cdr:to>
    <cdr:sp macro="" textlink="">
      <cdr:nvSpPr>
        <cdr:cNvPr id="1044" name="Text Box 20"/>
        <cdr:cNvSpPr txBox="1">
          <a:spLocks xmlns:a="http://schemas.openxmlformats.org/drawingml/2006/main" noChangeArrowheads="1"/>
        </cdr:cNvSpPr>
      </cdr:nvSpPr>
      <cdr:spPr bwMode="auto">
        <a:xfrm xmlns:a="http://schemas.openxmlformats.org/drawingml/2006/main">
          <a:off x="3277042" y="964732"/>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1900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0.48844</cdr:x>
      <cdr:y>0.26985</cdr:y>
    </cdr:from>
    <cdr:to>
      <cdr:x>0.58356</cdr:x>
      <cdr:y>0.30965</cdr:y>
    </cdr:to>
    <cdr:sp macro="" textlink="">
      <cdr:nvSpPr>
        <cdr:cNvPr id="1045" name="Text Box 21"/>
        <cdr:cNvSpPr txBox="1">
          <a:spLocks xmlns:a="http://schemas.openxmlformats.org/drawingml/2006/main" noChangeArrowheads="1"/>
        </cdr:cNvSpPr>
      </cdr:nvSpPr>
      <cdr:spPr bwMode="auto">
        <a:xfrm xmlns:a="http://schemas.openxmlformats.org/drawingml/2006/main">
          <a:off x="3072561" y="1569501"/>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1800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0.45294</cdr:x>
      <cdr:y>0.3526</cdr:y>
    </cdr:from>
    <cdr:to>
      <cdr:x>0.54806</cdr:x>
      <cdr:y>0.3924</cdr:y>
    </cdr:to>
    <cdr:sp macro="" textlink="">
      <cdr:nvSpPr>
        <cdr:cNvPr id="1046" name="Text Box 22"/>
        <cdr:cNvSpPr txBox="1">
          <a:spLocks xmlns:a="http://schemas.openxmlformats.org/drawingml/2006/main" noChangeArrowheads="1"/>
        </cdr:cNvSpPr>
      </cdr:nvSpPr>
      <cdr:spPr bwMode="auto">
        <a:xfrm xmlns:a="http://schemas.openxmlformats.org/drawingml/2006/main">
          <a:off x="2851499" y="2046879"/>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1700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0.39446</cdr:x>
      <cdr:y>0.44062</cdr:y>
    </cdr:from>
    <cdr:to>
      <cdr:x>0.48979</cdr:x>
      <cdr:y>0.48063</cdr:y>
    </cdr:to>
    <cdr:sp macro="" textlink="">
      <cdr:nvSpPr>
        <cdr:cNvPr id="1047" name="Text Box 23"/>
        <cdr:cNvSpPr txBox="1">
          <a:spLocks xmlns:a="http://schemas.openxmlformats.org/drawingml/2006/main" noChangeArrowheads="1"/>
        </cdr:cNvSpPr>
      </cdr:nvSpPr>
      <cdr:spPr bwMode="auto">
        <a:xfrm xmlns:a="http://schemas.openxmlformats.org/drawingml/2006/main">
          <a:off x="2474780" y="2568519"/>
          <a:ext cx="598048"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1600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0.36171</cdr:x>
      <cdr:y>0.5175</cdr:y>
    </cdr:from>
    <cdr:to>
      <cdr:x>0.45704</cdr:x>
      <cdr:y>0.5575</cdr:y>
    </cdr:to>
    <cdr:sp macro="" textlink="">
      <cdr:nvSpPr>
        <cdr:cNvPr id="1048" name="Text Box 24"/>
        <cdr:cNvSpPr txBox="1">
          <a:spLocks xmlns:a="http://schemas.openxmlformats.org/drawingml/2006/main" noChangeArrowheads="1"/>
        </cdr:cNvSpPr>
      </cdr:nvSpPr>
      <cdr:spPr bwMode="auto">
        <a:xfrm xmlns:a="http://schemas.openxmlformats.org/drawingml/2006/main">
          <a:off x="2269313" y="3016646"/>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1500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0.30134</cdr:x>
      <cdr:y>0.582</cdr:y>
    </cdr:from>
    <cdr:to>
      <cdr:x>0.39666</cdr:x>
      <cdr:y>0.622</cdr:y>
    </cdr:to>
    <cdr:sp macro="" textlink="">
      <cdr:nvSpPr>
        <cdr:cNvPr id="1049" name="Text Box 25"/>
        <cdr:cNvSpPr txBox="1">
          <a:spLocks xmlns:a="http://schemas.openxmlformats.org/drawingml/2006/main" noChangeArrowheads="1"/>
        </cdr:cNvSpPr>
      </cdr:nvSpPr>
      <cdr:spPr bwMode="auto">
        <a:xfrm xmlns:a="http://schemas.openxmlformats.org/drawingml/2006/main">
          <a:off x="1890532" y="3392636"/>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1400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0.24746</cdr:x>
      <cdr:y>0.63937</cdr:y>
    </cdr:from>
    <cdr:to>
      <cdr:x>0.34279</cdr:x>
      <cdr:y>0.67938</cdr:y>
    </cdr:to>
    <cdr:sp macro="" textlink="">
      <cdr:nvSpPr>
        <cdr:cNvPr id="1050" name="Text Box 26"/>
        <cdr:cNvSpPr txBox="1">
          <a:spLocks xmlns:a="http://schemas.openxmlformats.org/drawingml/2006/main" noChangeArrowheads="1"/>
        </cdr:cNvSpPr>
      </cdr:nvSpPr>
      <cdr:spPr bwMode="auto">
        <a:xfrm xmlns:a="http://schemas.openxmlformats.org/drawingml/2006/main">
          <a:off x="1552531" y="3727092"/>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1300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D941-6354-44DF-A1A1-06C32A4CEFD6}">
  <dimension ref="A1:EZ43"/>
  <sheetViews>
    <sheetView tabSelected="1" topLeftCell="DP4" workbookViewId="0">
      <selection activeCell="DQ5" sqref="DQ5"/>
    </sheetView>
  </sheetViews>
  <sheetFormatPr defaultColWidth="8.61328125" defaultRowHeight="12.6"/>
  <cols>
    <col min="1" max="1" width="18" style="19" customWidth="1"/>
    <col min="2" max="2" width="18.84375" style="19" customWidth="1"/>
    <col min="3" max="3" width="15.23046875" style="20" customWidth="1"/>
    <col min="4" max="4" width="18" style="20" customWidth="1"/>
    <col min="5" max="5" width="5.4609375" style="20" customWidth="1"/>
    <col min="6" max="6" width="16.4609375" style="21" customWidth="1"/>
    <col min="7" max="8" width="8.61328125" style="19" customWidth="1"/>
    <col min="9" max="9" width="12" style="19" customWidth="1"/>
    <col min="10" max="12" width="8.61328125" style="19" customWidth="1"/>
    <col min="13" max="13" width="21" style="19" customWidth="1"/>
    <col min="14" max="20" width="8.61328125" style="19" customWidth="1"/>
    <col min="21" max="24" width="15.15234375" style="20" customWidth="1"/>
    <col min="25" max="26" width="13.84375" style="20" customWidth="1"/>
    <col min="27" max="29" width="8.61328125" style="19" customWidth="1"/>
    <col min="30" max="30" width="11.15234375" style="19" customWidth="1"/>
    <col min="31" max="40" width="8.61328125" style="19" customWidth="1"/>
    <col min="41" max="42" width="8.61328125" style="20" customWidth="1"/>
    <col min="43" max="43" width="6.15234375" style="20" customWidth="1"/>
    <col min="44" max="44" width="10" style="20" customWidth="1"/>
    <col min="45" max="45" width="9" style="20" customWidth="1"/>
    <col min="46" max="46" width="8.3828125" style="20" customWidth="1"/>
    <col min="47" max="49" width="13.4609375" style="20" customWidth="1"/>
    <col min="50" max="50" width="12.4609375" style="20" customWidth="1"/>
    <col min="51" max="51" width="13.4609375" style="20" customWidth="1"/>
    <col min="52" max="52" width="18.3828125" style="20" customWidth="1"/>
    <col min="53" max="53" width="18.84375" style="20" customWidth="1"/>
    <col min="54" max="54" width="18.23046875" style="20" customWidth="1"/>
    <col min="55" max="102" width="8.61328125" style="19" customWidth="1"/>
    <col min="103" max="104" width="8.61328125" style="22" customWidth="1"/>
    <col min="105" max="108" width="8.61328125" style="19" customWidth="1"/>
    <col min="109" max="109" width="8.61328125" style="22" customWidth="1"/>
    <col min="110" max="114" width="8.61328125" style="19" customWidth="1"/>
    <col min="115" max="115" width="8.61328125" style="22" customWidth="1"/>
    <col min="116" max="125" width="8.61328125" style="19" customWidth="1"/>
    <col min="126" max="126" width="14.765625" style="19" customWidth="1"/>
    <col min="127" max="131" width="8.61328125" style="19" customWidth="1"/>
    <col min="132" max="132" width="8.61328125" style="22" customWidth="1"/>
    <col min="133" max="133" width="10.23046875" style="19" customWidth="1"/>
    <col min="134" max="134" width="24.84375" style="19" customWidth="1"/>
    <col min="135" max="16384" width="8.61328125" style="19"/>
  </cols>
  <sheetData>
    <row r="1" spans="1:156" ht="22.2">
      <c r="A1" s="18" t="s">
        <v>119</v>
      </c>
    </row>
    <row r="2" spans="1:156">
      <c r="A2" s="22"/>
    </row>
    <row r="3" spans="1:156" ht="22.2">
      <c r="A3" s="23" t="s">
        <v>120</v>
      </c>
    </row>
    <row r="4" spans="1:156" ht="22.2">
      <c r="A4" s="23" t="s">
        <v>121</v>
      </c>
      <c r="BG4" s="19" t="s">
        <v>236</v>
      </c>
      <c r="BH4" s="19" t="s">
        <v>237</v>
      </c>
      <c r="BI4" s="19" t="s">
        <v>238</v>
      </c>
      <c r="BJ4" s="19" t="s">
        <v>239</v>
      </c>
      <c r="BK4" s="19" t="s">
        <v>240</v>
      </c>
      <c r="BL4" s="19" t="s">
        <v>241</v>
      </c>
      <c r="BM4" s="206" t="s">
        <v>266</v>
      </c>
      <c r="DM4" s="22"/>
    </row>
    <row r="5" spans="1:156">
      <c r="A5" s="22"/>
      <c r="BG5" s="19" t="s">
        <v>243</v>
      </c>
      <c r="BH5" s="19" t="s">
        <v>244</v>
      </c>
      <c r="BI5" s="19" t="s">
        <v>245</v>
      </c>
      <c r="BJ5" s="19" t="s">
        <v>246</v>
      </c>
      <c r="BK5" s="19" t="s">
        <v>247</v>
      </c>
      <c r="BL5" s="19" t="s">
        <v>248</v>
      </c>
      <c r="BM5" s="19" t="s">
        <v>249</v>
      </c>
      <c r="BN5" s="19" t="s">
        <v>250</v>
      </c>
      <c r="BO5" s="19" t="s">
        <v>251</v>
      </c>
      <c r="BP5" s="19" t="s">
        <v>252</v>
      </c>
      <c r="BQ5" s="19" t="s">
        <v>253</v>
      </c>
      <c r="BR5" s="19" t="s">
        <v>254</v>
      </c>
      <c r="BS5" s="19" t="s">
        <v>255</v>
      </c>
      <c r="DM5" s="22"/>
    </row>
    <row r="6" spans="1:156" ht="17.399999999999999">
      <c r="A6" s="24" t="s">
        <v>100</v>
      </c>
      <c r="U6"/>
      <c r="V6"/>
      <c r="W6"/>
      <c r="X6"/>
      <c r="Y6"/>
      <c r="Z6"/>
      <c r="AO6" s="19"/>
      <c r="DF6" s="25"/>
      <c r="DM6" s="22"/>
    </row>
    <row r="7" spans="1:156" ht="17.399999999999999">
      <c r="A7" s="24" t="s">
        <v>23</v>
      </c>
      <c r="T7" s="176"/>
      <c r="U7"/>
      <c r="V7"/>
      <c r="W7"/>
      <c r="X7"/>
      <c r="Y7"/>
      <c r="Z7"/>
      <c r="AO7" s="21"/>
      <c r="DF7" s="25"/>
      <c r="DM7" s="22"/>
    </row>
    <row r="8" spans="1:156" ht="17.399999999999999">
      <c r="A8" s="24" t="s">
        <v>22</v>
      </c>
      <c r="T8" s="176"/>
      <c r="U8"/>
      <c r="V8"/>
      <c r="W8"/>
      <c r="X8"/>
      <c r="Y8"/>
      <c r="Z8"/>
      <c r="AO8" s="21"/>
      <c r="DF8" s="25"/>
      <c r="DM8" s="22"/>
    </row>
    <row r="9" spans="1:156" ht="17.399999999999999">
      <c r="A9" s="24" t="s">
        <v>192</v>
      </c>
      <c r="U9"/>
      <c r="V9"/>
      <c r="W9"/>
      <c r="X9"/>
      <c r="Y9"/>
      <c r="Z9"/>
      <c r="AO9" s="21"/>
      <c r="DF9" s="25"/>
      <c r="DM9" s="22"/>
    </row>
    <row r="10" spans="1:156" ht="17.399999999999999">
      <c r="A10" s="24"/>
      <c r="K10"/>
      <c r="L10"/>
      <c r="M10"/>
      <c r="N10"/>
      <c r="O10"/>
      <c r="P10" s="162"/>
      <c r="U10"/>
      <c r="V10"/>
      <c r="W10"/>
      <c r="X10"/>
      <c r="Y10"/>
      <c r="Z10"/>
      <c r="AO10" s="21"/>
      <c r="AV10" s="20" t="s">
        <v>232</v>
      </c>
      <c r="AW10" s="20" t="s">
        <v>232</v>
      </c>
      <c r="BS10"/>
      <c r="BT10"/>
      <c r="BU10"/>
      <c r="BV10"/>
      <c r="BW10"/>
      <c r="BX10"/>
      <c r="BY10"/>
      <c r="BZ10"/>
      <c r="CA10"/>
      <c r="DF10" s="25"/>
      <c r="DM10" s="22"/>
    </row>
    <row r="11" spans="1:156" ht="19.8">
      <c r="A11" s="24"/>
      <c r="C11" s="127" t="s">
        <v>149</v>
      </c>
      <c r="D11" s="45"/>
      <c r="F11" s="127" t="s">
        <v>149</v>
      </c>
      <c r="G11" s="156" t="s">
        <v>151</v>
      </c>
      <c r="H11" s="157"/>
      <c r="I11" s="158"/>
      <c r="K11"/>
      <c r="L11"/>
      <c r="M11"/>
      <c r="N11"/>
      <c r="O11"/>
      <c r="U11" s="182" t="s">
        <v>227</v>
      </c>
      <c r="AB11" s="126" t="s">
        <v>152</v>
      </c>
      <c r="AC11" s="48"/>
      <c r="AD11" s="49"/>
      <c r="AX11" s="183" t="s">
        <v>228</v>
      </c>
      <c r="BI11" s="19" t="s">
        <v>256</v>
      </c>
      <c r="DA11" s="19">
        <f>113.1*1000/8.3144</f>
        <v>13602.905801982104</v>
      </c>
      <c r="DB11" s="19">
        <f>4.11*10^-6/8.3144</f>
        <v>4.9432310208794396E-7</v>
      </c>
      <c r="DF11" s="25"/>
      <c r="DM11" s="22"/>
    </row>
    <row r="12" spans="1:156" ht="18" thickBot="1">
      <c r="A12" s="24"/>
      <c r="C12" s="128" t="s">
        <v>150</v>
      </c>
      <c r="D12" s="46"/>
      <c r="F12" s="128" t="s">
        <v>222</v>
      </c>
      <c r="G12" s="159" t="s">
        <v>158</v>
      </c>
      <c r="H12" s="160"/>
      <c r="I12" s="161"/>
      <c r="K12"/>
      <c r="L12"/>
      <c r="M12"/>
      <c r="N12"/>
      <c r="O12"/>
      <c r="U12" s="28"/>
      <c r="V12" s="28"/>
      <c r="W12" s="28"/>
      <c r="X12" s="28"/>
      <c r="Y12" s="29" t="s">
        <v>189</v>
      </c>
      <c r="Z12" s="29" t="s">
        <v>189</v>
      </c>
      <c r="AO12" s="115" t="s">
        <v>117</v>
      </c>
      <c r="AU12" s="26"/>
      <c r="AV12" s="26"/>
      <c r="AW12" s="26"/>
      <c r="AX12" s="20" t="s">
        <v>264</v>
      </c>
      <c r="AY12" s="20" t="s">
        <v>264</v>
      </c>
      <c r="DA12" s="19">
        <f>52.05/8.3144</f>
        <v>6.2602232271721352</v>
      </c>
      <c r="DD12" s="19">
        <f>(13603+4.943*10^-7*(C16*10^9-10^-5))/(6.26+2*LN(AU16)+2*LN(1.5*DP16)+2*LN(3*DQ16)-DO16)-273.15</f>
        <v>1129.4093300359746</v>
      </c>
      <c r="DF12" s="25"/>
    </row>
    <row r="13" spans="1:156" s="27" customFormat="1" ht="16.8" thickBot="1">
      <c r="A13" s="22" t="s">
        <v>0</v>
      </c>
      <c r="C13" s="129" t="s">
        <v>85</v>
      </c>
      <c r="D13" s="47" t="s">
        <v>226</v>
      </c>
      <c r="E13" s="28"/>
      <c r="F13" s="128" t="s">
        <v>223</v>
      </c>
      <c r="U13" s="37" t="s">
        <v>81</v>
      </c>
      <c r="V13" s="37" t="s">
        <v>82</v>
      </c>
      <c r="W13" s="37" t="s">
        <v>83</v>
      </c>
      <c r="X13" s="37" t="s">
        <v>84</v>
      </c>
      <c r="Y13" s="29" t="s">
        <v>193</v>
      </c>
      <c r="Z13" s="29" t="s">
        <v>193</v>
      </c>
      <c r="AO13" s="115" t="s">
        <v>118</v>
      </c>
      <c r="AP13"/>
      <c r="AQ13"/>
      <c r="AR13"/>
      <c r="AS13"/>
      <c r="AT13" s="29"/>
      <c r="AU13" s="30" t="s">
        <v>190</v>
      </c>
      <c r="AW13" s="30"/>
      <c r="AX13" s="117"/>
      <c r="AY13" s="118" t="s">
        <v>190</v>
      </c>
      <c r="AZ13" s="119" t="s">
        <v>191</v>
      </c>
      <c r="BA13" s="119" t="s">
        <v>130</v>
      </c>
      <c r="BB13" s="120"/>
      <c r="BL13" s="31"/>
      <c r="BR13" s="31"/>
      <c r="BV13" s="31"/>
      <c r="CV13" s="27" t="s">
        <v>132</v>
      </c>
      <c r="DB13" s="31" t="s">
        <v>229</v>
      </c>
      <c r="DC13" s="27" t="s">
        <v>230</v>
      </c>
      <c r="DF13" s="188" t="s">
        <v>257</v>
      </c>
    </row>
    <row r="14" spans="1:156" s="27" customFormat="1" ht="14.4" thickBot="1">
      <c r="A14" s="32"/>
      <c r="B14" s="33"/>
      <c r="C14" s="34"/>
      <c r="D14" s="34" t="s">
        <v>225</v>
      </c>
      <c r="E14" s="34"/>
      <c r="F14" s="178">
        <v>0</v>
      </c>
      <c r="G14" s="35" t="s">
        <v>80</v>
      </c>
      <c r="H14" s="36"/>
      <c r="I14" s="36"/>
      <c r="J14" s="36"/>
      <c r="K14" s="36"/>
      <c r="L14" s="36"/>
      <c r="M14" s="36"/>
      <c r="N14" s="36"/>
      <c r="O14" s="36"/>
      <c r="P14" s="36"/>
      <c r="Q14" s="36"/>
      <c r="R14" s="36"/>
      <c r="S14" s="31" t="s">
        <v>20</v>
      </c>
      <c r="U14" s="37" t="s">
        <v>41</v>
      </c>
      <c r="V14" s="37" t="s">
        <v>41</v>
      </c>
      <c r="W14" s="37" t="s">
        <v>41</v>
      </c>
      <c r="X14" s="37" t="s">
        <v>41</v>
      </c>
      <c r="Y14" s="29" t="s">
        <v>42</v>
      </c>
      <c r="Z14" s="29" t="s">
        <v>43</v>
      </c>
      <c r="AB14" s="35" t="s">
        <v>194</v>
      </c>
      <c r="AC14" s="36"/>
      <c r="AD14" s="36"/>
      <c r="AE14" s="36"/>
      <c r="AF14" s="36"/>
      <c r="AG14" s="36"/>
      <c r="AH14" s="36"/>
      <c r="AI14" s="36"/>
      <c r="AJ14" s="36"/>
      <c r="AK14" s="36"/>
      <c r="AL14" s="36"/>
      <c r="AM14" s="36"/>
      <c r="AO14" s="29" t="s">
        <v>195</v>
      </c>
      <c r="AP14" s="29" t="s">
        <v>196</v>
      </c>
      <c r="AQ14" s="43"/>
      <c r="AR14" s="29" t="s">
        <v>197</v>
      </c>
      <c r="AS14" s="29" t="s">
        <v>224</v>
      </c>
      <c r="AT14" s="29" t="s">
        <v>197</v>
      </c>
      <c r="AU14" s="29" t="s">
        <v>198</v>
      </c>
      <c r="AV14" s="29"/>
      <c r="AW14" s="29"/>
      <c r="AX14" s="121" t="s">
        <v>190</v>
      </c>
      <c r="AY14" s="116" t="s">
        <v>199</v>
      </c>
      <c r="AZ14" s="116" t="s">
        <v>200</v>
      </c>
      <c r="BA14" s="116" t="s">
        <v>131</v>
      </c>
      <c r="BB14" s="122" t="s">
        <v>201</v>
      </c>
      <c r="BI14" s="27" t="s">
        <v>202</v>
      </c>
      <c r="BS14" s="53" t="s">
        <v>203</v>
      </c>
      <c r="BT14" s="54"/>
      <c r="BU14" s="54"/>
      <c r="BV14" s="54"/>
      <c r="BW14" s="54"/>
      <c r="BX14" s="54"/>
      <c r="BY14" s="54"/>
      <c r="BZ14" s="54"/>
      <c r="CA14" s="55"/>
      <c r="CC14" s="27" t="s">
        <v>204</v>
      </c>
      <c r="CM14" s="53" t="s">
        <v>205</v>
      </c>
      <c r="CN14" s="54"/>
      <c r="CO14" s="54"/>
      <c r="CP14" s="54"/>
      <c r="CQ14" s="54"/>
      <c r="CR14" s="54"/>
      <c r="CS14" s="54"/>
      <c r="CT14" s="54"/>
      <c r="CU14" s="55"/>
      <c r="CV14" s="53"/>
      <c r="CW14" s="54"/>
      <c r="CX14" s="55"/>
      <c r="DA14" s="31" t="s">
        <v>190</v>
      </c>
      <c r="DD14" s="27">
        <f>DA16/DB16-273.15</f>
        <v>1129.3630529939437</v>
      </c>
      <c r="DF14" s="31" t="s">
        <v>199</v>
      </c>
      <c r="DG14" s="31"/>
      <c r="DH14" s="31" t="s">
        <v>258</v>
      </c>
      <c r="DI14" s="31"/>
      <c r="DJ14" s="31"/>
      <c r="DR14" s="27" t="s">
        <v>206</v>
      </c>
      <c r="DX14" s="27" t="s">
        <v>207</v>
      </c>
      <c r="EG14" s="27" t="s">
        <v>24</v>
      </c>
      <c r="EQ14" s="27" t="s">
        <v>25</v>
      </c>
    </row>
    <row r="15" spans="1:156" s="27" customFormat="1" ht="33" thickBot="1">
      <c r="A15" s="32" t="s">
        <v>26</v>
      </c>
      <c r="B15" s="33" t="s">
        <v>27</v>
      </c>
      <c r="C15" s="38" t="s">
        <v>28</v>
      </c>
      <c r="D15" s="180" t="s">
        <v>47</v>
      </c>
      <c r="E15" s="34"/>
      <c r="F15" s="34" t="s">
        <v>221</v>
      </c>
      <c r="G15" s="38" t="s">
        <v>29</v>
      </c>
      <c r="H15" s="38" t="s">
        <v>30</v>
      </c>
      <c r="I15" s="38" t="s">
        <v>31</v>
      </c>
      <c r="J15" s="38" t="s">
        <v>32</v>
      </c>
      <c r="K15" s="38" t="s">
        <v>33</v>
      </c>
      <c r="L15" s="38" t="s">
        <v>7</v>
      </c>
      <c r="M15" s="38" t="s">
        <v>34</v>
      </c>
      <c r="N15" s="38" t="s">
        <v>35</v>
      </c>
      <c r="O15" s="38" t="s">
        <v>36</v>
      </c>
      <c r="P15" s="38" t="s">
        <v>37</v>
      </c>
      <c r="Q15" s="38" t="s">
        <v>38</v>
      </c>
      <c r="R15" s="38" t="s">
        <v>39</v>
      </c>
      <c r="S15" s="31" t="s">
        <v>40</v>
      </c>
      <c r="T15" s="31"/>
      <c r="U15" s="52" t="s">
        <v>47</v>
      </c>
      <c r="V15" s="52" t="s">
        <v>47</v>
      </c>
      <c r="W15" s="52" t="s">
        <v>47</v>
      </c>
      <c r="X15" s="52" t="s">
        <v>47</v>
      </c>
      <c r="Y15" s="52" t="s">
        <v>47</v>
      </c>
      <c r="Z15" s="52" t="s">
        <v>47</v>
      </c>
      <c r="AA15" s="31"/>
      <c r="AB15" s="38" t="s">
        <v>29</v>
      </c>
      <c r="AC15" s="38" t="s">
        <v>30</v>
      </c>
      <c r="AD15" s="38" t="s">
        <v>31</v>
      </c>
      <c r="AE15" s="38" t="s">
        <v>32</v>
      </c>
      <c r="AF15" s="38" t="s">
        <v>33</v>
      </c>
      <c r="AG15" s="38" t="s">
        <v>7</v>
      </c>
      <c r="AH15" s="38" t="s">
        <v>34</v>
      </c>
      <c r="AI15" s="38" t="s">
        <v>35</v>
      </c>
      <c r="AJ15" s="38" t="s">
        <v>36</v>
      </c>
      <c r="AK15" s="38" t="s">
        <v>37</v>
      </c>
      <c r="AL15" s="38" t="s">
        <v>38</v>
      </c>
      <c r="AM15" s="38" t="s">
        <v>39</v>
      </c>
      <c r="AN15" s="31"/>
      <c r="AO15" s="52" t="s">
        <v>79</v>
      </c>
      <c r="AP15" s="52" t="s">
        <v>44</v>
      </c>
      <c r="AQ15" s="43"/>
      <c r="AR15" s="52" t="s">
        <v>134</v>
      </c>
      <c r="AS15" s="52" t="s">
        <v>134</v>
      </c>
      <c r="AT15" s="52" t="s">
        <v>45</v>
      </c>
      <c r="AU15" s="52" t="s">
        <v>46</v>
      </c>
      <c r="AV15" s="189" t="s">
        <v>233</v>
      </c>
      <c r="AW15" s="190" t="s">
        <v>261</v>
      </c>
      <c r="AX15" s="123" t="s">
        <v>47</v>
      </c>
      <c r="AY15" s="124" t="s">
        <v>47</v>
      </c>
      <c r="AZ15" s="124" t="s">
        <v>133</v>
      </c>
      <c r="BA15" s="124" t="s">
        <v>208</v>
      </c>
      <c r="BB15" s="125" t="s">
        <v>209</v>
      </c>
      <c r="BC15" s="31" t="s">
        <v>234</v>
      </c>
      <c r="BD15" s="31" t="s">
        <v>235</v>
      </c>
      <c r="BE15" s="31" t="s">
        <v>262</v>
      </c>
      <c r="BF15" s="31" t="s">
        <v>263</v>
      </c>
      <c r="BG15" s="31" t="s">
        <v>48</v>
      </c>
      <c r="BI15" s="31" t="s">
        <v>49</v>
      </c>
      <c r="BJ15" s="31" t="s">
        <v>50</v>
      </c>
      <c r="BK15" s="31" t="s">
        <v>51</v>
      </c>
      <c r="BL15" s="31" t="s">
        <v>52</v>
      </c>
      <c r="BM15" s="31" t="s">
        <v>53</v>
      </c>
      <c r="BN15" s="31" t="s">
        <v>54</v>
      </c>
      <c r="BO15" s="31" t="s">
        <v>55</v>
      </c>
      <c r="BP15" s="31" t="s">
        <v>56</v>
      </c>
      <c r="BQ15" s="31" t="s">
        <v>57</v>
      </c>
      <c r="BR15" s="31" t="s">
        <v>58</v>
      </c>
      <c r="BS15" s="56" t="s">
        <v>49</v>
      </c>
      <c r="BT15" s="57" t="s">
        <v>50</v>
      </c>
      <c r="BU15" s="57" t="s">
        <v>51</v>
      </c>
      <c r="BV15" s="57" t="s">
        <v>52</v>
      </c>
      <c r="BW15" s="57" t="s">
        <v>53</v>
      </c>
      <c r="BX15" s="57" t="s">
        <v>54</v>
      </c>
      <c r="BY15" s="57" t="s">
        <v>55</v>
      </c>
      <c r="BZ15" s="57" t="s">
        <v>56</v>
      </c>
      <c r="CA15" s="58" t="s">
        <v>57</v>
      </c>
      <c r="CC15" s="31" t="s">
        <v>49</v>
      </c>
      <c r="CD15" s="31" t="s">
        <v>50</v>
      </c>
      <c r="CE15" s="31" t="s">
        <v>51</v>
      </c>
      <c r="CF15" s="31" t="s">
        <v>52</v>
      </c>
      <c r="CG15" s="31" t="s">
        <v>53</v>
      </c>
      <c r="CH15" s="31" t="s">
        <v>54</v>
      </c>
      <c r="CI15" s="31" t="s">
        <v>55</v>
      </c>
      <c r="CJ15" s="31" t="s">
        <v>56</v>
      </c>
      <c r="CK15" s="31" t="s">
        <v>57</v>
      </c>
      <c r="CL15" s="31" t="s">
        <v>58</v>
      </c>
      <c r="CM15" s="56" t="s">
        <v>49</v>
      </c>
      <c r="CN15" s="57" t="s">
        <v>50</v>
      </c>
      <c r="CO15" s="57" t="s">
        <v>51</v>
      </c>
      <c r="CP15" s="57" t="s">
        <v>52</v>
      </c>
      <c r="CQ15" s="57" t="s">
        <v>53</v>
      </c>
      <c r="CR15" s="57" t="s">
        <v>54</v>
      </c>
      <c r="CS15" s="57" t="s">
        <v>55</v>
      </c>
      <c r="CT15" s="57" t="s">
        <v>56</v>
      </c>
      <c r="CU15" s="58" t="s">
        <v>57</v>
      </c>
      <c r="CV15" s="56" t="s">
        <v>59</v>
      </c>
      <c r="CW15" s="57" t="s">
        <v>60</v>
      </c>
      <c r="CX15" s="58" t="s">
        <v>61</v>
      </c>
      <c r="DA15" s="31" t="s">
        <v>62</v>
      </c>
      <c r="DB15" s="31" t="s">
        <v>63</v>
      </c>
      <c r="DC15" s="31" t="s">
        <v>231</v>
      </c>
      <c r="DD15" s="31" t="s">
        <v>64</v>
      </c>
      <c r="DF15" s="31" t="s">
        <v>62</v>
      </c>
      <c r="DG15" s="31" t="s">
        <v>63</v>
      </c>
      <c r="DH15" s="31"/>
      <c r="DI15" s="31" t="s">
        <v>259</v>
      </c>
      <c r="DJ15" s="31" t="s">
        <v>260</v>
      </c>
      <c r="DL15" s="31" t="s">
        <v>47</v>
      </c>
      <c r="DM15" s="27" t="s">
        <v>65</v>
      </c>
      <c r="DO15" s="31" t="s">
        <v>66</v>
      </c>
      <c r="DP15" s="31" t="s">
        <v>115</v>
      </c>
      <c r="DQ15" s="31" t="s">
        <v>116</v>
      </c>
      <c r="DR15" s="31" t="s">
        <v>96</v>
      </c>
      <c r="DU15" s="31" t="s">
        <v>97</v>
      </c>
      <c r="DV15" s="31" t="s">
        <v>98</v>
      </c>
      <c r="DW15" s="31" t="s">
        <v>129</v>
      </c>
      <c r="DX15" s="31" t="s">
        <v>96</v>
      </c>
      <c r="DY15" s="31" t="s">
        <v>210</v>
      </c>
      <c r="EA15" s="31" t="s">
        <v>210</v>
      </c>
      <c r="EC15" s="31" t="s">
        <v>211</v>
      </c>
      <c r="ED15" s="31" t="s">
        <v>212</v>
      </c>
      <c r="EE15" s="31" t="s">
        <v>213</v>
      </c>
      <c r="EG15" s="31" t="s">
        <v>49</v>
      </c>
      <c r="EH15" s="31" t="s">
        <v>50</v>
      </c>
      <c r="EI15" s="31" t="s">
        <v>214</v>
      </c>
      <c r="EJ15" s="31" t="s">
        <v>52</v>
      </c>
      <c r="EK15" s="31" t="s">
        <v>53</v>
      </c>
      <c r="EL15" s="31" t="s">
        <v>54</v>
      </c>
      <c r="EM15" s="31" t="s">
        <v>55</v>
      </c>
      <c r="EN15" s="31" t="s">
        <v>215</v>
      </c>
      <c r="EO15" s="31" t="s">
        <v>216</v>
      </c>
      <c r="EP15" s="31" t="s">
        <v>58</v>
      </c>
      <c r="EQ15" s="31" t="s">
        <v>49</v>
      </c>
      <c r="ER15" s="31" t="s">
        <v>50</v>
      </c>
      <c r="ES15" s="31" t="s">
        <v>214</v>
      </c>
      <c r="ET15" s="31" t="s">
        <v>52</v>
      </c>
      <c r="EU15" s="31" t="s">
        <v>53</v>
      </c>
      <c r="EV15" s="31" t="s">
        <v>54</v>
      </c>
      <c r="EW15" s="31" t="s">
        <v>55</v>
      </c>
      <c r="EX15" s="31" t="s">
        <v>215</v>
      </c>
      <c r="EY15" s="31" t="s">
        <v>216</v>
      </c>
      <c r="EZ15" s="31" t="s">
        <v>58</v>
      </c>
    </row>
    <row r="16" spans="1:156" ht="16.2">
      <c r="A16" s="19" t="s">
        <v>217</v>
      </c>
      <c r="B16" s="19" t="s">
        <v>218</v>
      </c>
      <c r="C16" s="185">
        <v>0.20000000298023199</v>
      </c>
      <c r="D16" s="177">
        <f>AZ16</f>
        <v>1016.7974785798743</v>
      </c>
      <c r="F16" s="179">
        <f>5.5976-24505/(D16+273.15)+0.8099*LOG(D16+273.15)+0.0937*(C16*10*1000-1)/(273.15+D16)+$F$14</f>
        <v>-10.734840594320442</v>
      </c>
      <c r="G16" s="185">
        <v>57.023601531982401</v>
      </c>
      <c r="H16" s="185">
        <v>0.62310600280761697</v>
      </c>
      <c r="I16" s="185">
        <v>16.332899093627901</v>
      </c>
      <c r="J16" s="185">
        <v>4.3617401123046902</v>
      </c>
      <c r="K16" s="185">
        <v>0.103850997984409</v>
      </c>
      <c r="L16" s="185">
        <v>4.1918001174926802</v>
      </c>
      <c r="M16" s="185">
        <v>6.9485797882080096</v>
      </c>
      <c r="N16" s="185">
        <v>3.5970199108123802</v>
      </c>
      <c r="O16" s="185">
        <v>0.896894991397858</v>
      </c>
      <c r="P16" s="185">
        <v>0</v>
      </c>
      <c r="Q16" s="185">
        <v>0.226584002375603</v>
      </c>
      <c r="R16" s="185">
        <v>5.5900001525878897</v>
      </c>
      <c r="S16" s="19">
        <f>SUM(G16:Q16)</f>
        <v>94.306076548993531</v>
      </c>
      <c r="U16" s="40">
        <f>26.3*L16+994.4</f>
        <v>1104.6443430900574</v>
      </c>
      <c r="V16" s="40">
        <f>754+190.6*AO16/100+25.52*L16+9.585*J16+14.87*(N16+O16)-9.176*R16</f>
        <v>1038.6690992127212</v>
      </c>
      <c r="W16" s="40">
        <f>815.3+265.5*AO16/100+15.37*L16+8.61*J16+6.646*(N16+O16)+39.16*C16-12.83*R16</f>
        <v>1050.914220702592</v>
      </c>
      <c r="X16" s="40">
        <f>-583+3141*EQ16+15779*ES16+1338.6*EV16-31440*(EQ16*ES16)+77.67*C16</f>
        <v>1064.5091470083662</v>
      </c>
      <c r="Y16" s="40">
        <f>20.1*L16+1014</f>
        <v>1098.2551823616029</v>
      </c>
      <c r="Z16" s="40">
        <f>16.6*M16+968</f>
        <v>1083.346424484253</v>
      </c>
      <c r="AB16" s="39">
        <v>40.5</v>
      </c>
      <c r="AC16" s="39">
        <v>0.02</v>
      </c>
      <c r="AD16" s="39">
        <v>0.08</v>
      </c>
      <c r="AE16" s="39">
        <v>12.4</v>
      </c>
      <c r="AF16" s="39">
        <v>0.17</v>
      </c>
      <c r="AG16" s="39">
        <v>47.4</v>
      </c>
      <c r="AH16" s="39">
        <v>0.3</v>
      </c>
      <c r="AI16" s="39">
        <v>0</v>
      </c>
      <c r="AJ16" s="39">
        <v>0</v>
      </c>
      <c r="AK16" s="39">
        <v>0.03</v>
      </c>
      <c r="AL16" s="39">
        <v>0</v>
      </c>
      <c r="AM16" s="39">
        <v>0</v>
      </c>
      <c r="AO16" s="41">
        <f>100*(L16/40.3)/(L16/40.3+J16/71.85)</f>
        <v>63.14606927709756</v>
      </c>
      <c r="AP16" s="41">
        <f>100*CH16/(CH16+CF16)</f>
        <v>87.202266232961705</v>
      </c>
      <c r="AQ16" s="44"/>
      <c r="AR16" s="42">
        <f t="shared" ref="AR16:AR25" si="0">(CP16/CR16)/(BV16/BX16)</f>
        <v>0.25141091216755745</v>
      </c>
      <c r="AS16" s="181">
        <f>0.0583+0.00252*G16+0.028*C16-0.0091*(N16+O16)-0.013383*F16</f>
        <v>0.31036922200771944</v>
      </c>
      <c r="AT16" s="187">
        <f>CR16/BX16</f>
        <v>9.4726049235585421</v>
      </c>
      <c r="AU16" s="186">
        <f>(0.666-(-0.049*BW16+0.027*BV16))/(1*BX16+0.259*BW16+0.299*BV16)</f>
        <v>9.240255279870885</v>
      </c>
      <c r="AV16" s="187">
        <f>(DA16/DC16)-273.15</f>
        <v>1122.2685750806245</v>
      </c>
      <c r="AW16" s="187">
        <f>(DJ16-273.15)+54*DM16+2*DM16^2</f>
        <v>1123.0849816905647</v>
      </c>
      <c r="AX16" s="186">
        <f>(DA16/DB16)-273.15</f>
        <v>1129.3630529939437</v>
      </c>
      <c r="AY16" s="186">
        <f>(DH16-273.15)+54*DM16+2*DM16^2</f>
        <v>1130.1282950691216</v>
      </c>
      <c r="AZ16" s="186">
        <f>(15294.6+1318.8*DM16+2.4834*DM16^2)/(8.048+2.8352*LN(DX16)+2.097*LN(1.5*DP16)+2.575*LN(3*DQ16)-1.41*DO16+0.222*R16+0.5*DM16)</f>
        <v>1016.7974785798743</v>
      </c>
      <c r="BA16" s="186">
        <f>1/((LN(AT16)+2.158-5.115*10^-2*(N16+O16)+6.213*10^-2*R16)/(55.09*C16+4430))</f>
        <v>981.69060440210262</v>
      </c>
      <c r="BB16" s="186">
        <f>ED16</f>
        <v>1032.2557306701242</v>
      </c>
      <c r="BC16" s="19">
        <f>((13603+(4.943*10^-7)*(C16-10^-5))/(6.26+2*LN(AU16)+2*LN(1.5*CV16)+2*LN(3*CW16)-CX16))-273.15</f>
        <v>1119.2897537682315</v>
      </c>
      <c r="BD16" s="19">
        <f>((13603+(4.943*10^-7)*(C16-10^-5))/(6.26+2*LN(AT16)+2*LN(1.5*CV16)+2*LN(3*CW16)-CX16))-273.15</f>
        <v>1112.2460705426815</v>
      </c>
      <c r="BE16" s="19">
        <f>1/((LN(AU16)+2.158-5.115*10^-2*(N16+O16)+6.213*10^-2*R16)/(55.09*C16+4430))</f>
        <v>987.10951006439791</v>
      </c>
      <c r="BF16" s="207">
        <f>(15294.6+1318.8*DM16+2.4834*DM16^2)/(8.048+2.8352*LN(AU16)+2.097*LN(1.5*DP16)+2.575*LN(3*DQ16)-1.41*DO16+0.222*R16+0.5*DM16)</f>
        <v>1021.4979696584832</v>
      </c>
      <c r="BG16" s="19" t="s">
        <v>219</v>
      </c>
      <c r="BI16" s="19">
        <f>G16/60.0843</f>
        <v>0.94905992966519381</v>
      </c>
      <c r="BJ16" s="19">
        <f>H16/79.8788</f>
        <v>7.8006430092542323E-3</v>
      </c>
      <c r="BK16" s="19">
        <f>I16*2/101.961</f>
        <v>0.32037541988854368</v>
      </c>
      <c r="BL16" s="19">
        <f>J16/71.844</f>
        <v>6.0711264855863964E-2</v>
      </c>
      <c r="BM16" s="19">
        <f>K16/70.9375</f>
        <v>1.463978826211933E-3</v>
      </c>
      <c r="BN16" s="19">
        <f>L16/40.3044</f>
        <v>0.10400353602814283</v>
      </c>
      <c r="BO16" s="19">
        <f>M16/56.0774</f>
        <v>0.1239105198922919</v>
      </c>
      <c r="BP16" s="19">
        <f>N16*2/61.9789</f>
        <v>0.11607240240831573</v>
      </c>
      <c r="BQ16" s="19">
        <f>O16*2/94.196</f>
        <v>1.90431651322319E-2</v>
      </c>
      <c r="BR16" s="19">
        <f>SUM(BI16:BQ16)</f>
        <v>1.7024408597060496</v>
      </c>
      <c r="BS16" s="19">
        <f t="shared" ref="BS16:CA25" si="1">BI16/$BR16</f>
        <v>0.55747013134368872</v>
      </c>
      <c r="BT16" s="19">
        <f t="shared" si="1"/>
        <v>4.5820346502968229E-3</v>
      </c>
      <c r="BU16" s="19">
        <f t="shared" si="1"/>
        <v>0.18818593201755096</v>
      </c>
      <c r="BV16" s="184">
        <f t="shared" si="1"/>
        <v>3.5661306241408362E-2</v>
      </c>
      <c r="BW16" s="19">
        <f t="shared" si="1"/>
        <v>8.5992932903684502E-4</v>
      </c>
      <c r="BX16" s="184">
        <f t="shared" si="1"/>
        <v>6.1090836392460941E-2</v>
      </c>
      <c r="BY16" s="19">
        <f t="shared" si="1"/>
        <v>7.2784037804218812E-2</v>
      </c>
      <c r="BZ16" s="19">
        <f t="shared" si="1"/>
        <v>6.8179990950380076E-2</v>
      </c>
      <c r="CA16" s="19">
        <f t="shared" si="1"/>
        <v>1.1185801270958669E-2</v>
      </c>
      <c r="CB16" s="19">
        <f>SUM(BS16:CA16)</f>
        <v>1.0000000000000002</v>
      </c>
      <c r="CC16" s="19">
        <f>AB16/60.0843</f>
        <v>0.67405295559738565</v>
      </c>
      <c r="CD16" s="19">
        <f>AC16/79.8788</f>
        <v>2.5037932467688548E-4</v>
      </c>
      <c r="CE16" s="19">
        <f>AD16*2/101.961</f>
        <v>1.5692274497111642E-3</v>
      </c>
      <c r="CF16" s="19">
        <f>AE16/71.844</f>
        <v>0.17259618061355161</v>
      </c>
      <c r="CG16" s="19">
        <f>AF16/70.9375</f>
        <v>2.3964757709251101E-3</v>
      </c>
      <c r="CH16" s="19">
        <f>AG16/40.3044</f>
        <v>1.1760502575401197</v>
      </c>
      <c r="CI16" s="19">
        <f>AH16/56.0774</f>
        <v>5.3497487401341715E-3</v>
      </c>
      <c r="CJ16" s="19">
        <f>2*AI16/61.98</f>
        <v>0</v>
      </c>
      <c r="CK16" s="19">
        <f>2*AJ16/94.2</f>
        <v>0</v>
      </c>
      <c r="CL16" s="19">
        <f>SUM(CC16:CK16)</f>
        <v>2.0322652250365043</v>
      </c>
      <c r="CM16" s="19">
        <f t="shared" ref="CM16:CU25" si="2">CC16/$CL16</f>
        <v>0.33167568253069823</v>
      </c>
      <c r="CN16" s="19">
        <f t="shared" si="2"/>
        <v>1.2320209074698313E-4</v>
      </c>
      <c r="CO16" s="19">
        <f t="shared" si="2"/>
        <v>7.7215681810575542E-4</v>
      </c>
      <c r="CP16" s="19">
        <f t="shared" si="2"/>
        <v>8.4927980111676307E-2</v>
      </c>
      <c r="CQ16" s="19">
        <f>CG16/$CL16</f>
        <v>1.1792140816079082E-3</v>
      </c>
      <c r="CR16" s="19">
        <f t="shared" si="2"/>
        <v>0.57868935759553486</v>
      </c>
      <c r="CS16" s="19">
        <f t="shared" si="2"/>
        <v>2.6324067716299564E-3</v>
      </c>
      <c r="CT16" s="19">
        <f t="shared" si="2"/>
        <v>0</v>
      </c>
      <c r="CU16" s="19">
        <f t="shared" si="2"/>
        <v>0</v>
      </c>
      <c r="CV16" s="19">
        <f>BX16+BV16+BY16+BW16</f>
        <v>0.17039610976712494</v>
      </c>
      <c r="CW16" s="19">
        <f>BS16</f>
        <v>0.55747013134368872</v>
      </c>
      <c r="CX16" s="19">
        <f>(7/2)*LN(1-BU16)+7*LN(1-BT16)</f>
        <v>-0.76184175919008901</v>
      </c>
      <c r="CZ16" s="22">
        <f>(DA16/DB16)-273.15</f>
        <v>1129.3630529939437</v>
      </c>
      <c r="DA16" s="19">
        <f>113.1*1000/8.3144+(DM16*10^9-10^5)*4.11*(10^-6)/8.3144</f>
        <v>13701.720991562681</v>
      </c>
      <c r="DB16" s="19">
        <f>52.05/8.3144+2*LN(AU16)+2*LN(1.5*CV16)+2*LN(3*CW16)-CX16</f>
        <v>9.7694071098401718</v>
      </c>
      <c r="DC16" s="19">
        <f>52.05/8.3144+2*LN(AT16)+2*LN(1.5*CV16)+2*LN(3*CW16)-CX16</f>
        <v>9.8190759649096861</v>
      </c>
      <c r="DD16" s="19">
        <f>DF16/DG16</f>
        <v>1392.398294905805</v>
      </c>
      <c r="DE16" s="22">
        <f>DD16-273.15</f>
        <v>1119.2482949058049</v>
      </c>
      <c r="DF16" s="19">
        <f>113.1*1000/8.3144+(0.0001*10^9-10^5)*4.11*(10^-6)/8.3144</f>
        <v>13602.905801982104</v>
      </c>
      <c r="DG16" s="19">
        <f>52.05/8.3144+2*LN(AU16)+2*LN(1.5*CV16)+2*LN(3*CW16)-CX16</f>
        <v>9.7694071098401718</v>
      </c>
      <c r="DH16" s="19">
        <f>DF16/DG16</f>
        <v>1392.398294905805</v>
      </c>
      <c r="DI16" s="19">
        <f>52.05/8.3144+2*LN(AT16)+2*LN(1.5*CV16)+2*LN(3*CW16)-CX16</f>
        <v>9.8190759649096861</v>
      </c>
      <c r="DJ16" s="19">
        <f>DF16/DI16</f>
        <v>1385.3549815272481</v>
      </c>
      <c r="DL16" s="19">
        <v>1300</v>
      </c>
      <c r="DM16" s="19">
        <f>C16</f>
        <v>0.20000000298023199</v>
      </c>
      <c r="DN16" s="19">
        <f>IF(AR16&gt;0,1,0)</f>
        <v>1</v>
      </c>
      <c r="DO16" s="19">
        <f>(7/2)*LN(1-BU16)+7*LN(1-BT16)</f>
        <v>-0.76184175919008901</v>
      </c>
      <c r="DP16" s="19">
        <f>BX16+BV16+BW16+BY16</f>
        <v>0.17039610976712496</v>
      </c>
      <c r="DQ16" s="19">
        <f>BS16</f>
        <v>0.55747013134368872</v>
      </c>
      <c r="DR16" s="19">
        <f>(0.666-(-0.049*BW16+0.027*BV16))/(BX16+0.259*BW16+0.299*BV16)</f>
        <v>9.240255279870885</v>
      </c>
      <c r="DS16" s="19">
        <f>13603+4.943*10^-7*(C16*10^9-10^-5)</f>
        <v>13701.860001473124</v>
      </c>
      <c r="DT16" s="19">
        <f>6.26+2*LN(DR16)+2*LN(1.5*DP16)+2*LN(3*DQ16)-DO16</f>
        <v>9.7691838826680364</v>
      </c>
      <c r="DU16" s="19">
        <f>(DS16/DT16)-273.15</f>
        <v>1129.4093300359746</v>
      </c>
      <c r="DV16" s="19">
        <f>(13603+4.943*10^-7*(0.0001*10^9-10^-5))/(6.26+2*LN(DR16)+2*LN(1.5*DP16)+2*LN(3*DQ16)-DO16)-273.15</f>
        <v>1119.2948135461752</v>
      </c>
      <c r="DW16" s="19">
        <f t="shared" ref="DW16:DW25" si="3">DV16+54*DM16-2*DM16^2</f>
        <v>1130.0148137047236</v>
      </c>
      <c r="DX16" s="25">
        <f>CR16/BX16</f>
        <v>9.4726049235585421</v>
      </c>
      <c r="DY16" s="19">
        <f t="shared" ref="DY16:DY25" si="4">LN(DX16)+2.158+6.213*10^-2*R16-5.115*10^-2*(N16+O16)</f>
        <v>4.5238469027305985</v>
      </c>
      <c r="DZ16" s="19">
        <f>55.09*DM16+4430</f>
        <v>4441.0180001641811</v>
      </c>
      <c r="EA16" s="19">
        <f>DZ16/DY16</f>
        <v>981.69060440210262</v>
      </c>
      <c r="EC16" s="19">
        <f>CR16/(BX16*BS16^0.5)</f>
        <v>12.686990737402654</v>
      </c>
      <c r="ED16" s="19">
        <f>(4129+0.0146*(C16*10*1000-1))/(LOG(EC16)+2.082)-273.15</f>
        <v>1032.2557306701242</v>
      </c>
      <c r="EE16" s="19">
        <f>DL16</f>
        <v>1300</v>
      </c>
      <c r="EG16" s="19">
        <f>G16/60.08</f>
        <v>0.94912785505962716</v>
      </c>
      <c r="EH16" s="19">
        <f>H16/79.9</f>
        <v>7.7985732516597864E-3</v>
      </c>
      <c r="EI16" s="19">
        <f>I16/101.96</f>
        <v>0.16018928102812771</v>
      </c>
      <c r="EJ16" s="19">
        <f>J16/71.85</f>
        <v>6.0706195021638001E-2</v>
      </c>
      <c r="EK16" s="19">
        <f>K16/70.94</f>
        <v>1.463927234062715E-3</v>
      </c>
      <c r="EL16" s="19">
        <f>L16/40.3</f>
        <v>0.10401489125292011</v>
      </c>
      <c r="EM16" s="19">
        <f>M16/56.08</f>
        <v>0.12390477511069918</v>
      </c>
      <c r="EN16" s="19">
        <f>N16/61.98</f>
        <v>5.8035171197360125E-2</v>
      </c>
      <c r="EO16" s="19">
        <f>O16/94.2</f>
        <v>9.5211782526311885E-3</v>
      </c>
      <c r="EP16" s="19">
        <f t="shared" ref="EP16:EP25" si="5">SUM(EG16:EO16)</f>
        <v>1.4747618474087261</v>
      </c>
      <c r="EQ16" s="19">
        <f>EG16/$EP16</f>
        <v>0.64358042400359106</v>
      </c>
      <c r="ER16" s="19">
        <f t="shared" ref="ER16:EY25" si="6">EH16/$EP16</f>
        <v>5.2880221070015472E-3</v>
      </c>
      <c r="ES16" s="19">
        <f t="shared" si="6"/>
        <v>0.10862044018130319</v>
      </c>
      <c r="ET16" s="19">
        <f t="shared" si="6"/>
        <v>4.1163388602914845E-2</v>
      </c>
      <c r="EU16" s="19">
        <f t="shared" si="6"/>
        <v>9.9265331323491438E-4</v>
      </c>
      <c r="EV16" s="19">
        <f t="shared" si="6"/>
        <v>7.0529958064539405E-2</v>
      </c>
      <c r="EW16" s="19">
        <f t="shared" si="6"/>
        <v>8.4016802664382551E-2</v>
      </c>
      <c r="EX16" s="19">
        <f t="shared" si="6"/>
        <v>3.9352232565096894E-2</v>
      </c>
      <c r="EY16" s="19">
        <f t="shared" si="6"/>
        <v>6.4560784979355527E-3</v>
      </c>
      <c r="EZ16" s="19">
        <f t="shared" ref="EZ16:EZ25" si="7">SUM(EQ16:EY16)</f>
        <v>0.99999999999999989</v>
      </c>
    </row>
    <row r="17" spans="1:156" ht="16.2">
      <c r="A17" s="19" t="s">
        <v>217</v>
      </c>
      <c r="B17" s="19" t="s">
        <v>220</v>
      </c>
      <c r="C17" s="185">
        <v>0.20000000298023199</v>
      </c>
      <c r="D17" s="177">
        <f t="shared" ref="D17:D25" si="8">AZ17</f>
        <v>951.5152935771473</v>
      </c>
      <c r="F17" s="179">
        <f t="shared" ref="F17:F25" si="9">5.5976-24505/(D17+273.15)+0.8099*LOG(D17+273.15)+0.0937*(C17*10*1000-1)/(273.15+D17)+$F$14</f>
        <v>-11.758018642305915</v>
      </c>
      <c r="G17" s="185">
        <v>57.658599853515597</v>
      </c>
      <c r="H17" s="185">
        <v>0.65415000915527299</v>
      </c>
      <c r="I17" s="185">
        <v>17.194799423217798</v>
      </c>
      <c r="J17" s="185">
        <v>3.90620994567871</v>
      </c>
      <c r="K17" s="185">
        <v>8.4104999899864197E-2</v>
      </c>
      <c r="L17" s="185">
        <v>2.8689200878143302</v>
      </c>
      <c r="M17" s="185">
        <v>5.9153800010681197</v>
      </c>
      <c r="N17" s="185">
        <v>3.8594799041747998</v>
      </c>
      <c r="O17" s="185">
        <v>1.01859998703003</v>
      </c>
      <c r="P17" s="185">
        <v>0</v>
      </c>
      <c r="Q17" s="185">
        <v>0.21493500471115101</v>
      </c>
      <c r="R17" s="185">
        <v>6.5500001907348597</v>
      </c>
      <c r="S17" s="19">
        <f t="shared" ref="S17:S25" si="10">SUM(G17:Q17)</f>
        <v>93.375179216265678</v>
      </c>
      <c r="U17" s="40">
        <f t="shared" ref="U17:U25" si="11">26.3*L17+994.4</f>
        <v>1069.8525983095169</v>
      </c>
      <c r="V17" s="40">
        <f t="shared" ref="V17:V25" si="12">754+190.6*AO17/100+25.52*L17+9.585*J17+14.87*(N17+O17)-9.176*R17</f>
        <v>985.15917070420483</v>
      </c>
      <c r="W17" s="40">
        <f t="shared" ref="W17:W25" si="13">815.3+265.5*AO17/100+15.37*L17+8.61*J17+6.646*(N17+O17)+39.16*C17-12.83*R17</f>
        <v>999.77990011520455</v>
      </c>
      <c r="X17" s="40">
        <f t="shared" ref="X16:X25" si="14">-583+3141*EQ17+15779*ES17+1338.6*EV17-31440*(EQ17*ES17)+77.67*C17</f>
        <v>987.20183441887127</v>
      </c>
      <c r="Y17" s="40">
        <f t="shared" ref="Y17:Y25" si="15">20.1*L17+1014</f>
        <v>1071.6652937650681</v>
      </c>
      <c r="Z17" s="40">
        <f t="shared" ref="Z17:Z25" si="16">16.6*M17+968</f>
        <v>1066.1953080177309</v>
      </c>
      <c r="AB17" s="39">
        <v>41.3</v>
      </c>
      <c r="AC17" s="39">
        <v>0.03</v>
      </c>
      <c r="AD17" s="39">
        <v>0.11</v>
      </c>
      <c r="AE17" s="39">
        <v>9.59</v>
      </c>
      <c r="AF17" s="39">
        <v>0.14000000000000001</v>
      </c>
      <c r="AG17" s="39">
        <v>50.2</v>
      </c>
      <c r="AH17" s="39">
        <v>0.31</v>
      </c>
      <c r="AI17" s="39">
        <v>0</v>
      </c>
      <c r="AJ17" s="39">
        <v>0</v>
      </c>
      <c r="AK17" s="39">
        <v>0</v>
      </c>
      <c r="AL17" s="39">
        <v>0</v>
      </c>
      <c r="AM17" s="39">
        <v>0</v>
      </c>
      <c r="AO17" s="41">
        <f t="shared" ref="AO17:AO25" si="17">100*(L17/40.3)/(L17/40.3+J17/71.85)</f>
        <v>56.699402676715607</v>
      </c>
      <c r="AP17" s="41">
        <f t="shared" ref="AP17:AP25" si="18">100*CH17/(CH17+CF17)</f>
        <v>90.320293557587803</v>
      </c>
      <c r="AQ17" s="44"/>
      <c r="AR17" s="42">
        <f t="shared" si="0"/>
        <v>0.14030648993237682</v>
      </c>
      <c r="AS17" s="181">
        <f t="shared" ref="AS17:AS25" si="19">0.0583+0.00252*G17+0.028*C17-0.0091*(N17+O17)-0.013383*F17</f>
        <v>0.32216670819432192</v>
      </c>
      <c r="AT17" s="187">
        <f t="shared" ref="AT17:AT25" si="20">CR17/BX17</f>
        <v>14.186776752571873</v>
      </c>
      <c r="AU17" s="186">
        <f t="shared" ref="AU17:AU25" si="21">(0.666-(-0.049*BW17+0.027*BV17))/(1*BX17+0.259*BW17+0.299*BV17)</f>
        <v>12.761899841453021</v>
      </c>
      <c r="AV17" s="187">
        <f t="shared" ref="AV17:AV25" si="22">(DA17/DC17)-273.15</f>
        <v>1056.6437633836513</v>
      </c>
      <c r="AW17" s="187">
        <f t="shared" ref="AW17:AW25" si="23">(DJ17-273.15)+54*DM17+2*DM17^2</f>
        <v>1057.9334483659231</v>
      </c>
      <c r="AX17" s="186">
        <f t="shared" ref="AX17:AX25" si="24">(DA17/DB17)-273.15</f>
        <v>1084.5379848592338</v>
      </c>
      <c r="AY17" s="186">
        <f t="shared" ref="AY17:AY25" si="25">(DH17-273.15)+54*DM17+2*DM17^2</f>
        <v>1085.6265000187509</v>
      </c>
      <c r="AZ17" s="186">
        <f t="shared" ref="AZ17:AZ25" si="26">(15294.6+1318.8*DM17+2.4834*DM17^2)/(8.048+2.8352*LN(DX17)+2.097*LN(1.5*DP17)+2.575*LN(3*DQ17)-1.41*DO17+0.222*R17+0.5*DM17)</f>
        <v>951.5152935771473</v>
      </c>
      <c r="BA17" s="186">
        <f t="shared" ref="BA17:BA25" si="27">1/((LN(AT17)+2.158-5.115*10^-2*(N17+O17)+6.213*10^-2*R17)/(55.09*C17+4430))</f>
        <v>893.97005705727884</v>
      </c>
      <c r="BB17" s="186">
        <f t="shared" ref="BB17:BB25" si="28">ED17</f>
        <v>965.90320013077269</v>
      </c>
      <c r="BC17" s="19">
        <f t="shared" ref="BC17:BC25" si="29">((13603+(4.943*10^-7)*(C17-10^-5))/(6.26+2*LN(AU17)+2*LN(1.5*CV17)+2*LN(3*CW17)-CX17))-273.15</f>
        <v>1074.7856492695705</v>
      </c>
      <c r="BD17" s="19">
        <f t="shared" ref="BD17:BD25" si="30">((13603+(4.943*10^-7)*(C17-10^-5))/(6.26+2*LN(AT17)+2*LN(1.5*CV17)+2*LN(3*CW17)-CX17))-273.15</f>
        <v>1047.0911932799968</v>
      </c>
      <c r="BE17" s="19">
        <f t="shared" ref="BE17:BE25" si="31">1/((LN(AU17)+2.158-5.115*10^-2*(N17+O17)+6.213*10^-2*R17)/(55.09*C17+4430))</f>
        <v>913.43225498173422</v>
      </c>
      <c r="BF17" s="207">
        <f t="shared" ref="BF17:BF25" si="32">(15294.6+1318.8*DM17+2.4834*DM17^2)/(8.048+2.8352*LN(AU17)+2.097*LN(1.5*DP17)+2.575*LN(3*DQ17)-1.41*DO17+0.222*R17+0.5*DM17)</f>
        <v>969.30498574021021</v>
      </c>
      <c r="BG17" s="19" t="s">
        <v>67</v>
      </c>
      <c r="BI17" s="19">
        <f t="shared" ref="BI17:BI25" si="33">G17/60.0843</f>
        <v>0.95962838634244885</v>
      </c>
      <c r="BJ17" s="19">
        <f t="shared" ref="BJ17:BJ25" si="34">H17/79.8788</f>
        <v>8.1892818764837862E-3</v>
      </c>
      <c r="BK17" s="19">
        <f t="shared" ref="BK17:BK25" si="35">I17*2/101.961</f>
        <v>0.33728189058988828</v>
      </c>
      <c r="BL17" s="19">
        <f t="shared" ref="BL17:BL25" si="36">J17/71.844</f>
        <v>5.4370719137001144E-2</v>
      </c>
      <c r="BM17" s="19">
        <f t="shared" ref="BM17:BM25" si="37">K17/70.9375</f>
        <v>1.1856211439628434E-3</v>
      </c>
      <c r="BN17" s="19">
        <f t="shared" ref="BN17:BN25" si="38">L17/40.3044</f>
        <v>7.1181312407933878E-2</v>
      </c>
      <c r="BO17" s="19">
        <f t="shared" ref="BO17:BO25" si="39">M17/56.0774</f>
        <v>0.10548598902709683</v>
      </c>
      <c r="BP17" s="19">
        <f t="shared" ref="BP17:BP25" si="40">N17*2/61.9789</f>
        <v>0.12454173611260605</v>
      </c>
      <c r="BQ17" s="19">
        <f t="shared" ref="BQ17:BQ25" si="41">O17*2/94.196</f>
        <v>2.1627245042889931E-2</v>
      </c>
      <c r="BR17" s="19">
        <f t="shared" ref="BR17:BR25" si="42">SUM(BI17:BQ17)</f>
        <v>1.6834921816803115</v>
      </c>
      <c r="BS17" s="19">
        <f t="shared" si="1"/>
        <v>0.57002247874096656</v>
      </c>
      <c r="BT17" s="19">
        <f t="shared" si="1"/>
        <v>4.8644608900470076E-3</v>
      </c>
      <c r="BU17" s="19">
        <f t="shared" si="1"/>
        <v>0.20034657378286344</v>
      </c>
      <c r="BV17" s="184">
        <f t="shared" si="1"/>
        <v>3.2296389450845654E-2</v>
      </c>
      <c r="BW17" s="19">
        <f t="shared" si="1"/>
        <v>7.0426293443160651E-4</v>
      </c>
      <c r="BX17" s="184">
        <f t="shared" si="1"/>
        <v>4.2281938213034678E-2</v>
      </c>
      <c r="BY17" s="19">
        <f t="shared" si="1"/>
        <v>6.2659031134798704E-2</v>
      </c>
      <c r="BZ17" s="19">
        <f t="shared" si="1"/>
        <v>7.3978208789956854E-2</v>
      </c>
      <c r="CA17" s="19">
        <f t="shared" si="1"/>
        <v>1.2846656063055515E-2</v>
      </c>
      <c r="CB17" s="19">
        <f t="shared" ref="CB17:CB25" si="43">SUM(BS17:CA17)</f>
        <v>1</v>
      </c>
      <c r="CC17" s="19">
        <f t="shared" ref="CC17:CC25" si="44">AB17/60.0843</f>
        <v>0.68736758188079083</v>
      </c>
      <c r="CD17" s="19">
        <f t="shared" ref="CD17:CD25" si="45">AC17/79.8788</f>
        <v>3.755689870153282E-4</v>
      </c>
      <c r="CE17" s="19">
        <f t="shared" ref="CE17:CE25" si="46">AD17*2/101.961</f>
        <v>2.1576877433528508E-3</v>
      </c>
      <c r="CF17" s="19">
        <f t="shared" ref="CF17:CF25" si="47">AE17/71.844</f>
        <v>0.13348365903902901</v>
      </c>
      <c r="CG17" s="19">
        <f t="shared" ref="CG17:CG25" si="48">AF17/70.9375</f>
        <v>1.9735682819383262E-3</v>
      </c>
      <c r="CH17" s="19">
        <f t="shared" ref="CH17:CH25" si="49">AG17/40.3044</f>
        <v>1.2455215807703377</v>
      </c>
      <c r="CI17" s="19">
        <f t="shared" ref="CI17:CI25" si="50">AH17/56.0774</f>
        <v>5.5280736981386447E-3</v>
      </c>
      <c r="CJ17" s="19">
        <f t="shared" ref="CJ17:CJ25" si="51">2*AI17/61.98</f>
        <v>0</v>
      </c>
      <c r="CK17" s="19">
        <f t="shared" ref="CK17:CK25" si="52">2*AJ17/94.2</f>
        <v>0</v>
      </c>
      <c r="CL17" s="19">
        <f t="shared" ref="CL17:CL25" si="53">SUM(CC17:CK17)</f>
        <v>2.0764077204006028</v>
      </c>
      <c r="CM17" s="19">
        <f t="shared" si="2"/>
        <v>0.33103690336316827</v>
      </c>
      <c r="CN17" s="19">
        <f t="shared" si="2"/>
        <v>1.8087439346587932E-4</v>
      </c>
      <c r="CO17" s="19">
        <f t="shared" si="2"/>
        <v>1.0391445389812779E-3</v>
      </c>
      <c r="CP17" s="19">
        <f t="shared" si="2"/>
        <v>6.4285861455608495E-2</v>
      </c>
      <c r="CQ17" s="19">
        <f t="shared" si="2"/>
        <v>9.5047242530843805E-4</v>
      </c>
      <c r="CR17" s="19">
        <f t="shared" si="2"/>
        <v>0.59984441809436073</v>
      </c>
      <c r="CS17" s="19">
        <f t="shared" si="2"/>
        <v>2.6623257291068583E-3</v>
      </c>
      <c r="CT17" s="19">
        <f t="shared" si="2"/>
        <v>0</v>
      </c>
      <c r="CU17" s="19">
        <f t="shared" si="2"/>
        <v>0</v>
      </c>
      <c r="CV17" s="19">
        <f>BX17+BV17+BY17+BW17</f>
        <v>0.13794162173311064</v>
      </c>
      <c r="CW17" s="19">
        <f t="shared" ref="CW17:CW25" si="54">BS17</f>
        <v>0.57002247874096656</v>
      </c>
      <c r="CX17" s="19">
        <f t="shared" ref="CX17:CX25" si="55">(7/2)*LN(1-BU17)+7*LN(1-BT17)</f>
        <v>-0.8166533346573579</v>
      </c>
      <c r="DA17" s="19">
        <f t="shared" ref="DA17:DA25" si="56">113.1*1000/8.3144+(DM17*10^9-10^5)*4.11*(10^-6)/8.3144</f>
        <v>13701.720991562681</v>
      </c>
      <c r="DB17" s="19">
        <f t="shared" ref="DB17:DB25" si="57">52.05/8.3144+2*LN(AU17)+2*LN(1.5*CV17)+2*LN(3*CW17)-CX17</f>
        <v>10.091951276259755</v>
      </c>
      <c r="DC17" s="19">
        <f t="shared" ref="DC17:DC25" si="58">52.05/8.3144+2*LN(AT17)+2*LN(1.5*CV17)+2*LN(3*CW17)-CX17</f>
        <v>10.303643594100445</v>
      </c>
      <c r="DD17" s="19">
        <f t="shared" ref="DD17:DD25" si="59">DA17/DB17</f>
        <v>1357.6879848592339</v>
      </c>
      <c r="DF17" s="19">
        <f t="shared" ref="DF17:DF25" si="60">113.1*1000/8.3144+(0.0001*10^9-10^5)*4.11*(10^-6)/8.3144</f>
        <v>13602.905801982104</v>
      </c>
      <c r="DG17" s="19">
        <f t="shared" ref="DG17:DG25" si="61">52.05/8.3144+2*LN(AU17)+2*LN(1.5*CV17)+2*LN(3*CW17)-CX17</f>
        <v>10.091951276259755</v>
      </c>
      <c r="DH17" s="19">
        <f t="shared" ref="DH17:DH25" si="62">DF17/DG17</f>
        <v>1347.8964998554341</v>
      </c>
      <c r="DI17" s="19">
        <f t="shared" ref="DI17:DI25" si="63">52.05/8.3144+2*LN(AT17)+2*LN(1.5*CV17)+2*LN(3*CW17)-CX17</f>
        <v>10.303643594100445</v>
      </c>
      <c r="DJ17" s="19">
        <f t="shared" ref="DJ17:DJ24" si="64">DF17/DI17</f>
        <v>1320.2034482026065</v>
      </c>
      <c r="DL17" s="19">
        <v>1330</v>
      </c>
      <c r="DM17" s="19">
        <f t="shared" ref="DM17:DM25" si="65">C17</f>
        <v>0.20000000298023199</v>
      </c>
      <c r="DN17" s="19">
        <f t="shared" ref="DN17:DN25" si="66">IF(AR17&gt;0,1,0)</f>
        <v>1</v>
      </c>
      <c r="DO17" s="19">
        <f t="shared" ref="DO17:DO25" si="67">(7/2)*LN(1-BU17)+7*LN(1-BT17)</f>
        <v>-0.8166533346573579</v>
      </c>
      <c r="DP17" s="19">
        <f t="shared" ref="DP17:DP25" si="68">BX17+BV17+BW17+BY17</f>
        <v>0.13794162173311064</v>
      </c>
      <c r="DQ17" s="19">
        <f t="shared" ref="DQ17:DQ25" si="69">BS17</f>
        <v>0.57002247874096656</v>
      </c>
      <c r="DR17" s="19">
        <f t="shared" ref="DR17:DR25" si="70">(0.666-(-0.049*BW17+0.027*BV17))/(BX17+0.259*BW17+0.299*BV17)</f>
        <v>12.761899841453021</v>
      </c>
      <c r="DS17" s="19">
        <f t="shared" ref="DS17:DS25" si="71">13603+4.943*10^-7*(C17*10^9-10^-5)</f>
        <v>13701.860001473124</v>
      </c>
      <c r="DT17" s="19">
        <f t="shared" ref="DT17:DT25" si="72">6.26+2*LN(DR17)+2*LN(1.5*DP17)+2*LN(3*DQ17)-DO17</f>
        <v>10.091728049087619</v>
      </c>
      <c r="DU17" s="19">
        <f t="shared" ref="DU17:DU25" si="73">(DS17/DT17)-273.15</f>
        <v>1084.5817913072274</v>
      </c>
      <c r="DV17" s="19">
        <f t="shared" ref="DV17:DV25" si="74">(13603+4.943*10^-7*(0.0001*10^9-10^-5))/(6.26+2*LN(DR17)+2*LN(1.5*DP17)+2*LN(3*DQ17)-DO17)-273.15</f>
        <v>1074.7905473307251</v>
      </c>
      <c r="DW17" s="19">
        <f t="shared" si="3"/>
        <v>1085.5105474892734</v>
      </c>
      <c r="DX17" s="25">
        <f t="shared" ref="DX17:DX25" si="75">CR17/BX17</f>
        <v>14.186776752571873</v>
      </c>
      <c r="DY17" s="19">
        <f t="shared" si="4"/>
        <v>4.967748041565148</v>
      </c>
      <c r="DZ17" s="19">
        <f t="shared" ref="DZ17:DZ25" si="76">55.09*DM17+4430</f>
        <v>4441.0180001641811</v>
      </c>
      <c r="EA17" s="19">
        <f t="shared" ref="EA17:EA25" si="77">DZ17/DY17</f>
        <v>893.97005705727895</v>
      </c>
      <c r="EC17" s="19">
        <f t="shared" ref="EC17:EC25" si="78">CR17/(BX17*BS17^0.5)</f>
        <v>18.790474340677243</v>
      </c>
      <c r="ED17" s="19">
        <f>(4129+0.0146*(C17*10*1000-1))/(LOG(EC17)+2.082)-273.15</f>
        <v>965.90320013077269</v>
      </c>
      <c r="EE17" s="19">
        <f t="shared" ref="EE17:EE25" si="79">DL17</f>
        <v>1330</v>
      </c>
      <c r="EG17" s="19">
        <f t="shared" ref="EG17:EG25" si="80">G17/60.08</f>
        <v>0.95969706813441413</v>
      </c>
      <c r="EH17" s="19">
        <f t="shared" ref="EH17:EH25" si="81">H17/79.9</f>
        <v>8.1871090006917762E-3</v>
      </c>
      <c r="EI17" s="19">
        <f t="shared" ref="EI17:EI25" si="82">I17/101.96</f>
        <v>0.16864259928616909</v>
      </c>
      <c r="EJ17" s="19">
        <f t="shared" ref="EJ17:EJ25" si="83">J17/71.85</f>
        <v>5.4366178784672377E-2</v>
      </c>
      <c r="EK17" s="19">
        <f t="shared" ref="EK17:EK25" si="84">K17/70.94</f>
        <v>1.1855793614302819E-3</v>
      </c>
      <c r="EL17" s="19">
        <f t="shared" ref="EL17:EL25" si="85">L17/40.3</f>
        <v>7.1189084064871719E-2</v>
      </c>
      <c r="EM17" s="19">
        <f t="shared" ref="EM17:EM25" si="86">M17/56.08</f>
        <v>0.10548109844985948</v>
      </c>
      <c r="EN17" s="19">
        <f t="shared" ref="EN17:EN25" si="87">N17/61.98</f>
        <v>6.2269762894075507E-2</v>
      </c>
      <c r="EO17" s="19">
        <f t="shared" ref="EO17:EO25" si="88">O17/94.2</f>
        <v>1.0813163344267834E-2</v>
      </c>
      <c r="EP17" s="19">
        <f t="shared" si="5"/>
        <v>1.4418316433204523</v>
      </c>
      <c r="EQ17" s="19">
        <f t="shared" ref="EQ17:EQ25" si="89">EG17/$EP17</f>
        <v>0.66560965878394029</v>
      </c>
      <c r="ER17" s="19">
        <f t="shared" si="6"/>
        <v>5.6782697471095527E-3</v>
      </c>
      <c r="ES17" s="19">
        <f t="shared" si="6"/>
        <v>0.11696414076319982</v>
      </c>
      <c r="ET17" s="19">
        <f t="shared" si="6"/>
        <v>3.7706329332230712E-2</v>
      </c>
      <c r="EU17" s="19">
        <f t="shared" si="6"/>
        <v>8.2227309056691485E-4</v>
      </c>
      <c r="EV17" s="19">
        <f t="shared" si="6"/>
        <v>4.9374061385507879E-2</v>
      </c>
      <c r="EW17" s="19">
        <f t="shared" si="6"/>
        <v>7.3157708071202268E-2</v>
      </c>
      <c r="EX17" s="19">
        <f t="shared" si="6"/>
        <v>4.3187956917544103E-2</v>
      </c>
      <c r="EY17" s="19">
        <f t="shared" si="6"/>
        <v>7.4996019086984132E-3</v>
      </c>
      <c r="EZ17" s="19">
        <f t="shared" si="7"/>
        <v>0.99999999999999989</v>
      </c>
    </row>
    <row r="18" spans="1:156" ht="16.2">
      <c r="A18" s="19" t="s">
        <v>217</v>
      </c>
      <c r="B18" s="19" t="s">
        <v>68</v>
      </c>
      <c r="C18" s="185">
        <v>0.20000000298023199</v>
      </c>
      <c r="D18" s="177">
        <f t="shared" si="8"/>
        <v>997.05414648268857</v>
      </c>
      <c r="F18" s="179">
        <f t="shared" si="9"/>
        <v>-11.033285722063647</v>
      </c>
      <c r="G18" s="185">
        <v>60.731201171875</v>
      </c>
      <c r="H18" s="185">
        <v>0.86205399036407504</v>
      </c>
      <c r="I18" s="185">
        <v>17.144199371337901</v>
      </c>
      <c r="J18" s="185">
        <v>4.0778098106384304</v>
      </c>
      <c r="K18" s="185">
        <v>7.7487997710704803E-2</v>
      </c>
      <c r="L18" s="185">
        <v>2.5086700916290301</v>
      </c>
      <c r="M18" s="185">
        <v>5.2207498550415004</v>
      </c>
      <c r="N18" s="185">
        <v>4.4555602073669398</v>
      </c>
      <c r="O18" s="185">
        <v>1.4141600131988501</v>
      </c>
      <c r="P18" s="185">
        <v>0</v>
      </c>
      <c r="Q18" s="185">
        <v>0.31963801383972201</v>
      </c>
      <c r="R18" s="185">
        <v>3.1400001049041801</v>
      </c>
      <c r="S18" s="19">
        <f t="shared" si="10"/>
        <v>96.811530523002162</v>
      </c>
      <c r="U18" s="40">
        <f t="shared" si="11"/>
        <v>1060.3780234098435</v>
      </c>
      <c r="V18" s="40">
        <f t="shared" si="12"/>
        <v>1015.2779369354315</v>
      </c>
      <c r="W18" s="40">
        <f t="shared" si="13"/>
        <v>1034.4043004478995</v>
      </c>
      <c r="X18" s="40">
        <f t="shared" si="14"/>
        <v>992.92499135700507</v>
      </c>
      <c r="Y18" s="40">
        <f t="shared" si="15"/>
        <v>1064.4242688417435</v>
      </c>
      <c r="Z18" s="40">
        <f t="shared" si="16"/>
        <v>1054.6644475936889</v>
      </c>
      <c r="AB18" s="39">
        <v>39.700000000000003</v>
      </c>
      <c r="AC18" s="39">
        <v>0.05</v>
      </c>
      <c r="AD18" s="39">
        <v>0.11</v>
      </c>
      <c r="AE18" s="39">
        <v>15.6</v>
      </c>
      <c r="AF18" s="39">
        <v>0.18</v>
      </c>
      <c r="AG18" s="39">
        <v>44.5</v>
      </c>
      <c r="AH18" s="39">
        <v>0.31</v>
      </c>
      <c r="AI18" s="39">
        <v>0</v>
      </c>
      <c r="AJ18" s="39">
        <v>0</v>
      </c>
      <c r="AK18" s="39">
        <v>0.03</v>
      </c>
      <c r="AL18" s="39">
        <v>0</v>
      </c>
      <c r="AM18" s="39">
        <v>0</v>
      </c>
      <c r="AO18" s="41">
        <f t="shared" si="17"/>
        <v>52.308903696157898</v>
      </c>
      <c r="AP18" s="41">
        <f t="shared" si="18"/>
        <v>83.565592849721227</v>
      </c>
      <c r="AQ18" s="44"/>
      <c r="AR18" s="42">
        <f t="shared" si="0"/>
        <v>0.21566574659657539</v>
      </c>
      <c r="AS18" s="181">
        <f t="shared" si="19"/>
        <v>0.3111866358478006</v>
      </c>
      <c r="AT18" s="187">
        <f t="shared" si="20"/>
        <v>15.531181776778229</v>
      </c>
      <c r="AU18" s="186">
        <f t="shared" si="21"/>
        <v>14.599131212828674</v>
      </c>
      <c r="AV18" s="187">
        <f t="shared" si="22"/>
        <v>1063.5368307437802</v>
      </c>
      <c r="AW18" s="187">
        <f t="shared" si="23"/>
        <v>1064.776803740353</v>
      </c>
      <c r="AX18" s="186">
        <f t="shared" si="24"/>
        <v>1079.874671995467</v>
      </c>
      <c r="AY18" s="186">
        <f t="shared" si="25"/>
        <v>1080.9968184152458</v>
      </c>
      <c r="AZ18" s="186">
        <f t="shared" si="26"/>
        <v>997.05414648268857</v>
      </c>
      <c r="BA18" s="186">
        <f t="shared" si="27"/>
        <v>926.0413248439595</v>
      </c>
      <c r="BB18" s="186">
        <f t="shared" si="28"/>
        <v>952.81781490959008</v>
      </c>
      <c r="BC18" s="19">
        <f t="shared" si="29"/>
        <v>1070.1557311388674</v>
      </c>
      <c r="BD18" s="19">
        <f t="shared" si="30"/>
        <v>1053.9348933448223</v>
      </c>
      <c r="BE18" s="19">
        <f t="shared" si="31"/>
        <v>938.14796363326047</v>
      </c>
      <c r="BF18" s="207">
        <f t="shared" si="32"/>
        <v>1008.3930249020459</v>
      </c>
      <c r="BG18" s="19" t="s">
        <v>69</v>
      </c>
      <c r="BI18" s="19">
        <f t="shared" si="33"/>
        <v>1.0107665591822657</v>
      </c>
      <c r="BJ18" s="19">
        <f t="shared" si="34"/>
        <v>1.0792024797118573E-2</v>
      </c>
      <c r="BK18" s="19">
        <f t="shared" si="35"/>
        <v>0.33628935321030395</v>
      </c>
      <c r="BL18" s="19">
        <f t="shared" si="36"/>
        <v>5.6759225692311545E-2</v>
      </c>
      <c r="BM18" s="19">
        <f t="shared" si="37"/>
        <v>1.0923418179482616E-3</v>
      </c>
      <c r="BN18" s="19">
        <f t="shared" si="38"/>
        <v>6.2243082433407516E-2</v>
      </c>
      <c r="BO18" s="19">
        <f t="shared" si="39"/>
        <v>9.3098999865213097E-2</v>
      </c>
      <c r="BP18" s="19">
        <f t="shared" si="40"/>
        <v>0.14377667907519945</v>
      </c>
      <c r="BQ18" s="19">
        <f t="shared" si="41"/>
        <v>3.0025903715632303E-2</v>
      </c>
      <c r="BR18" s="19">
        <f t="shared" si="42"/>
        <v>1.7448441697894004</v>
      </c>
      <c r="BS18" s="19">
        <f t="shared" si="1"/>
        <v>0.57928758148314374</v>
      </c>
      <c r="BT18" s="19">
        <f t="shared" si="1"/>
        <v>6.185093765949971E-3</v>
      </c>
      <c r="BU18" s="19">
        <f t="shared" si="1"/>
        <v>0.19273317298638393</v>
      </c>
      <c r="BV18" s="184">
        <f t="shared" si="1"/>
        <v>3.2529681833514269E-2</v>
      </c>
      <c r="BW18" s="19">
        <f t="shared" si="1"/>
        <v>6.2603975579097429E-4</v>
      </c>
      <c r="BX18" s="184">
        <f t="shared" si="1"/>
        <v>3.5672573809797666E-2</v>
      </c>
      <c r="BY18" s="19">
        <f t="shared" si="1"/>
        <v>5.3356627186054092E-2</v>
      </c>
      <c r="BZ18" s="19">
        <f t="shared" si="1"/>
        <v>8.2400870842553833E-2</v>
      </c>
      <c r="CA18" s="19">
        <f t="shared" si="1"/>
        <v>1.7208358336811464E-2</v>
      </c>
      <c r="CB18" s="19">
        <f t="shared" si="43"/>
        <v>1</v>
      </c>
      <c r="CC18" s="19">
        <f t="shared" si="44"/>
        <v>0.66073832931398058</v>
      </c>
      <c r="CD18" s="19">
        <f t="shared" si="45"/>
        <v>6.2594831169221379E-4</v>
      </c>
      <c r="CE18" s="19">
        <f t="shared" si="46"/>
        <v>2.1576877433528508E-3</v>
      </c>
      <c r="CF18" s="19">
        <f t="shared" si="47"/>
        <v>0.21713713044930685</v>
      </c>
      <c r="CG18" s="19">
        <f t="shared" si="48"/>
        <v>2.5374449339207049E-3</v>
      </c>
      <c r="CH18" s="19">
        <f t="shared" si="49"/>
        <v>1.104097815623108</v>
      </c>
      <c r="CI18" s="19">
        <f t="shared" si="50"/>
        <v>5.5280736981386447E-3</v>
      </c>
      <c r="CJ18" s="19">
        <f t="shared" si="51"/>
        <v>0</v>
      </c>
      <c r="CK18" s="19">
        <f t="shared" si="52"/>
        <v>0</v>
      </c>
      <c r="CL18" s="19">
        <f t="shared" si="53"/>
        <v>1.9928224300734998</v>
      </c>
      <c r="CM18" s="19">
        <f t="shared" si="2"/>
        <v>0.33155905882171904</v>
      </c>
      <c r="CN18" s="19">
        <f t="shared" si="2"/>
        <v>3.1410139822097817E-4</v>
      </c>
      <c r="CO18" s="19">
        <f t="shared" si="2"/>
        <v>1.0827295552234778E-3</v>
      </c>
      <c r="CP18" s="19">
        <f t="shared" si="2"/>
        <v>0.10895959779080686</v>
      </c>
      <c r="CQ18" s="19">
        <f t="shared" si="2"/>
        <v>1.273292038281162E-3</v>
      </c>
      <c r="CR18" s="19">
        <f t="shared" si="2"/>
        <v>0.55403722828550583</v>
      </c>
      <c r="CS18" s="19">
        <f t="shared" si="2"/>
        <v>2.7739921102427358E-3</v>
      </c>
      <c r="CT18" s="19">
        <f t="shared" si="2"/>
        <v>0</v>
      </c>
      <c r="CU18" s="19">
        <f t="shared" si="2"/>
        <v>0</v>
      </c>
      <c r="CV18" s="19">
        <f t="shared" ref="CV18:CV25" si="90">BX18+BV18+BY18+BW18</f>
        <v>0.12218492258515701</v>
      </c>
      <c r="CW18" s="19">
        <f t="shared" si="54"/>
        <v>0.57928758148314374</v>
      </c>
      <c r="CX18" s="19">
        <f t="shared" si="55"/>
        <v>-0.79278369133178894</v>
      </c>
      <c r="DA18" s="19">
        <f t="shared" si="56"/>
        <v>13701.720991562681</v>
      </c>
      <c r="DB18" s="19">
        <f t="shared" si="57"/>
        <v>10.126734031653037</v>
      </c>
      <c r="DC18" s="19">
        <f t="shared" si="58"/>
        <v>10.250509450997251</v>
      </c>
      <c r="DD18" s="19">
        <f t="shared" si="59"/>
        <v>1353.0246719954669</v>
      </c>
      <c r="DF18" s="19">
        <f t="shared" si="60"/>
        <v>13602.905801982104</v>
      </c>
      <c r="DG18" s="19">
        <f t="shared" si="61"/>
        <v>10.126734031653037</v>
      </c>
      <c r="DH18" s="19">
        <f t="shared" si="62"/>
        <v>1343.266818251929</v>
      </c>
      <c r="DI18" s="19">
        <f t="shared" si="63"/>
        <v>10.250509450997251</v>
      </c>
      <c r="DJ18" s="19">
        <f t="shared" si="64"/>
        <v>1327.0468035770364</v>
      </c>
      <c r="DL18" s="19">
        <v>1325</v>
      </c>
      <c r="DM18" s="19">
        <f t="shared" si="65"/>
        <v>0.20000000298023199</v>
      </c>
      <c r="DN18" s="19">
        <f t="shared" si="66"/>
        <v>1</v>
      </c>
      <c r="DO18" s="19">
        <f t="shared" si="67"/>
        <v>-0.79278369133178894</v>
      </c>
      <c r="DP18" s="19">
        <f t="shared" si="68"/>
        <v>0.12218492258515701</v>
      </c>
      <c r="DQ18" s="19">
        <f t="shared" si="69"/>
        <v>0.57928758148314374</v>
      </c>
      <c r="DR18" s="19">
        <f t="shared" si="70"/>
        <v>14.599131212828674</v>
      </c>
      <c r="DS18" s="19">
        <f t="shared" si="71"/>
        <v>13701.860001473124</v>
      </c>
      <c r="DT18" s="19">
        <f t="shared" si="72"/>
        <v>10.126510804480901</v>
      </c>
      <c r="DU18" s="19">
        <f t="shared" si="73"/>
        <v>1079.9182251788206</v>
      </c>
      <c r="DV18" s="19">
        <f t="shared" si="74"/>
        <v>1070.1606123760571</v>
      </c>
      <c r="DW18" s="19">
        <f t="shared" si="3"/>
        <v>1080.8806125346055</v>
      </c>
      <c r="DX18" s="25">
        <f t="shared" si="75"/>
        <v>15.531181776778229</v>
      </c>
      <c r="DY18" s="19">
        <f t="shared" si="4"/>
        <v>4.7957017478809654</v>
      </c>
      <c r="DZ18" s="19">
        <f t="shared" si="76"/>
        <v>4441.0180001641811</v>
      </c>
      <c r="EA18" s="19">
        <f t="shared" si="77"/>
        <v>926.04132484395939</v>
      </c>
      <c r="EC18" s="19">
        <f t="shared" si="78"/>
        <v>20.405977033078891</v>
      </c>
      <c r="ED18" s="19">
        <f t="shared" ref="ED18:ED25" si="91">(4129+0.0146*(C18*10*1000-1))/(LOG(EC18)+2.082)-273.15</f>
        <v>952.81781490959008</v>
      </c>
      <c r="EE18" s="19">
        <f t="shared" si="79"/>
        <v>1325</v>
      </c>
      <c r="EG18" s="19">
        <f t="shared" si="80"/>
        <v>1.0108389009965879</v>
      </c>
      <c r="EH18" s="19">
        <f t="shared" si="81"/>
        <v>1.0789161331214957E-2</v>
      </c>
      <c r="EI18" s="19">
        <f t="shared" si="82"/>
        <v>0.16814632572908889</v>
      </c>
      <c r="EJ18" s="19">
        <f t="shared" si="83"/>
        <v>5.6754485882232857E-2</v>
      </c>
      <c r="EK18" s="19">
        <f t="shared" si="84"/>
        <v>1.0923033226769778E-3</v>
      </c>
      <c r="EL18" s="19">
        <f t="shared" si="85"/>
        <v>6.2249878204194302E-2</v>
      </c>
      <c r="EM18" s="19">
        <f t="shared" si="86"/>
        <v>9.3094683577772827E-2</v>
      </c>
      <c r="EN18" s="19">
        <f t="shared" si="87"/>
        <v>7.1887063687753147E-2</v>
      </c>
      <c r="EO18" s="19">
        <f t="shared" si="88"/>
        <v>1.5012314365168259E-2</v>
      </c>
      <c r="EP18" s="19">
        <f t="shared" si="5"/>
        <v>1.4898651170966903</v>
      </c>
      <c r="EQ18" s="19">
        <f t="shared" si="89"/>
        <v>0.67847678920519738</v>
      </c>
      <c r="ER18" s="19">
        <f t="shared" si="6"/>
        <v>7.2417034316769992E-3</v>
      </c>
      <c r="ES18" s="19">
        <f t="shared" si="6"/>
        <v>0.11286009974967177</v>
      </c>
      <c r="ET18" s="19">
        <f t="shared" si="6"/>
        <v>3.8093707430932197E-2</v>
      </c>
      <c r="EU18" s="19">
        <f t="shared" si="6"/>
        <v>7.3315584756125857E-4</v>
      </c>
      <c r="EV18" s="19">
        <f t="shared" si="6"/>
        <v>4.1782224101938194E-2</v>
      </c>
      <c r="EW18" s="19">
        <f t="shared" si="6"/>
        <v>6.2485309917979036E-2</v>
      </c>
      <c r="EX18" s="19">
        <f t="shared" si="6"/>
        <v>4.8250719385819249E-2</v>
      </c>
      <c r="EY18" s="19">
        <f t="shared" si="6"/>
        <v>1.0076290929223748E-2</v>
      </c>
      <c r="EZ18" s="19">
        <f t="shared" si="7"/>
        <v>1</v>
      </c>
    </row>
    <row r="19" spans="1:156" ht="16.2">
      <c r="A19" s="19" t="s">
        <v>217</v>
      </c>
      <c r="B19" s="19" t="s">
        <v>70</v>
      </c>
      <c r="C19" s="185">
        <v>0.20000000298023199</v>
      </c>
      <c r="D19" s="177">
        <f t="shared" si="8"/>
        <v>910.03411709901434</v>
      </c>
      <c r="F19" s="179">
        <f t="shared" si="9"/>
        <v>-12.466290270801441</v>
      </c>
      <c r="G19" s="185">
        <v>61.532798767089801</v>
      </c>
      <c r="H19" s="185">
        <v>0.44086000323295599</v>
      </c>
      <c r="I19" s="185">
        <v>16.5088005065918</v>
      </c>
      <c r="J19" s="185">
        <v>3.3299000263214098</v>
      </c>
      <c r="K19" s="185">
        <v>3.7519998848438298E-2</v>
      </c>
      <c r="L19" s="185">
        <v>1.6414999961853001</v>
      </c>
      <c r="M19" s="185">
        <v>4.3429398536682102</v>
      </c>
      <c r="N19" s="185">
        <v>4.4085998535156197</v>
      </c>
      <c r="O19" s="185">
        <v>1.40699994564056</v>
      </c>
      <c r="P19" s="185">
        <v>0</v>
      </c>
      <c r="Q19" s="185">
        <v>0.21573999524116499</v>
      </c>
      <c r="R19" s="185">
        <v>6.1999998092651403</v>
      </c>
      <c r="S19" s="19">
        <f t="shared" si="10"/>
        <v>93.865658946335273</v>
      </c>
      <c r="U19" s="40">
        <f t="shared" si="11"/>
        <v>1037.5714498996733</v>
      </c>
      <c r="V19" s="40">
        <f t="shared" si="12"/>
        <v>946.55172990951564</v>
      </c>
      <c r="W19" s="40">
        <f t="shared" si="13"/>
        <v>960.32946491121197</v>
      </c>
      <c r="X19" s="40">
        <f t="shared" si="14"/>
        <v>966.12455215986745</v>
      </c>
      <c r="Y19" s="40">
        <f t="shared" si="15"/>
        <v>1046.9941499233246</v>
      </c>
      <c r="Z19" s="40">
        <f t="shared" si="16"/>
        <v>1040.0928015708923</v>
      </c>
      <c r="AB19" s="39">
        <v>40.5</v>
      </c>
      <c r="AC19" s="39">
        <v>0.05</v>
      </c>
      <c r="AD19" s="39">
        <v>0.1</v>
      </c>
      <c r="AE19" s="39">
        <v>13.2</v>
      </c>
      <c r="AF19" s="39">
        <v>0.18</v>
      </c>
      <c r="AG19" s="39">
        <v>46.8</v>
      </c>
      <c r="AH19" s="39">
        <v>0.28999999999999998</v>
      </c>
      <c r="AI19" s="39">
        <v>0</v>
      </c>
      <c r="AJ19" s="39">
        <v>0</v>
      </c>
      <c r="AK19" s="39">
        <v>0.02</v>
      </c>
      <c r="AL19" s="39">
        <v>0</v>
      </c>
      <c r="AM19" s="39">
        <v>0</v>
      </c>
      <c r="AO19" s="41">
        <f t="shared" si="17"/>
        <v>46.776908442256399</v>
      </c>
      <c r="AP19" s="41">
        <f t="shared" si="18"/>
        <v>86.338604644971284</v>
      </c>
      <c r="AQ19" s="44"/>
      <c r="AR19" s="42">
        <f t="shared" si="0"/>
        <v>0.13903936296931632</v>
      </c>
      <c r="AS19" s="181">
        <f t="shared" si="19"/>
        <v>0.33287705749832724</v>
      </c>
      <c r="AT19" s="187">
        <f t="shared" si="20"/>
        <v>23.753164664931894</v>
      </c>
      <c r="AU19" s="186">
        <f t="shared" si="21"/>
        <v>20.553363851103502</v>
      </c>
      <c r="AV19" s="187">
        <f t="shared" si="22"/>
        <v>1005.5800259131591</v>
      </c>
      <c r="AW19" s="187">
        <f t="shared" si="23"/>
        <v>1007.2379765243946</v>
      </c>
      <c r="AX19" s="186">
        <f t="shared" si="24"/>
        <v>1041.0732003210401</v>
      </c>
      <c r="AY19" s="186">
        <f t="shared" si="25"/>
        <v>1042.475178360648</v>
      </c>
      <c r="AZ19" s="186">
        <f t="shared" si="26"/>
        <v>910.03411709901434</v>
      </c>
      <c r="BA19" s="186">
        <f t="shared" si="27"/>
        <v>820.36683795304691</v>
      </c>
      <c r="BB19" s="186">
        <f t="shared" si="28"/>
        <v>892.72664264221532</v>
      </c>
      <c r="BC19" s="19">
        <f t="shared" si="29"/>
        <v>1031.6321503206809</v>
      </c>
      <c r="BD19" s="19">
        <f t="shared" si="30"/>
        <v>996.39321584873335</v>
      </c>
      <c r="BE19" s="19">
        <f t="shared" si="31"/>
        <v>842.89581300247107</v>
      </c>
      <c r="BF19" s="207">
        <f t="shared" si="32"/>
        <v>932.40701771358897</v>
      </c>
      <c r="BG19" s="19" t="s">
        <v>69</v>
      </c>
      <c r="BI19" s="19">
        <f t="shared" si="33"/>
        <v>1.0241077746947174</v>
      </c>
      <c r="BJ19" s="19">
        <f t="shared" si="34"/>
        <v>5.5191114943258538E-3</v>
      </c>
      <c r="BK19" s="19">
        <f t="shared" si="35"/>
        <v>0.32382578645936783</v>
      </c>
      <c r="BL19" s="19">
        <f t="shared" si="36"/>
        <v>4.6349034384519379E-2</v>
      </c>
      <c r="BM19" s="19">
        <f t="shared" si="37"/>
        <v>5.2891628332600246E-4</v>
      </c>
      <c r="BN19" s="19">
        <f t="shared" si="38"/>
        <v>4.0727563149068093E-2</v>
      </c>
      <c r="BO19" s="19">
        <f t="shared" si="39"/>
        <v>7.7445456702133306E-2</v>
      </c>
      <c r="BP19" s="19">
        <f t="shared" si="40"/>
        <v>0.1422613132377509</v>
      </c>
      <c r="BQ19" s="19">
        <f t="shared" si="41"/>
        <v>2.9873878840726995E-2</v>
      </c>
      <c r="BR19" s="19">
        <f t="shared" si="42"/>
        <v>1.6906388352459354</v>
      </c>
      <c r="BS19" s="19">
        <f t="shared" si="1"/>
        <v>0.60575195206949184</v>
      </c>
      <c r="BT19" s="19">
        <f t="shared" si="1"/>
        <v>3.2645124311976395E-3</v>
      </c>
      <c r="BU19" s="19">
        <f t="shared" si="1"/>
        <v>0.19154048736391485</v>
      </c>
      <c r="BV19" s="184">
        <f t="shared" si="1"/>
        <v>2.741510097736341E-2</v>
      </c>
      <c r="BW19" s="19">
        <f t="shared" si="1"/>
        <v>3.1284995488055351E-4</v>
      </c>
      <c r="BX19" s="184">
        <f t="shared" si="1"/>
        <v>2.4090043538567772E-2</v>
      </c>
      <c r="BY19" s="19">
        <f t="shared" si="1"/>
        <v>4.5808398037223245E-2</v>
      </c>
      <c r="BZ19" s="19">
        <f t="shared" si="1"/>
        <v>8.4146483726701041E-2</v>
      </c>
      <c r="CA19" s="19">
        <f t="shared" si="1"/>
        <v>1.7670171900659833E-2</v>
      </c>
      <c r="CB19" s="19">
        <f t="shared" si="43"/>
        <v>1.0000000000000002</v>
      </c>
      <c r="CC19" s="19">
        <f t="shared" si="44"/>
        <v>0.67405295559738565</v>
      </c>
      <c r="CD19" s="19">
        <f t="shared" si="45"/>
        <v>6.2594831169221379E-4</v>
      </c>
      <c r="CE19" s="19">
        <f t="shared" si="46"/>
        <v>1.9615343121389553E-3</v>
      </c>
      <c r="CF19" s="19">
        <f t="shared" si="47"/>
        <v>0.18373141807249041</v>
      </c>
      <c r="CG19" s="19">
        <f t="shared" si="48"/>
        <v>2.5374449339207049E-3</v>
      </c>
      <c r="CH19" s="19">
        <f t="shared" si="49"/>
        <v>1.1611635454193585</v>
      </c>
      <c r="CI19" s="19">
        <f t="shared" si="50"/>
        <v>5.1714237821296992E-3</v>
      </c>
      <c r="CJ19" s="19">
        <f t="shared" si="51"/>
        <v>0</v>
      </c>
      <c r="CK19" s="19">
        <f t="shared" si="52"/>
        <v>0</v>
      </c>
      <c r="CL19" s="19">
        <f t="shared" si="53"/>
        <v>2.0292442704291163</v>
      </c>
      <c r="CM19" s="19">
        <f t="shared" si="2"/>
        <v>0.33216945116954616</v>
      </c>
      <c r="CN19" s="19">
        <f t="shared" si="2"/>
        <v>3.084637570812739E-4</v>
      </c>
      <c r="CO19" s="19">
        <f t="shared" si="2"/>
        <v>9.666329188275384E-4</v>
      </c>
      <c r="CP19" s="19">
        <f t="shared" si="2"/>
        <v>9.0541794671982714E-2</v>
      </c>
      <c r="CQ19" s="19">
        <f t="shared" si="2"/>
        <v>1.2504383877768059E-3</v>
      </c>
      <c r="CR19" s="19">
        <f t="shared" si="2"/>
        <v>0.57221477095697892</v>
      </c>
      <c r="CS19" s="19">
        <f t="shared" si="2"/>
        <v>2.5484481378065531E-3</v>
      </c>
      <c r="CT19" s="19">
        <f t="shared" si="2"/>
        <v>0</v>
      </c>
      <c r="CU19" s="19">
        <f t="shared" si="2"/>
        <v>0</v>
      </c>
      <c r="CV19" s="19">
        <f t="shared" si="90"/>
        <v>9.7626392508034981E-2</v>
      </c>
      <c r="CW19" s="19">
        <f t="shared" si="54"/>
        <v>0.60575195206949184</v>
      </c>
      <c r="CX19" s="19">
        <f t="shared" si="55"/>
        <v>-0.76707534227909968</v>
      </c>
      <c r="DA19" s="19">
        <f t="shared" si="56"/>
        <v>13701.720991562681</v>
      </c>
      <c r="DB19" s="19">
        <f t="shared" si="57"/>
        <v>10.425718392595417</v>
      </c>
      <c r="DC19" s="19">
        <f t="shared" si="58"/>
        <v>10.715100696707335</v>
      </c>
      <c r="DD19" s="19">
        <f t="shared" si="59"/>
        <v>1314.2232003210402</v>
      </c>
      <c r="DF19" s="19">
        <f t="shared" si="60"/>
        <v>13602.905801982104</v>
      </c>
      <c r="DG19" s="19">
        <f t="shared" si="61"/>
        <v>10.425718392595417</v>
      </c>
      <c r="DH19" s="19">
        <f t="shared" si="62"/>
        <v>1304.7451781973314</v>
      </c>
      <c r="DI19" s="19">
        <f t="shared" si="63"/>
        <v>10.715100696707335</v>
      </c>
      <c r="DJ19" s="19">
        <f t="shared" si="64"/>
        <v>1269.5079763610779</v>
      </c>
      <c r="DL19" s="19">
        <v>1340</v>
      </c>
      <c r="DM19" s="19">
        <f t="shared" si="65"/>
        <v>0.20000000298023199</v>
      </c>
      <c r="DN19" s="19">
        <f t="shared" si="66"/>
        <v>1</v>
      </c>
      <c r="DO19" s="19">
        <f t="shared" si="67"/>
        <v>-0.76707534227909968</v>
      </c>
      <c r="DP19" s="19">
        <f t="shared" si="68"/>
        <v>9.7626392508034981E-2</v>
      </c>
      <c r="DQ19" s="19">
        <f t="shared" si="69"/>
        <v>0.60575195206949184</v>
      </c>
      <c r="DR19" s="19">
        <f t="shared" si="70"/>
        <v>20.553363851103502</v>
      </c>
      <c r="DS19" s="19">
        <f t="shared" si="71"/>
        <v>13701.860001473124</v>
      </c>
      <c r="DT19" s="19">
        <f t="shared" si="72"/>
        <v>10.425495165423282</v>
      </c>
      <c r="DU19" s="19">
        <f t="shared" si="73"/>
        <v>1041.1146736738301</v>
      </c>
      <c r="DV19" s="19">
        <f t="shared" si="74"/>
        <v>1031.6368915728094</v>
      </c>
      <c r="DW19" s="19">
        <f t="shared" si="3"/>
        <v>1042.3568917313578</v>
      </c>
      <c r="DX19" s="25">
        <f t="shared" si="75"/>
        <v>23.753164664931894</v>
      </c>
      <c r="DY19" s="19">
        <f t="shared" si="4"/>
        <v>5.4134538290763521</v>
      </c>
      <c r="DZ19" s="19">
        <f t="shared" si="76"/>
        <v>4441.0180001641811</v>
      </c>
      <c r="EA19" s="19">
        <f t="shared" si="77"/>
        <v>820.36683795304691</v>
      </c>
      <c r="EC19" s="19">
        <f t="shared" si="78"/>
        <v>30.519264861391349</v>
      </c>
      <c r="ED19" s="19">
        <f t="shared" si="91"/>
        <v>892.72664264221532</v>
      </c>
      <c r="EE19" s="19">
        <f t="shared" si="79"/>
        <v>1340</v>
      </c>
      <c r="EG19" s="19">
        <f t="shared" si="80"/>
        <v>1.0241810713563548</v>
      </c>
      <c r="EH19" s="19">
        <f t="shared" si="81"/>
        <v>5.5176470992860573E-3</v>
      </c>
      <c r="EI19" s="19">
        <f t="shared" si="82"/>
        <v>0.16191448123373678</v>
      </c>
      <c r="EJ19" s="19">
        <f t="shared" si="83"/>
        <v>4.6345163901481003E-2</v>
      </c>
      <c r="EK19" s="19">
        <f t="shared" si="84"/>
        <v>5.2889764376146456E-4</v>
      </c>
      <c r="EL19" s="19">
        <f t="shared" si="85"/>
        <v>4.0732009830900751E-2</v>
      </c>
      <c r="EM19" s="19">
        <f t="shared" si="86"/>
        <v>7.7441866149575794E-2</v>
      </c>
      <c r="EN19" s="19">
        <f t="shared" si="87"/>
        <v>7.11293942161281E-2</v>
      </c>
      <c r="EO19" s="19">
        <f t="shared" si="88"/>
        <v>1.4936305155419957E-2</v>
      </c>
      <c r="EP19" s="19">
        <f t="shared" si="5"/>
        <v>1.4427268365866446</v>
      </c>
      <c r="EQ19" s="19">
        <f t="shared" si="89"/>
        <v>0.70989257660131322</v>
      </c>
      <c r="ER19" s="19">
        <f t="shared" si="6"/>
        <v>3.8244572426061533E-3</v>
      </c>
      <c r="ES19" s="19">
        <f t="shared" si="6"/>
        <v>0.11222809275303365</v>
      </c>
      <c r="ET19" s="19">
        <f t="shared" si="6"/>
        <v>3.212331172207851E-2</v>
      </c>
      <c r="EU19" s="19">
        <f t="shared" si="6"/>
        <v>3.6659583113653475E-4</v>
      </c>
      <c r="EV19" s="19">
        <f t="shared" si="6"/>
        <v>2.8232655550560658E-2</v>
      </c>
      <c r="EW19" s="19">
        <f t="shared" si="6"/>
        <v>5.3677428176768328E-2</v>
      </c>
      <c r="EX19" s="19">
        <f t="shared" si="6"/>
        <v>4.9302052483069854E-2</v>
      </c>
      <c r="EY19" s="19">
        <f t="shared" si="6"/>
        <v>1.0352829639433231E-2</v>
      </c>
      <c r="EZ19" s="19">
        <f t="shared" si="7"/>
        <v>1.0000000000000002</v>
      </c>
    </row>
    <row r="20" spans="1:156" s="191" customFormat="1" ht="16.2">
      <c r="A20" s="191" t="s">
        <v>217</v>
      </c>
      <c r="B20" s="191" t="s">
        <v>71</v>
      </c>
      <c r="C20" s="192">
        <v>0.20000000298023199</v>
      </c>
      <c r="D20" s="193">
        <f t="shared" si="8"/>
        <v>970.53750742805732</v>
      </c>
      <c r="E20" s="194"/>
      <c r="F20" s="195">
        <f t="shared" si="9"/>
        <v>-11.448890312121794</v>
      </c>
      <c r="G20" s="192">
        <v>52.969100952148402</v>
      </c>
      <c r="H20" s="192">
        <v>0.80341202020645097</v>
      </c>
      <c r="I20" s="192">
        <v>17.5629997253418</v>
      </c>
      <c r="J20" s="192">
        <v>5.9321699142456099</v>
      </c>
      <c r="K20" s="192">
        <v>0.14947199821472201</v>
      </c>
      <c r="L20" s="192">
        <v>3.7835099697113002</v>
      </c>
      <c r="M20" s="192">
        <v>7.6511001586914098</v>
      </c>
      <c r="N20" s="192">
        <v>3.8021900653839098</v>
      </c>
      <c r="O20" s="192">
        <v>0.551177978515625</v>
      </c>
      <c r="P20" s="192">
        <v>3.7367999553680399E-2</v>
      </c>
      <c r="Q20" s="192">
        <v>0.19618199765682201</v>
      </c>
      <c r="R20" s="192">
        <v>6.57999992370606</v>
      </c>
      <c r="S20" s="191">
        <f t="shared" si="10"/>
        <v>93.438682779669733</v>
      </c>
      <c r="U20" s="196">
        <f t="shared" si="11"/>
        <v>1093.9063122034072</v>
      </c>
      <c r="V20" s="196">
        <f t="shared" si="12"/>
        <v>1013.1857233185201</v>
      </c>
      <c r="W20" s="196">
        <f t="shared" si="13"/>
        <v>1018.1385063286398</v>
      </c>
      <c r="X20" s="196">
        <f t="shared" si="14"/>
        <v>1030.7411116800226</v>
      </c>
      <c r="Y20" s="196">
        <f t="shared" si="15"/>
        <v>1090.0485503911971</v>
      </c>
      <c r="Z20" s="196">
        <f t="shared" si="16"/>
        <v>1095.0082626342773</v>
      </c>
      <c r="AB20" s="191">
        <v>40.5</v>
      </c>
      <c r="AC20" s="191">
        <v>0</v>
      </c>
      <c r="AD20" s="191">
        <v>0.1</v>
      </c>
      <c r="AE20" s="191">
        <v>9.41</v>
      </c>
      <c r="AF20" s="191">
        <v>0.1</v>
      </c>
      <c r="AG20" s="191">
        <v>49.3</v>
      </c>
      <c r="AH20" s="191">
        <v>0.31</v>
      </c>
      <c r="AI20" s="191">
        <v>0</v>
      </c>
      <c r="AJ20" s="191">
        <v>0</v>
      </c>
      <c r="AK20" s="191">
        <v>0</v>
      </c>
      <c r="AL20" s="191">
        <v>0</v>
      </c>
      <c r="AM20" s="191">
        <v>0</v>
      </c>
      <c r="AO20" s="197">
        <f t="shared" si="17"/>
        <v>53.207868179739876</v>
      </c>
      <c r="AP20" s="197">
        <f t="shared" si="18"/>
        <v>90.327783406143723</v>
      </c>
      <c r="AQ20" s="197"/>
      <c r="AR20" s="198">
        <f t="shared" si="0"/>
        <v>0.1217373951728191</v>
      </c>
      <c r="AS20" s="199">
        <f t="shared" si="19"/>
        <v>0.31098698433050065</v>
      </c>
      <c r="AT20" s="200">
        <f t="shared" si="20"/>
        <v>10.78128671554982</v>
      </c>
      <c r="AU20" s="201">
        <f t="shared" si="21"/>
        <v>9.4069116782331488</v>
      </c>
      <c r="AV20" s="200">
        <f t="shared" si="22"/>
        <v>1068.1401270700385</v>
      </c>
      <c r="AW20" s="200">
        <f t="shared" si="23"/>
        <v>1069.3469016385125</v>
      </c>
      <c r="AX20" s="201">
        <f t="shared" si="24"/>
        <v>1104.932934886112</v>
      </c>
      <c r="AY20" s="201">
        <f t="shared" si="25"/>
        <v>1105.8743640806879</v>
      </c>
      <c r="AZ20" s="201">
        <f t="shared" si="26"/>
        <v>970.53750742805732</v>
      </c>
      <c r="BA20" s="201">
        <f t="shared" si="27"/>
        <v>940.50458215667265</v>
      </c>
      <c r="BB20" s="201">
        <f t="shared" si="28"/>
        <v>1004.1663657303073</v>
      </c>
      <c r="BC20" s="191">
        <f t="shared" si="29"/>
        <v>1095.0345560474702</v>
      </c>
      <c r="BD20" s="19">
        <f t="shared" si="30"/>
        <v>1058.5052222885561</v>
      </c>
      <c r="BE20" s="191">
        <f t="shared" si="31"/>
        <v>968.47352879813695</v>
      </c>
      <c r="BF20" s="208">
        <f t="shared" si="32"/>
        <v>994.52331680458246</v>
      </c>
      <c r="BG20" s="191" t="s">
        <v>72</v>
      </c>
      <c r="BI20" s="19">
        <f t="shared" si="33"/>
        <v>0.88157972968226983</v>
      </c>
      <c r="BJ20" s="19">
        <f t="shared" si="34"/>
        <v>1.0057887952829173E-2</v>
      </c>
      <c r="BK20" s="19">
        <f t="shared" si="35"/>
        <v>0.34450426585344984</v>
      </c>
      <c r="BL20" s="19">
        <f t="shared" si="36"/>
        <v>8.2570150802371955E-2</v>
      </c>
      <c r="BM20" s="19">
        <f t="shared" si="37"/>
        <v>2.1070942479608388E-3</v>
      </c>
      <c r="BN20" s="19">
        <f t="shared" si="38"/>
        <v>9.3873372875202213E-2</v>
      </c>
      <c r="BO20" s="19">
        <f t="shared" si="39"/>
        <v>0.13643821144866577</v>
      </c>
      <c r="BP20" s="19">
        <f t="shared" si="40"/>
        <v>0.12269304764634124</v>
      </c>
      <c r="BQ20" s="19">
        <f t="shared" si="41"/>
        <v>1.1702789471222238E-2</v>
      </c>
      <c r="BR20" s="191">
        <f>SUM(BI20:BQ20)</f>
        <v>1.6855265499803131</v>
      </c>
      <c r="BS20" s="191">
        <f>BI20/$BR20</f>
        <v>0.52302927514999198</v>
      </c>
      <c r="BT20" s="191">
        <f t="shared" si="1"/>
        <v>5.9672082607934293E-3</v>
      </c>
      <c r="BU20" s="191">
        <f t="shared" si="1"/>
        <v>0.20438969997682543</v>
      </c>
      <c r="BV20" s="191">
        <f t="shared" si="1"/>
        <v>4.8987748548568619E-2</v>
      </c>
      <c r="BW20" s="191">
        <f>BM20/$BR20</f>
        <v>1.2501103871579179E-3</v>
      </c>
      <c r="BX20" s="191">
        <f t="shared" si="1"/>
        <v>5.569379662177297E-2</v>
      </c>
      <c r="BY20" s="191">
        <f t="shared" si="1"/>
        <v>8.0946936997378871E-2</v>
      </c>
      <c r="BZ20" s="191">
        <f t="shared" si="1"/>
        <v>7.2792118075965223E-2</v>
      </c>
      <c r="CA20" s="191">
        <f t="shared" si="1"/>
        <v>6.9431059815456041E-3</v>
      </c>
      <c r="CB20" s="191">
        <f t="shared" si="43"/>
        <v>1</v>
      </c>
      <c r="CC20" s="19">
        <f t="shared" si="44"/>
        <v>0.67405295559738565</v>
      </c>
      <c r="CD20" s="19">
        <f t="shared" si="45"/>
        <v>0</v>
      </c>
      <c r="CE20" s="19">
        <f t="shared" si="46"/>
        <v>1.9615343121389553E-3</v>
      </c>
      <c r="CF20" s="19">
        <f t="shared" si="47"/>
        <v>0.1309782306107678</v>
      </c>
      <c r="CG20" s="19">
        <f t="shared" si="48"/>
        <v>1.4096916299559472E-3</v>
      </c>
      <c r="CH20" s="19">
        <f t="shared" si="49"/>
        <v>1.2231915125891961</v>
      </c>
      <c r="CI20" s="19">
        <f t="shared" si="50"/>
        <v>5.5280736981386447E-3</v>
      </c>
      <c r="CJ20" s="191">
        <f t="shared" si="51"/>
        <v>0</v>
      </c>
      <c r="CK20" s="191">
        <f t="shared" si="52"/>
        <v>0</v>
      </c>
      <c r="CL20" s="191">
        <f t="shared" si="53"/>
        <v>2.0371219984375832</v>
      </c>
      <c r="CM20" s="191">
        <f t="shared" si="2"/>
        <v>0.33088492300135475</v>
      </c>
      <c r="CN20" s="191">
        <f>CD20/$CL20</f>
        <v>0</v>
      </c>
      <c r="CO20" s="191">
        <f t="shared" si="2"/>
        <v>9.628948652281986E-4</v>
      </c>
      <c r="CP20" s="191">
        <f t="shared" si="2"/>
        <v>6.4295722451195608E-2</v>
      </c>
      <c r="CQ20" s="191">
        <f t="shared" si="2"/>
        <v>6.920015742980254E-4</v>
      </c>
      <c r="CR20" s="191">
        <f t="shared" si="2"/>
        <v>0.60045078965685439</v>
      </c>
      <c r="CS20" s="191">
        <f t="shared" si="2"/>
        <v>2.7136684510689715E-3</v>
      </c>
      <c r="CT20" s="191">
        <f t="shared" si="2"/>
        <v>0</v>
      </c>
      <c r="CU20" s="191">
        <f t="shared" si="2"/>
        <v>0</v>
      </c>
      <c r="CV20" s="191">
        <f>BX20+BV20+BY20+BW20</f>
        <v>0.18687859255487838</v>
      </c>
      <c r="CW20" s="191">
        <f t="shared" si="54"/>
        <v>0.52302927514999198</v>
      </c>
      <c r="CX20" s="191">
        <f t="shared" si="55"/>
        <v>-0.84215583283212903</v>
      </c>
      <c r="DA20" s="191">
        <f t="shared" si="56"/>
        <v>13701.720991562681</v>
      </c>
      <c r="DB20" s="191">
        <f t="shared" si="57"/>
        <v>9.9425953581632776</v>
      </c>
      <c r="DC20" s="191">
        <f t="shared" si="58"/>
        <v>10.215329789605775</v>
      </c>
      <c r="DD20" s="191">
        <f t="shared" si="59"/>
        <v>1378.0829348861118</v>
      </c>
      <c r="DF20" s="191">
        <f t="shared" si="60"/>
        <v>13602.905801982104</v>
      </c>
      <c r="DG20" s="191">
        <f t="shared" si="61"/>
        <v>9.9425953581632776</v>
      </c>
      <c r="DH20" s="191">
        <f t="shared" si="62"/>
        <v>1368.144363917371</v>
      </c>
      <c r="DI20" s="191">
        <f t="shared" si="63"/>
        <v>10.215329789605775</v>
      </c>
      <c r="DJ20" s="191">
        <f t="shared" si="64"/>
        <v>1331.6169014751956</v>
      </c>
      <c r="DL20" s="191">
        <v>1360</v>
      </c>
      <c r="DM20" s="191">
        <f t="shared" si="65"/>
        <v>0.20000000298023199</v>
      </c>
      <c r="DN20" s="191">
        <f t="shared" si="66"/>
        <v>1</v>
      </c>
      <c r="DO20" s="191">
        <f t="shared" si="67"/>
        <v>-0.84215583283212903</v>
      </c>
      <c r="DP20" s="191">
        <f t="shared" si="68"/>
        <v>0.18687859255487838</v>
      </c>
      <c r="DQ20" s="191">
        <f t="shared" si="69"/>
        <v>0.52302927514999198</v>
      </c>
      <c r="DR20" s="191">
        <f t="shared" si="70"/>
        <v>9.4069116782331488</v>
      </c>
      <c r="DS20" s="191">
        <f t="shared" si="71"/>
        <v>13701.860001473124</v>
      </c>
      <c r="DT20" s="191">
        <f t="shared" si="72"/>
        <v>9.9423721309911421</v>
      </c>
      <c r="DU20" s="191">
        <f t="shared" si="73"/>
        <v>1104.9778573111712</v>
      </c>
      <c r="DV20" s="191">
        <f t="shared" si="74"/>
        <v>1095.0395276880895</v>
      </c>
      <c r="DW20" s="191">
        <f t="shared" si="3"/>
        <v>1105.7595278466379</v>
      </c>
      <c r="DX20" s="202">
        <f t="shared" si="75"/>
        <v>10.78128671554982</v>
      </c>
      <c r="DY20" s="191">
        <f t="shared" si="4"/>
        <v>4.7219525395405038</v>
      </c>
      <c r="DZ20" s="191">
        <f t="shared" si="76"/>
        <v>4441.0180001641811</v>
      </c>
      <c r="EA20" s="191">
        <f t="shared" si="77"/>
        <v>940.50458215667277</v>
      </c>
      <c r="EC20" s="191">
        <f t="shared" si="78"/>
        <v>14.90759538203479</v>
      </c>
      <c r="ED20" s="19">
        <f t="shared" si="91"/>
        <v>1004.1663657303073</v>
      </c>
      <c r="EE20" s="191">
        <f t="shared" si="79"/>
        <v>1360</v>
      </c>
      <c r="EG20" s="191">
        <f t="shared" si="80"/>
        <v>0.88164282543522643</v>
      </c>
      <c r="EH20" s="191">
        <f t="shared" si="81"/>
        <v>1.0055219276676483E-2</v>
      </c>
      <c r="EI20" s="191">
        <f t="shared" si="82"/>
        <v>0.17225382233563949</v>
      </c>
      <c r="EJ20" s="191">
        <f t="shared" si="83"/>
        <v>8.2563255591449003E-2</v>
      </c>
      <c r="EK20" s="191">
        <f t="shared" si="84"/>
        <v>2.1070199917496762E-3</v>
      </c>
      <c r="EL20" s="191">
        <f t="shared" si="85"/>
        <v>9.388362207720348E-2</v>
      </c>
      <c r="EM20" s="191">
        <f t="shared" si="86"/>
        <v>0.13643188585398378</v>
      </c>
      <c r="EN20" s="191">
        <f t="shared" si="87"/>
        <v>6.1345435065890769E-2</v>
      </c>
      <c r="EO20" s="191">
        <f t="shared" si="88"/>
        <v>5.851146268743365E-3</v>
      </c>
      <c r="EP20" s="191">
        <f t="shared" si="5"/>
        <v>1.4461342318965626</v>
      </c>
      <c r="EQ20" s="191">
        <f t="shared" si="89"/>
        <v>0.60965490338955441</v>
      </c>
      <c r="ER20" s="191">
        <f t="shared" si="6"/>
        <v>6.9531714656179307E-3</v>
      </c>
      <c r="ES20" s="191">
        <f t="shared" si="6"/>
        <v>0.11911330119731255</v>
      </c>
      <c r="ET20" s="191">
        <f t="shared" si="6"/>
        <v>5.7092387255897895E-2</v>
      </c>
      <c r="EU20" s="191">
        <f t="shared" si="6"/>
        <v>1.4570016705754772E-3</v>
      </c>
      <c r="EV20" s="191">
        <f t="shared" si="6"/>
        <v>6.4920406423183738E-2</v>
      </c>
      <c r="EW20" s="191">
        <f t="shared" si="6"/>
        <v>9.4342477236748185E-2</v>
      </c>
      <c r="EX20" s="191">
        <f t="shared" si="6"/>
        <v>4.2420291085591706E-2</v>
      </c>
      <c r="EY20" s="191">
        <f t="shared" si="6"/>
        <v>4.0460602755179632E-3</v>
      </c>
      <c r="EZ20" s="191">
        <f t="shared" si="7"/>
        <v>1</v>
      </c>
    </row>
    <row r="21" spans="1:156" ht="16.2">
      <c r="A21" s="19" t="s">
        <v>217</v>
      </c>
      <c r="B21" s="19" t="s">
        <v>73</v>
      </c>
      <c r="C21" s="185">
        <v>0.20000000298023199</v>
      </c>
      <c r="D21" s="177">
        <f t="shared" si="8"/>
        <v>956.3890782950175</v>
      </c>
      <c r="F21" s="179">
        <f t="shared" si="9"/>
        <v>-11.677911793829731</v>
      </c>
      <c r="G21" s="185">
        <v>54.050201416015597</v>
      </c>
      <c r="H21" s="185">
        <v>0.85734802484512296</v>
      </c>
      <c r="I21" s="185">
        <v>17.333299636840799</v>
      </c>
      <c r="J21" s="185">
        <v>5.6007199287414604</v>
      </c>
      <c r="K21" s="185">
        <v>0.18637999892234799</v>
      </c>
      <c r="L21" s="185">
        <v>3.2709701061248802</v>
      </c>
      <c r="M21" s="185">
        <v>6.8121900558471697</v>
      </c>
      <c r="N21" s="185">
        <v>4.30537986755371</v>
      </c>
      <c r="O21" s="185">
        <v>0.596415996551514</v>
      </c>
      <c r="P21" s="185">
        <v>2.79569998383522E-2</v>
      </c>
      <c r="Q21" s="185">
        <v>0.19569900631904599</v>
      </c>
      <c r="R21" s="185">
        <v>6.8099999427795401</v>
      </c>
      <c r="S21" s="19">
        <f t="shared" si="10"/>
        <v>93.236561037599984</v>
      </c>
      <c r="U21" s="40">
        <f t="shared" si="11"/>
        <v>1080.4265137910843</v>
      </c>
      <c r="V21" s="40">
        <f t="shared" si="12"/>
        <v>998.78498227849332</v>
      </c>
      <c r="W21" s="40">
        <f t="shared" si="13"/>
        <v>1002.2665977024499</v>
      </c>
      <c r="X21" s="40">
        <f t="shared" si="14"/>
        <v>1013.9390131759936</v>
      </c>
      <c r="Y21" s="40">
        <f t="shared" si="15"/>
        <v>1079.7464991331101</v>
      </c>
      <c r="Z21" s="40">
        <f t="shared" si="16"/>
        <v>1081.0823549270631</v>
      </c>
      <c r="AB21" s="39">
        <v>40.5</v>
      </c>
      <c r="AC21" s="39">
        <v>0.02</v>
      </c>
      <c r="AD21" s="39">
        <v>0.1</v>
      </c>
      <c r="AE21" s="39">
        <v>10.6</v>
      </c>
      <c r="AF21" s="39">
        <v>0.15</v>
      </c>
      <c r="AG21" s="39">
        <v>48.5</v>
      </c>
      <c r="AH21" s="39">
        <v>0.34</v>
      </c>
      <c r="AI21" s="39">
        <v>0</v>
      </c>
      <c r="AJ21" s="39">
        <v>0</v>
      </c>
      <c r="AK21" s="39">
        <v>0.02</v>
      </c>
      <c r="AL21" s="39">
        <v>0</v>
      </c>
      <c r="AM21" s="39">
        <v>0</v>
      </c>
      <c r="AO21" s="41">
        <f t="shared" si="17"/>
        <v>51.010377559758531</v>
      </c>
      <c r="AP21" s="41">
        <f t="shared" si="18"/>
        <v>89.07812616382796</v>
      </c>
      <c r="AQ21" s="44"/>
      <c r="AR21" s="42">
        <f t="shared" si="0"/>
        <v>0.12764295388112393</v>
      </c>
      <c r="AS21" s="181">
        <f t="shared" si="19"/>
        <v>0.31178565882527154</v>
      </c>
      <c r="AT21" s="187">
        <f t="shared" si="20"/>
        <v>12.276120651020459</v>
      </c>
      <c r="AU21" s="186">
        <f t="shared" si="21"/>
        <v>10.654804342053003</v>
      </c>
      <c r="AV21" s="187">
        <f t="shared" si="22"/>
        <v>1057.7508708371743</v>
      </c>
      <c r="AW21" s="187">
        <f t="shared" si="23"/>
        <v>1059.0325714915666</v>
      </c>
      <c r="AX21" s="186">
        <f t="shared" si="24"/>
        <v>1095.4096072191182</v>
      </c>
      <c r="AY21" s="186">
        <f t="shared" si="25"/>
        <v>1096.4197175253175</v>
      </c>
      <c r="AZ21" s="186">
        <f t="shared" si="26"/>
        <v>956.3890782950175</v>
      </c>
      <c r="BA21" s="186">
        <f t="shared" si="27"/>
        <v>917.93849119689764</v>
      </c>
      <c r="BB21" s="186">
        <f t="shared" si="28"/>
        <v>984.10286133321949</v>
      </c>
      <c r="BC21" s="19">
        <f t="shared" si="29"/>
        <v>1085.5794209259743</v>
      </c>
      <c r="BD21" s="19">
        <f t="shared" si="30"/>
        <v>1048.1903716633446</v>
      </c>
      <c r="BE21" s="19">
        <f t="shared" si="31"/>
        <v>945.62389919379893</v>
      </c>
      <c r="BF21" s="207">
        <f t="shared" si="32"/>
        <v>980.59621209897716</v>
      </c>
      <c r="BG21" s="19" t="s">
        <v>67</v>
      </c>
      <c r="BI21" s="19">
        <f t="shared" si="33"/>
        <v>0.89957279049627936</v>
      </c>
      <c r="BJ21" s="19">
        <f t="shared" si="34"/>
        <v>1.0733110973689177E-2</v>
      </c>
      <c r="BK21" s="19">
        <f t="shared" si="35"/>
        <v>0.33999861980248919</v>
      </c>
      <c r="BL21" s="19">
        <f t="shared" si="36"/>
        <v>7.795668293443378E-2</v>
      </c>
      <c r="BM21" s="19">
        <f t="shared" si="37"/>
        <v>2.6273832447203244E-3</v>
      </c>
      <c r="BN21" s="19">
        <f t="shared" si="38"/>
        <v>8.115665054249363E-2</v>
      </c>
      <c r="BO21" s="19">
        <f t="shared" si="39"/>
        <v>0.1214783505627431</v>
      </c>
      <c r="BP21" s="19">
        <f t="shared" si="40"/>
        <v>0.13893050272120705</v>
      </c>
      <c r="BQ21" s="19">
        <f t="shared" si="41"/>
        <v>1.2663297731358316E-2</v>
      </c>
      <c r="BR21" s="19">
        <f t="shared" si="42"/>
        <v>1.685117389009414</v>
      </c>
      <c r="BS21" s="19">
        <f t="shared" si="1"/>
        <v>0.53383390163998468</v>
      </c>
      <c r="BT21" s="19">
        <f t="shared" si="1"/>
        <v>6.369355063149975E-3</v>
      </c>
      <c r="BU21" s="19">
        <f t="shared" si="1"/>
        <v>0.20176553990838306</v>
      </c>
      <c r="BV21" s="184">
        <f t="shared" si="1"/>
        <v>4.6261870800739964E-2</v>
      </c>
      <c r="BW21" s="19">
        <f t="shared" si="1"/>
        <v>1.5591692672905213E-3</v>
      </c>
      <c r="BX21" s="184">
        <f t="shared" si="1"/>
        <v>4.8160829074466484E-2</v>
      </c>
      <c r="BY21" s="19">
        <f t="shared" si="1"/>
        <v>7.2088954369020797E-2</v>
      </c>
      <c r="BZ21" s="19">
        <f t="shared" si="1"/>
        <v>8.2445593183793867E-2</v>
      </c>
      <c r="CA21" s="19">
        <f t="shared" si="1"/>
        <v>7.514786693170592E-3</v>
      </c>
      <c r="CB21" s="19">
        <f t="shared" si="43"/>
        <v>0.99999999999999989</v>
      </c>
      <c r="CC21" s="19">
        <f t="shared" si="44"/>
        <v>0.67405295559738565</v>
      </c>
      <c r="CD21" s="19">
        <f t="shared" si="45"/>
        <v>2.5037932467688548E-4</v>
      </c>
      <c r="CE21" s="19">
        <f t="shared" si="46"/>
        <v>1.9615343121389553E-3</v>
      </c>
      <c r="CF21" s="19">
        <f t="shared" si="47"/>
        <v>0.14754189633093925</v>
      </c>
      <c r="CG21" s="19">
        <f t="shared" si="48"/>
        <v>2.1145374449339205E-3</v>
      </c>
      <c r="CH21" s="19">
        <f t="shared" si="49"/>
        <v>1.2033425630948482</v>
      </c>
      <c r="CI21" s="19">
        <f t="shared" si="50"/>
        <v>6.0630485721520624E-3</v>
      </c>
      <c r="CJ21" s="19">
        <f t="shared" si="51"/>
        <v>0</v>
      </c>
      <c r="CK21" s="19">
        <f t="shared" si="52"/>
        <v>0</v>
      </c>
      <c r="CL21" s="19">
        <f t="shared" si="53"/>
        <v>2.0353269146770754</v>
      </c>
      <c r="CM21" s="19">
        <f t="shared" si="2"/>
        <v>0.331176751379191</v>
      </c>
      <c r="CN21" s="19">
        <f t="shared" si="2"/>
        <v>1.2301676102809784E-4</v>
      </c>
      <c r="CO21" s="19">
        <f t="shared" si="2"/>
        <v>9.6374410321703626E-4</v>
      </c>
      <c r="CP21" s="19">
        <f t="shared" si="2"/>
        <v>7.2490515045514556E-2</v>
      </c>
      <c r="CQ21" s="19">
        <f t="shared" si="2"/>
        <v>1.0389178414954596E-3</v>
      </c>
      <c r="CR21" s="19">
        <f t="shared" si="2"/>
        <v>0.59122814837132454</v>
      </c>
      <c r="CS21" s="19">
        <f t="shared" si="2"/>
        <v>2.9789064982290695E-3</v>
      </c>
      <c r="CT21" s="19">
        <f t="shared" si="2"/>
        <v>0</v>
      </c>
      <c r="CU21" s="19">
        <f t="shared" si="2"/>
        <v>0</v>
      </c>
      <c r="CV21" s="19">
        <f t="shared" si="90"/>
        <v>0.16807082351151778</v>
      </c>
      <c r="CW21" s="19">
        <f t="shared" si="54"/>
        <v>0.53383390163998468</v>
      </c>
      <c r="CX21" s="19">
        <f t="shared" si="55"/>
        <v>-0.83346328432111449</v>
      </c>
      <c r="DA21" s="19">
        <f t="shared" si="56"/>
        <v>13701.720991562681</v>
      </c>
      <c r="DB21" s="19">
        <f t="shared" si="57"/>
        <v>10.011782401940287</v>
      </c>
      <c r="DC21" s="19">
        <f t="shared" si="58"/>
        <v>10.29507252703495</v>
      </c>
      <c r="DD21" s="19">
        <f t="shared" si="59"/>
        <v>1368.5596072191183</v>
      </c>
      <c r="DF21" s="19">
        <f t="shared" si="60"/>
        <v>13602.905801982104</v>
      </c>
      <c r="DG21" s="19">
        <f t="shared" si="61"/>
        <v>10.011782401940287</v>
      </c>
      <c r="DH21" s="19">
        <f t="shared" si="62"/>
        <v>1358.6897173620009</v>
      </c>
      <c r="DI21" s="19">
        <f t="shared" si="63"/>
        <v>10.29507252703495</v>
      </c>
      <c r="DJ21" s="19">
        <f t="shared" si="64"/>
        <v>1321.30257132825</v>
      </c>
      <c r="DL21" s="19">
        <v>1345</v>
      </c>
      <c r="DM21" s="19">
        <f t="shared" si="65"/>
        <v>0.20000000298023199</v>
      </c>
      <c r="DN21" s="19">
        <f t="shared" si="66"/>
        <v>1</v>
      </c>
      <c r="DO21" s="19">
        <f t="shared" si="67"/>
        <v>-0.83346328432111449</v>
      </c>
      <c r="DP21" s="19">
        <f t="shared" si="68"/>
        <v>0.16807082351151775</v>
      </c>
      <c r="DQ21" s="19">
        <f t="shared" si="69"/>
        <v>0.53383390163998468</v>
      </c>
      <c r="DR21" s="19">
        <f t="shared" si="70"/>
        <v>10.654804342053003</v>
      </c>
      <c r="DS21" s="19">
        <f t="shared" si="71"/>
        <v>13701.860001473124</v>
      </c>
      <c r="DT21" s="19">
        <f t="shared" si="72"/>
        <v>10.011559174768152</v>
      </c>
      <c r="DU21" s="19">
        <f t="shared" si="73"/>
        <v>1095.4540068569472</v>
      </c>
      <c r="DV21" s="19">
        <f t="shared" si="74"/>
        <v>1085.5843582089965</v>
      </c>
      <c r="DW21" s="19">
        <f t="shared" si="3"/>
        <v>1096.3043583675449</v>
      </c>
      <c r="DX21" s="25">
        <f t="shared" si="75"/>
        <v>12.276120651020459</v>
      </c>
      <c r="DY21" s="19">
        <f t="shared" si="4"/>
        <v>4.8380344029081392</v>
      </c>
      <c r="DZ21" s="19">
        <f t="shared" si="76"/>
        <v>4441.0180001641811</v>
      </c>
      <c r="EA21" s="19">
        <f t="shared" si="77"/>
        <v>917.93849119689764</v>
      </c>
      <c r="EC21" s="19">
        <f t="shared" si="78"/>
        <v>16.801887510682576</v>
      </c>
      <c r="ED21" s="19">
        <f t="shared" si="91"/>
        <v>984.10286133321949</v>
      </c>
      <c r="EE21" s="19">
        <f t="shared" si="79"/>
        <v>1345</v>
      </c>
      <c r="EG21" s="19">
        <f t="shared" si="80"/>
        <v>0.89963717403488008</v>
      </c>
      <c r="EH21" s="19">
        <f t="shared" si="81"/>
        <v>1.0730263139488397E-2</v>
      </c>
      <c r="EI21" s="19">
        <f t="shared" si="82"/>
        <v>0.1700009772149941</v>
      </c>
      <c r="EJ21" s="19">
        <f t="shared" si="83"/>
        <v>7.7950172981787899E-2</v>
      </c>
      <c r="EK21" s="19">
        <f t="shared" si="84"/>
        <v>2.6272906529792501E-3</v>
      </c>
      <c r="EL21" s="19">
        <f t="shared" si="85"/>
        <v>8.1165511318235239E-2</v>
      </c>
      <c r="EM21" s="19">
        <f t="shared" si="86"/>
        <v>0.12147271854221059</v>
      </c>
      <c r="EN21" s="19">
        <f t="shared" si="87"/>
        <v>6.9464018514903358E-2</v>
      </c>
      <c r="EO21" s="19">
        <f t="shared" si="88"/>
        <v>6.3313800058547136E-3</v>
      </c>
      <c r="EP21" s="19">
        <f t="shared" si="5"/>
        <v>1.4393795064053336</v>
      </c>
      <c r="EQ21" s="19">
        <f t="shared" si="89"/>
        <v>0.62501735645910994</v>
      </c>
      <c r="ER21" s="19">
        <f t="shared" si="6"/>
        <v>7.4547838785657423E-3</v>
      </c>
      <c r="ES21" s="19">
        <f t="shared" si="6"/>
        <v>0.1181071263405367</v>
      </c>
      <c r="ET21" s="19">
        <f t="shared" si="6"/>
        <v>5.4155400042104597E-2</v>
      </c>
      <c r="EU21" s="19">
        <f t="shared" si="6"/>
        <v>1.8252939140008828E-3</v>
      </c>
      <c r="EV21" s="19">
        <f t="shared" si="6"/>
        <v>5.6389236443233605E-2</v>
      </c>
      <c r="EW21" s="19">
        <f t="shared" si="6"/>
        <v>8.4392419095623492E-2</v>
      </c>
      <c r="EX21" s="19">
        <f t="shared" si="6"/>
        <v>4.8259696769186934E-2</v>
      </c>
      <c r="EY21" s="19">
        <f t="shared" si="6"/>
        <v>4.3986870576381391E-3</v>
      </c>
      <c r="EZ21" s="19">
        <f t="shared" si="7"/>
        <v>1</v>
      </c>
    </row>
    <row r="22" spans="1:156" ht="16.2">
      <c r="A22" s="19" t="s">
        <v>217</v>
      </c>
      <c r="B22" s="19" t="s">
        <v>74</v>
      </c>
      <c r="C22" s="185">
        <v>0.20000000298023199</v>
      </c>
      <c r="D22" s="177">
        <f t="shared" si="8"/>
        <v>952.78247145561159</v>
      </c>
      <c r="F22" s="179">
        <f t="shared" si="9"/>
        <v>-11.737130223648949</v>
      </c>
      <c r="G22" s="185">
        <v>55.656299591064403</v>
      </c>
      <c r="H22" s="185">
        <v>0.89798402786254905</v>
      </c>
      <c r="I22" s="185">
        <v>17.117799758911101</v>
      </c>
      <c r="J22" s="185">
        <v>5.3130698204040501</v>
      </c>
      <c r="K22" s="185">
        <v>0.13095599412918099</v>
      </c>
      <c r="L22" s="185">
        <v>2.6752400398254399</v>
      </c>
      <c r="M22" s="185">
        <v>5.8649601936340297</v>
      </c>
      <c r="N22" s="185">
        <v>4.8640799522399902</v>
      </c>
      <c r="O22" s="185">
        <v>0.70155000686645497</v>
      </c>
      <c r="P22" s="185">
        <v>6.5477997064590496E-2</v>
      </c>
      <c r="Q22" s="185">
        <v>0.215141996741295</v>
      </c>
      <c r="R22" s="185">
        <v>6.46000003814697</v>
      </c>
      <c r="S22" s="19">
        <f t="shared" si="10"/>
        <v>93.502559378743086</v>
      </c>
      <c r="U22" s="40">
        <f t="shared" si="11"/>
        <v>1064.7588130474091</v>
      </c>
      <c r="V22" s="40">
        <f t="shared" si="12"/>
        <v>986.84533170883117</v>
      </c>
      <c r="W22" s="40">
        <f t="shared" si="13"/>
        <v>989.69832321609715</v>
      </c>
      <c r="X22" s="40">
        <f t="shared" si="14"/>
        <v>995.43904432277748</v>
      </c>
      <c r="Y22" s="40">
        <f t="shared" si="15"/>
        <v>1067.7723248004913</v>
      </c>
      <c r="Z22" s="40">
        <f t="shared" si="16"/>
        <v>1065.3583392143248</v>
      </c>
      <c r="AB22" s="39">
        <v>40.200000000000003</v>
      </c>
      <c r="AC22" s="39">
        <v>0.04</v>
      </c>
      <c r="AD22" s="39">
        <v>0.22</v>
      </c>
      <c r="AE22" s="39">
        <v>15.3</v>
      </c>
      <c r="AF22" s="39">
        <v>0.15</v>
      </c>
      <c r="AG22" s="39">
        <v>44.6</v>
      </c>
      <c r="AH22" s="39">
        <v>0.41</v>
      </c>
      <c r="AI22" s="39">
        <v>0</v>
      </c>
      <c r="AJ22" s="39">
        <v>0</v>
      </c>
      <c r="AK22" s="39">
        <v>0.02</v>
      </c>
      <c r="AL22" s="39">
        <v>0</v>
      </c>
      <c r="AM22" s="39">
        <v>0</v>
      </c>
      <c r="AO22" s="41">
        <f t="shared" si="17"/>
        <v>47.305075824783266</v>
      </c>
      <c r="AP22" s="41">
        <f t="shared" si="18"/>
        <v>83.860939433396055</v>
      </c>
      <c r="AQ22" s="44"/>
      <c r="AR22" s="42">
        <f t="shared" si="0"/>
        <v>0.17273239900760584</v>
      </c>
      <c r="AS22" s="181">
        <f t="shared" si="19"/>
        <v>0.31058465620815401</v>
      </c>
      <c r="AT22" s="187">
        <f t="shared" si="20"/>
        <v>14.083435006029168</v>
      </c>
      <c r="AU22" s="186">
        <f t="shared" si="21"/>
        <v>12.64440718639589</v>
      </c>
      <c r="AV22" s="187">
        <f t="shared" si="22"/>
        <v>1054.0177948496753</v>
      </c>
      <c r="AW22" s="187">
        <f t="shared" si="23"/>
        <v>1055.3264180061137</v>
      </c>
      <c r="AX22" s="186">
        <f t="shared" si="24"/>
        <v>1082.3203858940346</v>
      </c>
      <c r="AY22" s="186">
        <f t="shared" si="25"/>
        <v>1083.4248941147366</v>
      </c>
      <c r="AZ22" s="186">
        <f t="shared" si="26"/>
        <v>952.78247145561159</v>
      </c>
      <c r="BA22" s="186">
        <f t="shared" si="27"/>
        <v>902.70517695860724</v>
      </c>
      <c r="BB22" s="186">
        <f t="shared" si="28"/>
        <v>963.84427631531833</v>
      </c>
      <c r="BC22" s="19">
        <f t="shared" si="29"/>
        <v>1072.5839307993188</v>
      </c>
      <c r="BD22" s="19">
        <f t="shared" si="30"/>
        <v>1044.4840320119906</v>
      </c>
      <c r="BE22" s="19">
        <f t="shared" si="31"/>
        <v>922.92537659640368</v>
      </c>
      <c r="BF22" s="207">
        <f t="shared" si="32"/>
        <v>970.9528707859962</v>
      </c>
      <c r="BG22" s="19" t="s">
        <v>69</v>
      </c>
      <c r="BI22" s="19">
        <f t="shared" si="33"/>
        <v>0.92630353671532173</v>
      </c>
      <c r="BJ22" s="19">
        <f t="shared" si="34"/>
        <v>1.1241831723342728E-2</v>
      </c>
      <c r="BK22" s="19">
        <f t="shared" si="35"/>
        <v>0.3357715157542806</v>
      </c>
      <c r="BL22" s="19">
        <f t="shared" si="36"/>
        <v>7.3952867607650616E-2</v>
      </c>
      <c r="BM22" s="19">
        <f t="shared" si="37"/>
        <v>1.8460756881646661E-3</v>
      </c>
      <c r="BN22" s="19">
        <f t="shared" si="38"/>
        <v>6.6375880544690902E-2</v>
      </c>
      <c r="BO22" s="19">
        <f t="shared" si="39"/>
        <v>0.10458687802276906</v>
      </c>
      <c r="BP22" s="19">
        <f t="shared" si="40"/>
        <v>0.15695922167834506</v>
      </c>
      <c r="BQ22" s="19">
        <f t="shared" si="41"/>
        <v>1.4895537111267039E-2</v>
      </c>
      <c r="BR22" s="19">
        <f t="shared" si="42"/>
        <v>1.6919333448458325</v>
      </c>
      <c r="BS22" s="19">
        <f t="shared" si="1"/>
        <v>0.54748228677987654</v>
      </c>
      <c r="BT22" s="19">
        <f t="shared" si="1"/>
        <v>6.6443703338485089E-3</v>
      </c>
      <c r="BU22" s="19">
        <f t="shared" si="1"/>
        <v>0.198454340283054</v>
      </c>
      <c r="BV22" s="184">
        <f t="shared" si="1"/>
        <v>4.3709090451426229E-2</v>
      </c>
      <c r="BW22" s="19">
        <f t="shared" si="1"/>
        <v>1.0911042647090089E-3</v>
      </c>
      <c r="BX22" s="184">
        <f t="shared" si="1"/>
        <v>3.9230789290188625E-2</v>
      </c>
      <c r="BY22" s="19">
        <f t="shared" si="1"/>
        <v>6.1815010822603607E-2</v>
      </c>
      <c r="BZ22" s="19">
        <f t="shared" si="1"/>
        <v>9.2769152021557361E-2</v>
      </c>
      <c r="CA22" s="19">
        <f t="shared" si="1"/>
        <v>8.8038557527361158E-3</v>
      </c>
      <c r="CB22" s="19">
        <f t="shared" si="43"/>
        <v>1</v>
      </c>
      <c r="CC22" s="19">
        <f t="shared" si="44"/>
        <v>0.66905997074110879</v>
      </c>
      <c r="CD22" s="19">
        <f t="shared" si="45"/>
        <v>5.0075864935377097E-4</v>
      </c>
      <c r="CE22" s="19">
        <f t="shared" si="46"/>
        <v>4.3153754867057015E-3</v>
      </c>
      <c r="CF22" s="19">
        <f t="shared" si="47"/>
        <v>0.21296141640220481</v>
      </c>
      <c r="CG22" s="19">
        <f t="shared" si="48"/>
        <v>2.1145374449339205E-3</v>
      </c>
      <c r="CH22" s="19">
        <f t="shared" si="49"/>
        <v>1.1065789343099017</v>
      </c>
      <c r="CI22" s="19">
        <f t="shared" si="50"/>
        <v>7.3113232781833676E-3</v>
      </c>
      <c r="CJ22" s="19">
        <f t="shared" si="51"/>
        <v>0</v>
      </c>
      <c r="CK22" s="19">
        <f t="shared" si="52"/>
        <v>0</v>
      </c>
      <c r="CL22" s="19">
        <f t="shared" si="53"/>
        <v>2.0028423163123921</v>
      </c>
      <c r="CM22" s="19">
        <f t="shared" si="2"/>
        <v>0.33405524004154935</v>
      </c>
      <c r="CN22" s="19">
        <f t="shared" si="2"/>
        <v>2.5002400102857897E-4</v>
      </c>
      <c r="CO22" s="19">
        <f t="shared" si="2"/>
        <v>2.1546256794948873E-3</v>
      </c>
      <c r="CP22" s="19">
        <f t="shared" si="2"/>
        <v>0.10632959702704238</v>
      </c>
      <c r="CQ22" s="19">
        <f t="shared" si="2"/>
        <v>1.0557683087239638E-3</v>
      </c>
      <c r="CR22" s="19">
        <f t="shared" si="2"/>
        <v>0.55250427120359669</v>
      </c>
      <c r="CS22" s="19">
        <f t="shared" si="2"/>
        <v>3.6504737385641439E-3</v>
      </c>
      <c r="CT22" s="19">
        <f t="shared" si="2"/>
        <v>0</v>
      </c>
      <c r="CU22" s="19">
        <f t="shared" si="2"/>
        <v>0</v>
      </c>
      <c r="CV22" s="19">
        <f t="shared" si="90"/>
        <v>0.14584599482892746</v>
      </c>
      <c r="CW22" s="19">
        <f t="shared" si="54"/>
        <v>0.54748228677987654</v>
      </c>
      <c r="CX22" s="19">
        <f t="shared" si="55"/>
        <v>-0.82091248954320206</v>
      </c>
      <c r="DA22" s="19">
        <f t="shared" si="56"/>
        <v>13701.720991562681</v>
      </c>
      <c r="DB22" s="19">
        <f t="shared" si="57"/>
        <v>10.108462076451318</v>
      </c>
      <c r="DC22" s="19">
        <f t="shared" si="58"/>
        <v>10.32403064988074</v>
      </c>
      <c r="DD22" s="19">
        <f t="shared" si="59"/>
        <v>1355.4703858940345</v>
      </c>
      <c r="DF22" s="19">
        <f t="shared" si="60"/>
        <v>13602.905801982104</v>
      </c>
      <c r="DG22" s="19">
        <f t="shared" si="61"/>
        <v>10.108462076451318</v>
      </c>
      <c r="DH22" s="19">
        <f t="shared" si="62"/>
        <v>1345.6948939514198</v>
      </c>
      <c r="DI22" s="19">
        <f t="shared" si="63"/>
        <v>10.32403064988074</v>
      </c>
      <c r="DJ22" s="19">
        <f t="shared" si="64"/>
        <v>1317.5964178427969</v>
      </c>
      <c r="DL22" s="19">
        <v>1320</v>
      </c>
      <c r="DM22" s="19">
        <f t="shared" si="65"/>
        <v>0.20000000298023199</v>
      </c>
      <c r="DN22" s="19">
        <f t="shared" si="66"/>
        <v>1</v>
      </c>
      <c r="DO22" s="19">
        <f t="shared" si="67"/>
        <v>-0.82091248954320206</v>
      </c>
      <c r="DP22" s="19">
        <f t="shared" si="68"/>
        <v>0.14584599482892746</v>
      </c>
      <c r="DQ22" s="19">
        <f t="shared" si="69"/>
        <v>0.54748228677987654</v>
      </c>
      <c r="DR22" s="19">
        <f t="shared" si="70"/>
        <v>12.64440718639589</v>
      </c>
      <c r="DS22" s="19">
        <f t="shared" si="71"/>
        <v>13701.860001473124</v>
      </c>
      <c r="DT22" s="19">
        <f t="shared" si="72"/>
        <v>10.108238849279182</v>
      </c>
      <c r="DU22" s="19">
        <f t="shared" si="73"/>
        <v>1082.3640718158044</v>
      </c>
      <c r="DV22" s="19">
        <f t="shared" si="74"/>
        <v>1072.588820859979</v>
      </c>
      <c r="DW22" s="19">
        <f t="shared" si="3"/>
        <v>1083.3088210185274</v>
      </c>
      <c r="DX22" s="25">
        <f t="shared" si="75"/>
        <v>14.083435006029168</v>
      </c>
      <c r="DY22" s="19">
        <f t="shared" si="4"/>
        <v>4.9196771144338083</v>
      </c>
      <c r="DZ22" s="19">
        <f t="shared" si="76"/>
        <v>4441.0180001641811</v>
      </c>
      <c r="EA22" s="19">
        <f t="shared" si="77"/>
        <v>902.70517695860724</v>
      </c>
      <c r="EC22" s="19">
        <f t="shared" si="78"/>
        <v>19.033714800221738</v>
      </c>
      <c r="ED22" s="19">
        <f t="shared" si="91"/>
        <v>963.84427631531833</v>
      </c>
      <c r="EE22" s="19">
        <f t="shared" si="79"/>
        <v>1320</v>
      </c>
      <c r="EG22" s="19">
        <f t="shared" si="80"/>
        <v>0.92636983340653134</v>
      </c>
      <c r="EH22" s="19">
        <f t="shared" si="81"/>
        <v>1.1238848909418635E-2</v>
      </c>
      <c r="EI22" s="19">
        <f t="shared" si="82"/>
        <v>0.16788740446166245</v>
      </c>
      <c r="EJ22" s="19">
        <f t="shared" si="83"/>
        <v>7.3946692002839945E-2</v>
      </c>
      <c r="EK22" s="19">
        <f t="shared" si="84"/>
        <v>1.8460106305212996E-3</v>
      </c>
      <c r="EL22" s="19">
        <f t="shared" si="85"/>
        <v>6.6383127539092812E-2</v>
      </c>
      <c r="EM22" s="19">
        <f t="shared" si="86"/>
        <v>0.10458202913042136</v>
      </c>
      <c r="EN22" s="19">
        <f t="shared" si="87"/>
        <v>7.8478218009680384E-2</v>
      </c>
      <c r="EO22" s="19">
        <f t="shared" si="88"/>
        <v>7.447452302191666E-3</v>
      </c>
      <c r="EP22" s="19">
        <f t="shared" si="5"/>
        <v>1.4381796163923599</v>
      </c>
      <c r="EQ22" s="19">
        <f t="shared" si="89"/>
        <v>0.64412666043084976</v>
      </c>
      <c r="ER22" s="19">
        <f t="shared" si="6"/>
        <v>7.8146350993424773E-3</v>
      </c>
      <c r="ES22" s="19">
        <f t="shared" si="6"/>
        <v>0.11673604781216695</v>
      </c>
      <c r="ET22" s="19">
        <f t="shared" si="6"/>
        <v>5.1416868352183648E-2</v>
      </c>
      <c r="EU22" s="19">
        <f t="shared" si="6"/>
        <v>1.2835744641910406E-3</v>
      </c>
      <c r="EV22" s="19">
        <f t="shared" si="6"/>
        <v>4.6157744681163917E-2</v>
      </c>
      <c r="EW22" s="19">
        <f t="shared" si="6"/>
        <v>7.2718336387469426E-2</v>
      </c>
      <c r="EX22" s="19">
        <f t="shared" si="6"/>
        <v>5.4567744609356351E-2</v>
      </c>
      <c r="EY22" s="19">
        <f t="shared" si="6"/>
        <v>5.178388163276453E-3</v>
      </c>
      <c r="EZ22" s="19">
        <f t="shared" si="7"/>
        <v>0.99999999999999989</v>
      </c>
    </row>
    <row r="23" spans="1:156" ht="16.2">
      <c r="A23" s="19" t="s">
        <v>217</v>
      </c>
      <c r="B23" s="19" t="s">
        <v>75</v>
      </c>
      <c r="C23" s="185">
        <v>0.80000001192092896</v>
      </c>
      <c r="D23" s="177">
        <f t="shared" si="8"/>
        <v>941.28329755299262</v>
      </c>
      <c r="F23" s="179">
        <f t="shared" si="9"/>
        <v>-11.465336087495825</v>
      </c>
      <c r="G23" s="185">
        <v>49.054698944091797</v>
      </c>
      <c r="H23" s="185">
        <v>0.488831996917725</v>
      </c>
      <c r="I23" s="185">
        <v>14.664999961853001</v>
      </c>
      <c r="J23" s="185">
        <v>5.8316798210143999</v>
      </c>
      <c r="K23" s="185">
        <v>0.120063997805119</v>
      </c>
      <c r="L23" s="185">
        <v>4.2708501815795898</v>
      </c>
      <c r="M23" s="185">
        <v>7.5897598266601598</v>
      </c>
      <c r="N23" s="185">
        <v>1.0377000570297199</v>
      </c>
      <c r="O23" s="185">
        <v>0.24870400130748699</v>
      </c>
      <c r="P23" s="185">
        <v>8.5760001093149203E-3</v>
      </c>
      <c r="Q23" s="185">
        <v>0</v>
      </c>
      <c r="R23" s="185">
        <v>14.2399997711182</v>
      </c>
      <c r="S23" s="19">
        <f t="shared" si="10"/>
        <v>83.315864788368316</v>
      </c>
      <c r="U23" s="40">
        <f t="shared" si="11"/>
        <v>1106.7233597755433</v>
      </c>
      <c r="V23" s="40">
        <f t="shared" si="12"/>
        <v>915.28652849788375</v>
      </c>
      <c r="W23" s="40">
        <f t="shared" si="13"/>
        <v>938.68241096554812</v>
      </c>
      <c r="X23" s="40">
        <f t="shared" si="14"/>
        <v>1126.0700459443644</v>
      </c>
      <c r="Y23" s="40">
        <f t="shared" si="15"/>
        <v>1099.8440886497497</v>
      </c>
      <c r="Z23" s="40">
        <f t="shared" si="16"/>
        <v>1093.9900131225586</v>
      </c>
      <c r="AB23" s="39">
        <v>39.6</v>
      </c>
      <c r="AC23" s="39">
        <v>0.04</v>
      </c>
      <c r="AD23" s="39">
        <v>0.06</v>
      </c>
      <c r="AE23" s="39">
        <v>18.7</v>
      </c>
      <c r="AF23" s="39">
        <v>0.19</v>
      </c>
      <c r="AG23" s="39">
        <v>42.3</v>
      </c>
      <c r="AH23" s="39">
        <v>0.33</v>
      </c>
      <c r="AI23" s="39">
        <v>0</v>
      </c>
      <c r="AJ23" s="39">
        <v>0</v>
      </c>
      <c r="AK23" s="39">
        <v>0</v>
      </c>
      <c r="AL23" s="39">
        <v>0</v>
      </c>
      <c r="AM23" s="39">
        <v>0</v>
      </c>
      <c r="AO23" s="41">
        <f t="shared" si="17"/>
        <v>56.629165966346363</v>
      </c>
      <c r="AP23" s="41">
        <f t="shared" si="18"/>
        <v>80.127782960198502</v>
      </c>
      <c r="AQ23" s="44"/>
      <c r="AR23" s="42">
        <f t="shared" si="0"/>
        <v>0.3237590405633568</v>
      </c>
      <c r="AS23" s="181">
        <f t="shared" si="19"/>
        <v>0.3460521576009854</v>
      </c>
      <c r="AT23" s="187">
        <f t="shared" si="20"/>
        <v>7.3722817147601125</v>
      </c>
      <c r="AU23" s="186">
        <f t="shared" si="21"/>
        <v>7.4920226561237158</v>
      </c>
      <c r="AV23" s="187">
        <f t="shared" si="22"/>
        <v>1148.6997531189481</v>
      </c>
      <c r="AW23" s="187">
        <f t="shared" si="23"/>
        <v>1153.0169003912376</v>
      </c>
      <c r="AX23" s="186">
        <f t="shared" si="24"/>
        <v>1144.0612270934562</v>
      </c>
      <c r="AY23" s="186">
        <f t="shared" si="25"/>
        <v>1148.5093983648637</v>
      </c>
      <c r="AZ23" s="186">
        <f t="shared" si="26"/>
        <v>941.28329755299262</v>
      </c>
      <c r="BA23" s="186">
        <f t="shared" si="27"/>
        <v>899.37262358880366</v>
      </c>
      <c r="BB23" s="186">
        <f t="shared" si="28"/>
        <v>1106.3525689449261</v>
      </c>
      <c r="BC23" s="19">
        <f t="shared" si="29"/>
        <v>1104.0700594674859</v>
      </c>
      <c r="BD23" s="19">
        <f t="shared" si="30"/>
        <v>1108.5777967873973</v>
      </c>
      <c r="BE23" s="19">
        <f t="shared" si="31"/>
        <v>896.46920575987042</v>
      </c>
      <c r="BF23" s="207">
        <f t="shared" si="32"/>
        <v>938.81458266078494</v>
      </c>
      <c r="BG23" s="19" t="s">
        <v>76</v>
      </c>
      <c r="BI23" s="19">
        <f t="shared" si="33"/>
        <v>0.8164312298569143</v>
      </c>
      <c r="BJ23" s="19">
        <f t="shared" si="34"/>
        <v>6.1196712634356675E-3</v>
      </c>
      <c r="BK23" s="19">
        <f t="shared" si="35"/>
        <v>0.28765900612691131</v>
      </c>
      <c r="BL23" s="19">
        <f t="shared" si="36"/>
        <v>8.1171424489371424E-2</v>
      </c>
      <c r="BM23" s="19">
        <f t="shared" si="37"/>
        <v>1.6925321276492547E-3</v>
      </c>
      <c r="BN23" s="19">
        <f t="shared" si="38"/>
        <v>0.10596486194012539</v>
      </c>
      <c r="BO23" s="19">
        <f t="shared" si="39"/>
        <v>0.13534436023532048</v>
      </c>
      <c r="BP23" s="19">
        <f t="shared" si="40"/>
        <v>3.348559129089803E-2</v>
      </c>
      <c r="BQ23" s="19">
        <f t="shared" si="41"/>
        <v>5.2805639582888236E-3</v>
      </c>
      <c r="BR23" s="19">
        <f t="shared" si="42"/>
        <v>1.4731492412889147</v>
      </c>
      <c r="BS23" s="19">
        <f t="shared" si="1"/>
        <v>0.55420809173589725</v>
      </c>
      <c r="BT23" s="19">
        <f t="shared" si="1"/>
        <v>4.1541420868406601E-3</v>
      </c>
      <c r="BU23" s="19">
        <f t="shared" si="1"/>
        <v>0.19526806793534879</v>
      </c>
      <c r="BV23" s="184">
        <f t="shared" si="1"/>
        <v>5.5100611814693966E-2</v>
      </c>
      <c r="BW23" s="19">
        <f t="shared" si="1"/>
        <v>1.1489210191415458E-3</v>
      </c>
      <c r="BX23" s="184">
        <f t="shared" si="1"/>
        <v>7.1930839707328414E-2</v>
      </c>
      <c r="BY23" s="19">
        <f t="shared" si="1"/>
        <v>9.1874167560173692E-2</v>
      </c>
      <c r="BZ23" s="19">
        <f t="shared" si="1"/>
        <v>2.2730617070134865E-2</v>
      </c>
      <c r="CA23" s="19">
        <f t="shared" si="1"/>
        <v>3.5845410704408035E-3</v>
      </c>
      <c r="CB23" s="19">
        <f t="shared" si="43"/>
        <v>0.99999999999999989</v>
      </c>
      <c r="CC23" s="19">
        <f t="shared" si="44"/>
        <v>0.65907400102855496</v>
      </c>
      <c r="CD23" s="19">
        <f t="shared" si="45"/>
        <v>5.0075864935377097E-4</v>
      </c>
      <c r="CE23" s="19">
        <f t="shared" si="46"/>
        <v>1.1769205872833731E-3</v>
      </c>
      <c r="CF23" s="19">
        <f t="shared" si="47"/>
        <v>0.26028617560269474</v>
      </c>
      <c r="CG23" s="19">
        <f t="shared" si="48"/>
        <v>2.6784140969162997E-3</v>
      </c>
      <c r="CH23" s="19">
        <f t="shared" si="49"/>
        <v>1.049513204513651</v>
      </c>
      <c r="CI23" s="19">
        <f t="shared" si="50"/>
        <v>5.8847236141475892E-3</v>
      </c>
      <c r="CJ23" s="19">
        <f t="shared" si="51"/>
        <v>0</v>
      </c>
      <c r="CK23" s="19">
        <f t="shared" si="52"/>
        <v>0</v>
      </c>
      <c r="CL23" s="19">
        <f t="shared" si="53"/>
        <v>1.9791141980926017</v>
      </c>
      <c r="CM23" s="19">
        <f t="shared" si="2"/>
        <v>0.3330146394097655</v>
      </c>
      <c r="CN23" s="19">
        <f t="shared" si="2"/>
        <v>2.5302160422899494E-4</v>
      </c>
      <c r="CO23" s="19">
        <f t="shared" si="2"/>
        <v>5.9467037749395477E-4</v>
      </c>
      <c r="CP23" s="19">
        <f t="shared" si="2"/>
        <v>0.13151650160134726</v>
      </c>
      <c r="CQ23" s="19">
        <f t="shared" si="2"/>
        <v>1.3533398423889122E-3</v>
      </c>
      <c r="CR23" s="19">
        <f t="shared" si="2"/>
        <v>0.5302944143016779</v>
      </c>
      <c r="CS23" s="19">
        <f t="shared" si="2"/>
        <v>2.9734128630975777E-3</v>
      </c>
      <c r="CT23" s="19">
        <f t="shared" si="2"/>
        <v>0</v>
      </c>
      <c r="CU23" s="19">
        <f t="shared" si="2"/>
        <v>0</v>
      </c>
      <c r="CV23" s="19">
        <f t="shared" si="90"/>
        <v>0.22005454010133763</v>
      </c>
      <c r="CW23" s="19">
        <f t="shared" si="54"/>
        <v>0.55420809173589725</v>
      </c>
      <c r="CX23" s="19">
        <f t="shared" si="55"/>
        <v>-0.78950077387749784</v>
      </c>
      <c r="DA23" s="19">
        <f t="shared" si="56"/>
        <v>13998.31485723504</v>
      </c>
      <c r="DB23" s="19">
        <f t="shared" si="57"/>
        <v>9.8773666124167239</v>
      </c>
      <c r="DC23" s="19">
        <f t="shared" si="58"/>
        <v>9.845143501645337</v>
      </c>
      <c r="DD23" s="19">
        <f t="shared" si="59"/>
        <v>1417.2112270934563</v>
      </c>
      <c r="DF23" s="19">
        <f t="shared" si="60"/>
        <v>13602.905801982104</v>
      </c>
      <c r="DG23" s="19">
        <f t="shared" si="61"/>
        <v>9.8773666124167239</v>
      </c>
      <c r="DH23" s="19">
        <f t="shared" si="62"/>
        <v>1377.1793976829865</v>
      </c>
      <c r="DI23" s="19">
        <f t="shared" si="63"/>
        <v>9.845143501645337</v>
      </c>
      <c r="DJ23" s="19">
        <f t="shared" si="64"/>
        <v>1381.6868997093607</v>
      </c>
      <c r="DL23" s="19">
        <v>1280</v>
      </c>
      <c r="DM23" s="19">
        <f t="shared" si="65"/>
        <v>0.80000001192092896</v>
      </c>
      <c r="DN23" s="19">
        <f t="shared" si="66"/>
        <v>1</v>
      </c>
      <c r="DO23" s="19">
        <f t="shared" si="67"/>
        <v>-0.78950077387749784</v>
      </c>
      <c r="DP23" s="19">
        <f t="shared" si="68"/>
        <v>0.22005454010133763</v>
      </c>
      <c r="DQ23" s="19">
        <f t="shared" si="69"/>
        <v>0.55420809173589725</v>
      </c>
      <c r="DR23" s="19">
        <f t="shared" si="70"/>
        <v>7.4920226561237158</v>
      </c>
      <c r="DS23" s="19">
        <f t="shared" si="71"/>
        <v>13998.440005892509</v>
      </c>
      <c r="DT23" s="19">
        <f t="shared" si="72"/>
        <v>9.8771433852445885</v>
      </c>
      <c r="DU23" s="19">
        <f t="shared" si="73"/>
        <v>1144.1059271342265</v>
      </c>
      <c r="DV23" s="19">
        <f t="shared" si="74"/>
        <v>1104.0750639108387</v>
      </c>
      <c r="DW23" s="19">
        <f t="shared" si="3"/>
        <v>1145.995064516422</v>
      </c>
      <c r="DX23" s="25">
        <f t="shared" si="75"/>
        <v>7.3722817147601125</v>
      </c>
      <c r="DY23" s="19">
        <f t="shared" si="4"/>
        <v>4.9746588714293418</v>
      </c>
      <c r="DZ23" s="19">
        <f t="shared" si="76"/>
        <v>4474.0720006567244</v>
      </c>
      <c r="EA23" s="19">
        <f t="shared" si="77"/>
        <v>899.37262358880366</v>
      </c>
      <c r="EC23" s="19">
        <f t="shared" si="78"/>
        <v>9.9029706341750874</v>
      </c>
      <c r="ED23" s="19">
        <f t="shared" si="91"/>
        <v>1106.3525689449261</v>
      </c>
      <c r="EE23" s="19">
        <f t="shared" si="79"/>
        <v>1280</v>
      </c>
      <c r="EG23" s="19">
        <f t="shared" si="80"/>
        <v>0.81648966285106184</v>
      </c>
      <c r="EH23" s="19">
        <f t="shared" si="81"/>
        <v>6.1180475208726529E-3</v>
      </c>
      <c r="EI23" s="19">
        <f t="shared" si="82"/>
        <v>0.1438309137098176</v>
      </c>
      <c r="EJ23" s="19">
        <f t="shared" si="83"/>
        <v>8.1164646082315939E-2</v>
      </c>
      <c r="EK23" s="19">
        <f t="shared" si="84"/>
        <v>1.6924724810419933E-3</v>
      </c>
      <c r="EL23" s="19">
        <f t="shared" si="85"/>
        <v>0.10597643130470447</v>
      </c>
      <c r="EM23" s="19">
        <f t="shared" si="86"/>
        <v>0.1353380853541398</v>
      </c>
      <c r="EN23" s="19">
        <f t="shared" si="87"/>
        <v>1.6742498499995481E-2</v>
      </c>
      <c r="EO23" s="19">
        <f t="shared" si="88"/>
        <v>2.6401698652599465E-3</v>
      </c>
      <c r="EP23" s="19">
        <f t="shared" si="5"/>
        <v>1.3099929276692099</v>
      </c>
      <c r="EQ23" s="19">
        <f t="shared" si="89"/>
        <v>0.62327791670126942</v>
      </c>
      <c r="ER23" s="19">
        <f t="shared" si="6"/>
        <v>4.6702904967266656E-3</v>
      </c>
      <c r="ES23" s="19">
        <f t="shared" si="6"/>
        <v>0.1097951833722699</v>
      </c>
      <c r="ET23" s="19">
        <f t="shared" si="6"/>
        <v>6.1958079595686992E-2</v>
      </c>
      <c r="EU23" s="19">
        <f t="shared" si="6"/>
        <v>1.2919707009818029E-3</v>
      </c>
      <c r="EV23" s="19">
        <f t="shared" si="6"/>
        <v>8.0898475912585144E-2</v>
      </c>
      <c r="EW23" s="19">
        <f t="shared" si="6"/>
        <v>0.1033120732910662</v>
      </c>
      <c r="EX23" s="19">
        <f t="shared" si="6"/>
        <v>1.2780602205070208E-2</v>
      </c>
      <c r="EY23" s="19">
        <f t="shared" si="6"/>
        <v>2.0154077243435494E-3</v>
      </c>
      <c r="EZ23" s="19">
        <f t="shared" si="7"/>
        <v>0.99999999999999967</v>
      </c>
    </row>
    <row r="24" spans="1:156" ht="16.2">
      <c r="A24" s="19" t="s">
        <v>217</v>
      </c>
      <c r="B24" s="19" t="s">
        <v>77</v>
      </c>
      <c r="C24" s="185">
        <v>0.80000001192092896</v>
      </c>
      <c r="D24" s="177">
        <f t="shared" si="8"/>
        <v>904.09497611442657</v>
      </c>
      <c r="F24" s="179">
        <f t="shared" si="9"/>
        <v>-12.094192234242948</v>
      </c>
      <c r="G24" s="185">
        <v>50.625099182128899</v>
      </c>
      <c r="H24" s="185">
        <v>0.33407399058342002</v>
      </c>
      <c r="I24" s="185">
        <v>16.875</v>
      </c>
      <c r="J24" s="185">
        <v>5.0196800231933603</v>
      </c>
      <c r="K24" s="185">
        <v>0.119924001395702</v>
      </c>
      <c r="L24" s="185">
        <v>3.16085004806519</v>
      </c>
      <c r="M24" s="185">
        <v>7.0412502288818404</v>
      </c>
      <c r="N24" s="185">
        <v>1.91877996921539</v>
      </c>
      <c r="O24" s="185">
        <v>0.616752028465271</v>
      </c>
      <c r="P24" s="185">
        <v>3.4263998270034797E-2</v>
      </c>
      <c r="Q24" s="185">
        <v>0</v>
      </c>
      <c r="R24" s="185">
        <v>14.3400001525879</v>
      </c>
      <c r="S24" s="19">
        <f t="shared" si="10"/>
        <v>85.745673470199108</v>
      </c>
      <c r="U24" s="40">
        <f t="shared" si="11"/>
        <v>1077.5303562641145</v>
      </c>
      <c r="V24" s="40">
        <f t="shared" si="12"/>
        <v>889.70519619438164</v>
      </c>
      <c r="W24" s="40">
        <f t="shared" si="13"/>
        <v>911.71994752269688</v>
      </c>
      <c r="X24" s="40">
        <f t="shared" si="14"/>
        <v>1029.6266581215939</v>
      </c>
      <c r="Y24" s="40">
        <f t="shared" si="15"/>
        <v>1077.5330859661103</v>
      </c>
      <c r="Z24" s="40">
        <f t="shared" si="16"/>
        <v>1084.8847537994386</v>
      </c>
      <c r="AB24" s="39">
        <v>39.799999999999997</v>
      </c>
      <c r="AC24" s="39">
        <v>0.05</v>
      </c>
      <c r="AD24" s="39">
        <v>0.06</v>
      </c>
      <c r="AE24" s="39">
        <v>17.2</v>
      </c>
      <c r="AF24" s="39">
        <v>0.22</v>
      </c>
      <c r="AG24" s="39">
        <v>43.1</v>
      </c>
      <c r="AH24" s="39">
        <v>0.38</v>
      </c>
      <c r="AI24" s="39">
        <v>0</v>
      </c>
      <c r="AJ24" s="39">
        <v>0</v>
      </c>
      <c r="AK24" s="39">
        <v>0</v>
      </c>
      <c r="AL24" s="39">
        <v>0</v>
      </c>
      <c r="AM24" s="39">
        <v>0</v>
      </c>
      <c r="AO24" s="41">
        <f t="shared" si="17"/>
        <v>52.889375939184042</v>
      </c>
      <c r="AP24" s="41">
        <f t="shared" si="18"/>
        <v>81.707431452153997</v>
      </c>
      <c r="AQ24" s="44"/>
      <c r="AR24" s="42">
        <f t="shared" si="0"/>
        <v>0.25129221581313521</v>
      </c>
      <c r="AS24" s="181">
        <f t="shared" si="19"/>
        <v>0.3470584837647302</v>
      </c>
      <c r="AT24" s="187">
        <f t="shared" si="20"/>
        <v>10.509855515301561</v>
      </c>
      <c r="AU24" s="186">
        <f t="shared" si="21"/>
        <v>10.185705943997913</v>
      </c>
      <c r="AV24" s="187">
        <f t="shared" si="22"/>
        <v>1095.3111126357198</v>
      </c>
      <c r="AW24" s="187">
        <f t="shared" si="23"/>
        <v>1101.1363237078319</v>
      </c>
      <c r="AX24" s="186">
        <f t="shared" si="24"/>
        <v>1103.7448725410291</v>
      </c>
      <c r="AY24" s="186">
        <f t="shared" si="25"/>
        <v>1109.3318560071468</v>
      </c>
      <c r="AZ24" s="186">
        <f t="shared" si="26"/>
        <v>904.09497611442657</v>
      </c>
      <c r="BA24" s="186">
        <f t="shared" si="27"/>
        <v>848.71795063542913</v>
      </c>
      <c r="BB24" s="186">
        <f t="shared" si="28"/>
        <v>1040.1550104223061</v>
      </c>
      <c r="BC24" s="19">
        <f t="shared" si="29"/>
        <v>1064.890500113057</v>
      </c>
      <c r="BD24" s="19">
        <f t="shared" si="30"/>
        <v>1056.6945522508249</v>
      </c>
      <c r="BE24" s="19">
        <f t="shared" si="31"/>
        <v>853.79190084899221</v>
      </c>
      <c r="BF24" s="207">
        <f t="shared" si="32"/>
        <v>908.55701429787223</v>
      </c>
      <c r="BG24" s="19" t="s">
        <v>76</v>
      </c>
      <c r="BI24" s="19">
        <f t="shared" si="33"/>
        <v>0.84256784521295747</v>
      </c>
      <c r="BJ24" s="19">
        <f t="shared" si="34"/>
        <v>4.1822610077194454E-3</v>
      </c>
      <c r="BK24" s="19">
        <f t="shared" si="35"/>
        <v>0.33100891517344866</v>
      </c>
      <c r="BL24" s="19">
        <f t="shared" si="36"/>
        <v>6.9869161282686942E-2</v>
      </c>
      <c r="BM24" s="19">
        <f t="shared" si="37"/>
        <v>1.6905586099834643E-3</v>
      </c>
      <c r="BN24" s="19">
        <f t="shared" si="38"/>
        <v>7.8424441204066803E-2</v>
      </c>
      <c r="BO24" s="19">
        <f t="shared" si="39"/>
        <v>0.12556306513643359</v>
      </c>
      <c r="BP24" s="19">
        <f t="shared" si="40"/>
        <v>6.1917199860448954E-2</v>
      </c>
      <c r="BQ24" s="19">
        <f t="shared" si="41"/>
        <v>1.3095078951659752E-2</v>
      </c>
      <c r="BR24" s="19">
        <f t="shared" si="42"/>
        <v>1.5283185264394052</v>
      </c>
      <c r="BS24" s="19">
        <f t="shared" si="1"/>
        <v>0.55130382223130348</v>
      </c>
      <c r="BT24" s="19">
        <f t="shared" si="1"/>
        <v>2.7365113589658914E-3</v>
      </c>
      <c r="BU24" s="19">
        <f t="shared" si="1"/>
        <v>0.21658372220653213</v>
      </c>
      <c r="BV24" s="184">
        <f t="shared" si="1"/>
        <v>4.5716360872405555E-2</v>
      </c>
      <c r="BW24" s="19">
        <f t="shared" si="1"/>
        <v>1.1061559359108453E-3</v>
      </c>
      <c r="BX24" s="184">
        <f t="shared" si="1"/>
        <v>5.1314199132805036E-2</v>
      </c>
      <c r="BY24" s="19">
        <f t="shared" si="1"/>
        <v>8.215765428752847E-2</v>
      </c>
      <c r="BZ24" s="19">
        <f t="shared" si="1"/>
        <v>4.0513282270221732E-2</v>
      </c>
      <c r="CA24" s="19">
        <f t="shared" si="1"/>
        <v>8.5682917043268247E-3</v>
      </c>
      <c r="CB24" s="19">
        <f t="shared" si="43"/>
        <v>0.99999999999999989</v>
      </c>
      <c r="CC24" s="19">
        <f t="shared" si="44"/>
        <v>0.66240265759940609</v>
      </c>
      <c r="CD24" s="19">
        <f t="shared" si="45"/>
        <v>6.2594831169221379E-4</v>
      </c>
      <c r="CE24" s="19">
        <f t="shared" si="46"/>
        <v>1.1769205872833731E-3</v>
      </c>
      <c r="CF24" s="19">
        <f t="shared" si="47"/>
        <v>0.23940760536718447</v>
      </c>
      <c r="CG24" s="19">
        <f t="shared" si="48"/>
        <v>3.1013215859030836E-3</v>
      </c>
      <c r="CH24" s="19">
        <f t="shared" si="49"/>
        <v>1.0693621540079992</v>
      </c>
      <c r="CI24" s="19">
        <f t="shared" si="50"/>
        <v>6.7763484041699516E-3</v>
      </c>
      <c r="CJ24" s="19">
        <f t="shared" si="51"/>
        <v>0</v>
      </c>
      <c r="CK24" s="19">
        <f t="shared" si="52"/>
        <v>0</v>
      </c>
      <c r="CL24" s="19">
        <f t="shared" si="53"/>
        <v>1.9828529558636381</v>
      </c>
      <c r="CM24" s="19">
        <f t="shared" si="2"/>
        <v>0.33406544627556328</v>
      </c>
      <c r="CN24" s="19">
        <f t="shared" si="2"/>
        <v>3.1568065087286313E-4</v>
      </c>
      <c r="CO24" s="19">
        <f t="shared" si="2"/>
        <v>5.9354909994864524E-4</v>
      </c>
      <c r="CP24" s="19">
        <f t="shared" si="2"/>
        <v>0.12073896082874673</v>
      </c>
      <c r="CQ24" s="19">
        <f t="shared" si="2"/>
        <v>1.5640703849127799E-3</v>
      </c>
      <c r="CR24" s="19">
        <f t="shared" si="2"/>
        <v>0.53930481876919356</v>
      </c>
      <c r="CS24" s="19">
        <f t="shared" si="2"/>
        <v>3.41747399076221E-3</v>
      </c>
      <c r="CT24" s="19">
        <f t="shared" si="2"/>
        <v>0</v>
      </c>
      <c r="CU24" s="19">
        <f t="shared" si="2"/>
        <v>0</v>
      </c>
      <c r="CV24" s="19">
        <f t="shared" si="90"/>
        <v>0.18029437022864991</v>
      </c>
      <c r="CW24" s="19">
        <f t="shared" si="54"/>
        <v>0.55130382223130348</v>
      </c>
      <c r="CX24" s="19">
        <f t="shared" si="55"/>
        <v>-0.87350061566176673</v>
      </c>
      <c r="DA24" s="19">
        <f t="shared" si="56"/>
        <v>13998.31485723504</v>
      </c>
      <c r="DB24" s="19">
        <f t="shared" si="57"/>
        <v>10.166582167163904</v>
      </c>
      <c r="DC24" s="19">
        <f t="shared" si="58"/>
        <v>10.229238323238599</v>
      </c>
      <c r="DD24" s="19">
        <f t="shared" si="59"/>
        <v>1376.8948725410289</v>
      </c>
      <c r="DF24" s="19">
        <f t="shared" si="60"/>
        <v>13602.905801982104</v>
      </c>
      <c r="DG24" s="19">
        <f t="shared" si="61"/>
        <v>10.166582167163904</v>
      </c>
      <c r="DH24" s="19">
        <f t="shared" si="62"/>
        <v>1338.0018553252696</v>
      </c>
      <c r="DI24" s="19">
        <f t="shared" si="63"/>
        <v>10.229238323238599</v>
      </c>
      <c r="DJ24" s="19">
        <f t="shared" si="64"/>
        <v>1329.8063230259547</v>
      </c>
      <c r="DL24" s="19">
        <v>1280</v>
      </c>
      <c r="DM24" s="19">
        <f t="shared" si="65"/>
        <v>0.80000001192092896</v>
      </c>
      <c r="DN24" s="19">
        <f t="shared" si="66"/>
        <v>1</v>
      </c>
      <c r="DO24" s="19">
        <f t="shared" si="67"/>
        <v>-0.87350061566176673</v>
      </c>
      <c r="DP24" s="19">
        <f t="shared" si="68"/>
        <v>0.18029437022864991</v>
      </c>
      <c r="DQ24" s="19">
        <f t="shared" si="69"/>
        <v>0.55130382223130348</v>
      </c>
      <c r="DR24" s="19">
        <f t="shared" si="70"/>
        <v>10.185705943997913</v>
      </c>
      <c r="DS24" s="19">
        <f t="shared" si="71"/>
        <v>13998.440005892509</v>
      </c>
      <c r="DT24" s="19">
        <f t="shared" si="72"/>
        <v>10.166358939991769</v>
      </c>
      <c r="DU24" s="19">
        <f t="shared" si="73"/>
        <v>1103.7874156981952</v>
      </c>
      <c r="DV24" s="19">
        <f t="shared" si="74"/>
        <v>1064.8953621885407</v>
      </c>
      <c r="DW24" s="19">
        <f t="shared" si="3"/>
        <v>1106.815362794124</v>
      </c>
      <c r="DX24" s="25">
        <f t="shared" si="75"/>
        <v>10.509855515301561</v>
      </c>
      <c r="DY24" s="19">
        <f t="shared" si="4"/>
        <v>5.2715651852385337</v>
      </c>
      <c r="DZ24" s="19">
        <f t="shared" si="76"/>
        <v>4474.0720006567244</v>
      </c>
      <c r="EA24" s="19">
        <f t="shared" si="77"/>
        <v>848.71795063542913</v>
      </c>
      <c r="EC24" s="19">
        <f t="shared" si="78"/>
        <v>14.154718729058205</v>
      </c>
      <c r="ED24" s="19">
        <f t="shared" si="91"/>
        <v>1040.1550104223061</v>
      </c>
      <c r="EE24" s="19">
        <f t="shared" si="79"/>
        <v>1280</v>
      </c>
      <c r="EG24" s="19">
        <f t="shared" si="80"/>
        <v>0.8426281488370323</v>
      </c>
      <c r="EH24" s="19">
        <f t="shared" si="81"/>
        <v>4.181151321444556E-3</v>
      </c>
      <c r="EI24" s="19">
        <f t="shared" si="82"/>
        <v>0.16550608081600629</v>
      </c>
      <c r="EJ24" s="19">
        <f t="shared" si="83"/>
        <v>6.9863326697193612E-2</v>
      </c>
      <c r="EK24" s="19">
        <f t="shared" si="84"/>
        <v>1.6904990329250353E-3</v>
      </c>
      <c r="EL24" s="19">
        <f t="shared" si="85"/>
        <v>7.84330036740742E-2</v>
      </c>
      <c r="EM24" s="19">
        <f t="shared" si="86"/>
        <v>0.1255572437389772</v>
      </c>
      <c r="EN24" s="19">
        <f t="shared" si="87"/>
        <v>3.0958050487502258E-2</v>
      </c>
      <c r="EO24" s="19">
        <f t="shared" si="88"/>
        <v>6.5472614486759128E-3</v>
      </c>
      <c r="EP24" s="19">
        <f t="shared" si="5"/>
        <v>1.325364766053831</v>
      </c>
      <c r="EQ24" s="19">
        <f t="shared" si="89"/>
        <v>0.63577074811328438</v>
      </c>
      <c r="ER24" s="19">
        <f t="shared" si="6"/>
        <v>3.1547174246178309E-3</v>
      </c>
      <c r="ES24" s="19">
        <f t="shared" si="6"/>
        <v>0.12487587195243434</v>
      </c>
      <c r="ET24" s="19">
        <f t="shared" si="6"/>
        <v>5.2712527514373386E-2</v>
      </c>
      <c r="EU24" s="19">
        <f t="shared" si="6"/>
        <v>1.2754971885651999E-3</v>
      </c>
      <c r="EV24" s="19">
        <f t="shared" si="6"/>
        <v>5.9178428220634141E-2</v>
      </c>
      <c r="EW24" s="19">
        <f t="shared" si="6"/>
        <v>9.4734104115966486E-2</v>
      </c>
      <c r="EX24" s="19">
        <f t="shared" si="6"/>
        <v>2.3358136024452657E-2</v>
      </c>
      <c r="EY24" s="19">
        <f t="shared" si="6"/>
        <v>4.9399694456718256E-3</v>
      </c>
      <c r="EZ24" s="19">
        <f t="shared" si="7"/>
        <v>1.0000000000000002</v>
      </c>
    </row>
    <row r="25" spans="1:156" ht="16.2">
      <c r="A25" s="19" t="s">
        <v>217</v>
      </c>
      <c r="B25" s="19" t="s">
        <v>78</v>
      </c>
      <c r="C25" s="185">
        <v>0.20000000298023199</v>
      </c>
      <c r="D25" s="177">
        <f t="shared" si="8"/>
        <v>1050.3690057916349</v>
      </c>
      <c r="F25" s="179">
        <f t="shared" si="9"/>
        <v>-10.247623754585646</v>
      </c>
      <c r="G25" s="185">
        <v>51.4033012390137</v>
      </c>
      <c r="H25" s="185">
        <v>0.66387999057769798</v>
      </c>
      <c r="I25" s="185">
        <v>18.019599914550799</v>
      </c>
      <c r="J25" s="185">
        <v>5.9843997955322301</v>
      </c>
      <c r="K25" s="185">
        <v>0.14226000010967299</v>
      </c>
      <c r="L25" s="185">
        <v>5.3489799499511701</v>
      </c>
      <c r="M25" s="185">
        <v>9.7685203552246094</v>
      </c>
      <c r="N25" s="185">
        <v>3.0728199481964098</v>
      </c>
      <c r="O25" s="185">
        <v>0.407811999320984</v>
      </c>
      <c r="P25" s="185">
        <v>9.4839995726942999E-3</v>
      </c>
      <c r="Q25" s="185">
        <v>0</v>
      </c>
      <c r="R25" s="185">
        <v>5.1599998474121103</v>
      </c>
      <c r="S25" s="19">
        <f t="shared" si="10"/>
        <v>94.821057192049963</v>
      </c>
      <c r="U25" s="40">
        <f t="shared" si="11"/>
        <v>1135.0781726837158</v>
      </c>
      <c r="V25" s="40">
        <f t="shared" si="12"/>
        <v>1069.3859404243469</v>
      </c>
      <c r="W25" s="40">
        <f t="shared" si="13"/>
        <v>1076.9325739758017</v>
      </c>
      <c r="X25" s="40">
        <f t="shared" si="14"/>
        <v>1084.54343233893</v>
      </c>
      <c r="Y25" s="40">
        <f t="shared" si="15"/>
        <v>1121.5144969940186</v>
      </c>
      <c r="Z25" s="40">
        <f t="shared" si="16"/>
        <v>1130.1574378967284</v>
      </c>
      <c r="AB25" s="39">
        <v>39.700000000000003</v>
      </c>
      <c r="AC25" s="39">
        <v>0.03</v>
      </c>
      <c r="AD25" s="39">
        <v>0.06</v>
      </c>
      <c r="AE25" s="39">
        <v>16.899999999999999</v>
      </c>
      <c r="AF25" s="39">
        <v>0.2</v>
      </c>
      <c r="AG25" s="39">
        <v>44</v>
      </c>
      <c r="AH25" s="39">
        <v>0.33</v>
      </c>
      <c r="AI25" s="39">
        <v>0</v>
      </c>
      <c r="AJ25" s="39">
        <v>0</v>
      </c>
      <c r="AK25" s="39">
        <v>0</v>
      </c>
      <c r="AL25" s="39">
        <v>0</v>
      </c>
      <c r="AM25" s="39">
        <v>0</v>
      </c>
      <c r="AO25" s="41">
        <f t="shared" si="17"/>
        <v>61.443159287348657</v>
      </c>
      <c r="AP25" s="41">
        <f t="shared" si="18"/>
        <v>82.272393053587592</v>
      </c>
      <c r="AQ25" s="44"/>
      <c r="AR25" s="42">
        <f t="shared" si="0"/>
        <v>0.34330837542298115</v>
      </c>
      <c r="AS25" s="181">
        <f t="shared" si="19"/>
        <v>0.29890651719097244</v>
      </c>
      <c r="AT25" s="187">
        <f t="shared" si="20"/>
        <v>7.0705858254093146</v>
      </c>
      <c r="AU25" s="186">
        <f t="shared" si="21"/>
        <v>7.2188363842836347</v>
      </c>
      <c r="AV25" s="187">
        <f t="shared" si="22"/>
        <v>1143.2335570269124</v>
      </c>
      <c r="AW25" s="187">
        <f t="shared" si="23"/>
        <v>1143.8987666691983</v>
      </c>
      <c r="AX25" s="186">
        <f t="shared" si="24"/>
        <v>1137.1831482815546</v>
      </c>
      <c r="AY25" s="186">
        <f t="shared" si="25"/>
        <v>1137.8919927553761</v>
      </c>
      <c r="AZ25" s="186">
        <f t="shared" si="26"/>
        <v>1050.3690057916349</v>
      </c>
      <c r="BA25" s="186">
        <f t="shared" si="27"/>
        <v>1043.3497486339966</v>
      </c>
      <c r="BB25" s="186">
        <f t="shared" si="28"/>
        <v>1075.6987779979872</v>
      </c>
      <c r="BC25" s="19">
        <f t="shared" si="29"/>
        <v>1127.0538610157437</v>
      </c>
      <c r="BD25" s="19">
        <f t="shared" si="30"/>
        <v>1133.0609531646605</v>
      </c>
      <c r="BE25" s="19">
        <f t="shared" si="31"/>
        <v>1038.2880940415519</v>
      </c>
      <c r="BF25" s="207">
        <f t="shared" si="32"/>
        <v>1046.2136650074403</v>
      </c>
      <c r="BG25" s="19" t="s">
        <v>76</v>
      </c>
      <c r="BI25" s="19">
        <f t="shared" si="33"/>
        <v>0.85551968216345542</v>
      </c>
      <c r="BJ25" s="19">
        <f t="shared" si="34"/>
        <v>8.3110911853670564E-3</v>
      </c>
      <c r="BK25" s="19">
        <f t="shared" si="35"/>
        <v>0.35346063523407578</v>
      </c>
      <c r="BL25" s="19">
        <f t="shared" si="36"/>
        <v>8.3297140965595332E-2</v>
      </c>
      <c r="BM25" s="19">
        <f t="shared" si="37"/>
        <v>2.0054273143213812E-3</v>
      </c>
      <c r="BN25" s="19">
        <f t="shared" si="38"/>
        <v>0.13271454109107617</v>
      </c>
      <c r="BO25" s="19">
        <f t="shared" si="39"/>
        <v>0.17419709821112622</v>
      </c>
      <c r="BP25" s="19">
        <f t="shared" si="40"/>
        <v>9.9156969491114216E-2</v>
      </c>
      <c r="BQ25" s="19">
        <f t="shared" si="41"/>
        <v>8.6587965374534809E-3</v>
      </c>
      <c r="BR25" s="19">
        <f t="shared" si="42"/>
        <v>1.7173213821935851</v>
      </c>
      <c r="BS25" s="19">
        <f t="shared" si="1"/>
        <v>0.49817098362257328</v>
      </c>
      <c r="BT25" s="19">
        <f t="shared" si="1"/>
        <v>4.839566589889573E-3</v>
      </c>
      <c r="BU25" s="19">
        <f t="shared" si="1"/>
        <v>0.20582090160817199</v>
      </c>
      <c r="BV25" s="184">
        <f t="shared" si="1"/>
        <v>4.8504107518417688E-2</v>
      </c>
      <c r="BW25" s="19">
        <f t="shared" si="1"/>
        <v>1.1677647149305216E-3</v>
      </c>
      <c r="BX25" s="184">
        <f t="shared" si="1"/>
        <v>7.7279967784222178E-2</v>
      </c>
      <c r="BY25" s="19">
        <f t="shared" si="1"/>
        <v>0.1014353515989064</v>
      </c>
      <c r="BZ25" s="19">
        <f t="shared" si="1"/>
        <v>5.7739320385365556E-2</v>
      </c>
      <c r="CA25" s="19">
        <f t="shared" si="1"/>
        <v>5.0420361775227801E-3</v>
      </c>
      <c r="CB25" s="19">
        <f t="shared" si="43"/>
        <v>1</v>
      </c>
      <c r="CC25" s="19">
        <f t="shared" si="44"/>
        <v>0.66073832931398058</v>
      </c>
      <c r="CD25" s="19">
        <f t="shared" si="45"/>
        <v>3.755689870153282E-4</v>
      </c>
      <c r="CE25" s="19">
        <f t="shared" si="46"/>
        <v>1.1769205872833731E-3</v>
      </c>
      <c r="CF25" s="19">
        <f t="shared" si="47"/>
        <v>0.2352318913200824</v>
      </c>
      <c r="CG25" s="19">
        <f t="shared" si="48"/>
        <v>2.8193832599118945E-3</v>
      </c>
      <c r="CH25" s="19">
        <f t="shared" si="49"/>
        <v>1.0916922221891405</v>
      </c>
      <c r="CI25" s="19">
        <f t="shared" si="50"/>
        <v>5.8847236141475892E-3</v>
      </c>
      <c r="CJ25" s="19">
        <f t="shared" si="51"/>
        <v>0</v>
      </c>
      <c r="CK25" s="19">
        <f t="shared" si="52"/>
        <v>0</v>
      </c>
      <c r="CL25" s="19">
        <f t="shared" si="53"/>
        <v>1.9979190392715616</v>
      </c>
      <c r="CM25" s="19">
        <f t="shared" si="2"/>
        <v>0.33071326531573814</v>
      </c>
      <c r="CN25" s="19">
        <f t="shared" si="2"/>
        <v>1.8798008309298665E-4</v>
      </c>
      <c r="CO25" s="19">
        <f t="shared" si="2"/>
        <v>5.8907321275264326E-4</v>
      </c>
      <c r="CP25" s="19">
        <f t="shared" si="2"/>
        <v>0.11773845020559373</v>
      </c>
      <c r="CQ25" s="19">
        <f t="shared" si="2"/>
        <v>1.4111599141373805E-3</v>
      </c>
      <c r="CR25" s="19">
        <f t="shared" si="2"/>
        <v>0.54641464480320978</v>
      </c>
      <c r="CS25" s="19">
        <f t="shared" si="2"/>
        <v>2.9454264654753732E-3</v>
      </c>
      <c r="CT25" s="19">
        <f t="shared" si="2"/>
        <v>0</v>
      </c>
      <c r="CU25" s="19">
        <f t="shared" si="2"/>
        <v>0</v>
      </c>
      <c r="CV25" s="19">
        <f t="shared" si="90"/>
        <v>0.22838719161647678</v>
      </c>
      <c r="CW25" s="19">
        <f t="shared" si="54"/>
        <v>0.49817098362257328</v>
      </c>
      <c r="CX25" s="19">
        <f t="shared" si="55"/>
        <v>-0.84052118105157336</v>
      </c>
      <c r="DA25" s="19">
        <f t="shared" si="56"/>
        <v>13701.720991562681</v>
      </c>
      <c r="DB25" s="19">
        <f t="shared" si="57"/>
        <v>9.7152371468101588</v>
      </c>
      <c r="DC25" s="19">
        <f t="shared" si="58"/>
        <v>9.6737362726262823</v>
      </c>
      <c r="DD25" s="19">
        <f t="shared" si="59"/>
        <v>1410.3331482815547</v>
      </c>
      <c r="DF25" s="19">
        <f t="shared" si="60"/>
        <v>13602.905801982104</v>
      </c>
      <c r="DG25" s="19">
        <f t="shared" si="61"/>
        <v>9.7152371468101588</v>
      </c>
      <c r="DH25" s="19">
        <f t="shared" si="62"/>
        <v>1400.1619925920593</v>
      </c>
      <c r="DI25" s="19">
        <f t="shared" si="63"/>
        <v>9.6737362726262823</v>
      </c>
      <c r="DJ25" s="19">
        <f>DF25/DI25</f>
        <v>1406.1687665058816</v>
      </c>
      <c r="DL25" s="19">
        <v>1290</v>
      </c>
      <c r="DM25" s="19">
        <f t="shared" si="65"/>
        <v>0.20000000298023199</v>
      </c>
      <c r="DN25" s="19">
        <f t="shared" si="66"/>
        <v>1</v>
      </c>
      <c r="DO25" s="19">
        <f t="shared" si="67"/>
        <v>-0.84052118105157336</v>
      </c>
      <c r="DP25" s="19">
        <f t="shared" si="68"/>
        <v>0.22838719161647678</v>
      </c>
      <c r="DQ25" s="19">
        <f t="shared" si="69"/>
        <v>0.49817098362257328</v>
      </c>
      <c r="DR25" s="19">
        <f t="shared" si="70"/>
        <v>7.2188363842836347</v>
      </c>
      <c r="DS25" s="19">
        <f t="shared" si="71"/>
        <v>13701.860001473124</v>
      </c>
      <c r="DT25" s="19">
        <f t="shared" si="72"/>
        <v>9.7150139196380234</v>
      </c>
      <c r="DU25" s="19">
        <f t="shared" si="73"/>
        <v>1137.2298630464184</v>
      </c>
      <c r="DV25" s="19">
        <f t="shared" si="74"/>
        <v>1127.0589490065126</v>
      </c>
      <c r="DW25" s="19">
        <f t="shared" si="3"/>
        <v>1137.778949165061</v>
      </c>
      <c r="DX25" s="25">
        <f t="shared" si="75"/>
        <v>7.0705858254093146</v>
      </c>
      <c r="DY25" s="19">
        <f t="shared" si="4"/>
        <v>4.2564998036167392</v>
      </c>
      <c r="DZ25" s="19">
        <f t="shared" si="76"/>
        <v>4441.0180001641811</v>
      </c>
      <c r="EA25" s="19">
        <f t="shared" si="77"/>
        <v>1043.3497486339968</v>
      </c>
      <c r="EC25" s="19">
        <f t="shared" si="78"/>
        <v>10.017657614814647</v>
      </c>
      <c r="ED25" s="19">
        <f t="shared" si="91"/>
        <v>1075.6987779979872</v>
      </c>
      <c r="EE25" s="19">
        <f t="shared" si="79"/>
        <v>1290</v>
      </c>
      <c r="EG25" s="19">
        <f t="shared" si="80"/>
        <v>0.85558091276653969</v>
      </c>
      <c r="EH25" s="19">
        <f t="shared" si="81"/>
        <v>8.3088859897083589E-3</v>
      </c>
      <c r="EI25" s="19">
        <f t="shared" si="82"/>
        <v>0.17673205094694783</v>
      </c>
      <c r="EJ25" s="19">
        <f t="shared" si="83"/>
        <v>8.3290185045681711E-2</v>
      </c>
      <c r="EK25" s="19">
        <f t="shared" si="84"/>
        <v>2.0053566409595856E-3</v>
      </c>
      <c r="EL25" s="19">
        <f t="shared" si="85"/>
        <v>0.13272903101615807</v>
      </c>
      <c r="EM25" s="19">
        <f t="shared" si="86"/>
        <v>0.17418902202611644</v>
      </c>
      <c r="EN25" s="19">
        <f t="shared" si="87"/>
        <v>4.9577604843439982E-2</v>
      </c>
      <c r="EO25" s="19">
        <f t="shared" si="88"/>
        <v>4.329214430159066E-3</v>
      </c>
      <c r="EP25" s="19">
        <f t="shared" si="5"/>
        <v>1.4867422637057106</v>
      </c>
      <c r="EQ25" s="19">
        <f t="shared" si="89"/>
        <v>0.57547359327365932</v>
      </c>
      <c r="ER25" s="19">
        <f t="shared" si="6"/>
        <v>5.5886525812472903E-3</v>
      </c>
      <c r="ES25" s="19">
        <f t="shared" si="6"/>
        <v>0.11887201652991457</v>
      </c>
      <c r="ET25" s="19">
        <f t="shared" si="6"/>
        <v>5.6021939430228221E-2</v>
      </c>
      <c r="EU25" s="19">
        <f t="shared" si="6"/>
        <v>1.3488260137041015E-3</v>
      </c>
      <c r="EV25" s="19">
        <f t="shared" si="6"/>
        <v>8.9275077635400282E-2</v>
      </c>
      <c r="EW25" s="19">
        <f t="shared" si="6"/>
        <v>0.11716154593732317</v>
      </c>
      <c r="EX25" s="19">
        <f t="shared" si="6"/>
        <v>3.3346469024071207E-2</v>
      </c>
      <c r="EY25" s="19">
        <f t="shared" si="6"/>
        <v>2.9118795744519179E-3</v>
      </c>
      <c r="EZ25" s="19">
        <f t="shared" si="7"/>
        <v>1.0000000000000002</v>
      </c>
    </row>
    <row r="26" spans="1:156" customFormat="1" ht="16.2"/>
    <row r="27" spans="1:156" customFormat="1" ht="16.2"/>
    <row r="28" spans="1:156" customFormat="1" ht="16.2">
      <c r="D28">
        <v>1100</v>
      </c>
      <c r="F28">
        <f>5.5976-24505/(D28+273.15)+0.8099*LOG(D28+273.15)+0.0937*(C16*10*1000-1)/(273.15+D28)+$F$14</f>
        <v>-9.5705848463335403</v>
      </c>
      <c r="G28">
        <f>0.0583+0.00252*G16+0.028*C16-0.0091*(N16+O16)-0.013383*F28</f>
        <v>0.29478798733241074</v>
      </c>
    </row>
    <row r="29" spans="1:156" customFormat="1" ht="16.2"/>
    <row r="30" spans="1:156" customFormat="1" ht="16.2"/>
    <row r="31" spans="1:156" customFormat="1" ht="16.2"/>
    <row r="32" spans="1:156" customFormat="1" ht="16.2"/>
    <row r="33" customFormat="1" ht="16.2"/>
    <row r="34" customFormat="1" ht="16.2"/>
    <row r="35" customFormat="1" ht="16.2"/>
    <row r="36" customFormat="1" ht="16.2"/>
    <row r="37" customFormat="1" ht="16.2"/>
    <row r="38" customFormat="1" ht="16.2"/>
    <row r="39" customFormat="1" ht="16.2"/>
    <row r="40" customFormat="1" ht="16.2"/>
    <row r="41" customFormat="1" ht="16.2"/>
    <row r="42" customFormat="1" ht="16.2"/>
    <row r="43" customFormat="1" ht="16.2"/>
  </sheetData>
  <pageMargins left="0.75" right="0.75" top="1" bottom="1" header="0.5" footer="0.5"/>
  <pageSetup orientation="portrait" horizontalDpi="4294967292" verticalDpi="4294967292"/>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6904-F393-449B-8E2F-2E9C7475C526}">
  <dimension ref="A1:EZ43"/>
  <sheetViews>
    <sheetView topLeftCell="BB6" workbookViewId="0">
      <selection activeCell="BI16" sqref="BI16"/>
    </sheetView>
  </sheetViews>
  <sheetFormatPr defaultColWidth="8.61328125" defaultRowHeight="12.6"/>
  <cols>
    <col min="1" max="1" width="18" style="19" customWidth="1"/>
    <col min="2" max="2" width="18.84375" style="19" customWidth="1"/>
    <col min="3" max="3" width="15.23046875" style="20" customWidth="1"/>
    <col min="4" max="4" width="18" style="20" customWidth="1"/>
    <col min="5" max="5" width="5.4609375" style="20" customWidth="1"/>
    <col min="6" max="6" width="16.4609375" style="21" customWidth="1"/>
    <col min="7" max="8" width="8.61328125" style="19" customWidth="1"/>
    <col min="9" max="9" width="12" style="19" customWidth="1"/>
    <col min="10" max="12" width="8.61328125" style="19" customWidth="1"/>
    <col min="13" max="13" width="21" style="19" customWidth="1"/>
    <col min="14" max="20" width="8.61328125" style="19" customWidth="1"/>
    <col min="21" max="24" width="15.15234375" style="20" customWidth="1"/>
    <col min="25" max="26" width="13.84375" style="20" customWidth="1"/>
    <col min="27" max="29" width="8.61328125" style="19" customWidth="1"/>
    <col min="30" max="30" width="11.15234375" style="19" customWidth="1"/>
    <col min="31" max="40" width="8.61328125" style="19" customWidth="1"/>
    <col min="41" max="42" width="8.61328125" style="20" customWidth="1"/>
    <col min="43" max="43" width="6.15234375" style="20" customWidth="1"/>
    <col min="44" max="44" width="10" style="20" customWidth="1"/>
    <col min="45" max="45" width="9" style="20" customWidth="1"/>
    <col min="46" max="46" width="8.3828125" style="20" customWidth="1"/>
    <col min="47" max="49" width="13.4609375" style="20" customWidth="1"/>
    <col min="50" max="50" width="12.4609375" style="20" customWidth="1"/>
    <col min="51" max="51" width="13.4609375" style="20" customWidth="1"/>
    <col min="52" max="52" width="18.3828125" style="20" customWidth="1"/>
    <col min="53" max="53" width="18.84375" style="20" customWidth="1"/>
    <col min="54" max="54" width="18.23046875" style="20" customWidth="1"/>
    <col min="55" max="102" width="8.61328125" style="19" customWidth="1"/>
    <col min="103" max="104" width="8.61328125" style="22" customWidth="1"/>
    <col min="105" max="108" width="8.61328125" style="19" customWidth="1"/>
    <col min="109" max="109" width="8.61328125" style="22" customWidth="1"/>
    <col min="110" max="114" width="8.61328125" style="19" customWidth="1"/>
    <col min="115" max="115" width="8.61328125" style="22" customWidth="1"/>
    <col min="116" max="125" width="8.61328125" style="19" customWidth="1"/>
    <col min="126" max="126" width="14.765625" style="19" customWidth="1"/>
    <col min="127" max="131" width="8.61328125" style="19" customWidth="1"/>
    <col min="132" max="132" width="8.61328125" style="22" customWidth="1"/>
    <col min="133" max="133" width="10.23046875" style="19" customWidth="1"/>
    <col min="134" max="134" width="24.84375" style="19" customWidth="1"/>
    <col min="135" max="16384" width="8.61328125" style="19"/>
  </cols>
  <sheetData>
    <row r="1" spans="1:156" ht="22.2">
      <c r="A1" s="18" t="s">
        <v>119</v>
      </c>
    </row>
    <row r="2" spans="1:156">
      <c r="A2" s="22"/>
    </row>
    <row r="3" spans="1:156" ht="22.2">
      <c r="A3" s="23" t="s">
        <v>120</v>
      </c>
    </row>
    <row r="4" spans="1:156" ht="22.2">
      <c r="A4" s="23" t="s">
        <v>121</v>
      </c>
      <c r="BG4" s="19" t="s">
        <v>236</v>
      </c>
      <c r="BH4" s="19" t="s">
        <v>237</v>
      </c>
      <c r="BI4" s="19" t="s">
        <v>238</v>
      </c>
      <c r="BJ4" s="19" t="s">
        <v>239</v>
      </c>
      <c r="BK4" s="19" t="s">
        <v>240</v>
      </c>
      <c r="BL4" s="19" t="s">
        <v>241</v>
      </c>
      <c r="BM4" s="19" t="s">
        <v>242</v>
      </c>
      <c r="DM4" s="22"/>
    </row>
    <row r="5" spans="1:156">
      <c r="A5" s="22"/>
      <c r="BG5" s="19" t="s">
        <v>243</v>
      </c>
      <c r="BH5" s="19" t="s">
        <v>244</v>
      </c>
      <c r="BI5" s="19" t="s">
        <v>245</v>
      </c>
      <c r="BJ5" s="19" t="s">
        <v>246</v>
      </c>
      <c r="BK5" s="19" t="s">
        <v>247</v>
      </c>
      <c r="BL5" s="19" t="s">
        <v>248</v>
      </c>
      <c r="BM5" s="19" t="s">
        <v>249</v>
      </c>
      <c r="BN5" s="19" t="s">
        <v>250</v>
      </c>
      <c r="BO5" s="19" t="s">
        <v>251</v>
      </c>
      <c r="BP5" s="19" t="s">
        <v>252</v>
      </c>
      <c r="BQ5" s="19" t="s">
        <v>253</v>
      </c>
      <c r="BR5" s="19" t="s">
        <v>254</v>
      </c>
      <c r="BS5" s="19" t="s">
        <v>255</v>
      </c>
      <c r="DM5" s="22"/>
    </row>
    <row r="6" spans="1:156" ht="17.399999999999999">
      <c r="A6" s="24" t="s">
        <v>100</v>
      </c>
      <c r="U6"/>
      <c r="V6"/>
      <c r="W6"/>
      <c r="X6"/>
      <c r="Y6"/>
      <c r="Z6"/>
      <c r="AO6" s="19"/>
      <c r="DF6" s="25"/>
      <c r="DM6" s="22"/>
    </row>
    <row r="7" spans="1:156" ht="17.399999999999999">
      <c r="A7" s="24" t="s">
        <v>23</v>
      </c>
      <c r="T7" s="176"/>
      <c r="U7"/>
      <c r="V7"/>
      <c r="W7"/>
      <c r="X7"/>
      <c r="Y7"/>
      <c r="Z7"/>
      <c r="AO7" s="21"/>
      <c r="DF7" s="25"/>
      <c r="DM7" s="22"/>
    </row>
    <row r="8" spans="1:156" ht="17.399999999999999">
      <c r="A8" s="24" t="s">
        <v>22</v>
      </c>
      <c r="T8" s="176"/>
      <c r="U8"/>
      <c r="V8"/>
      <c r="W8"/>
      <c r="X8"/>
      <c r="Y8"/>
      <c r="Z8"/>
      <c r="AO8" s="21"/>
      <c r="DF8" s="25"/>
      <c r="DM8" s="22"/>
    </row>
    <row r="9" spans="1:156" ht="17.399999999999999">
      <c r="A9" s="24" t="s">
        <v>192</v>
      </c>
      <c r="U9"/>
      <c r="V9"/>
      <c r="W9"/>
      <c r="X9"/>
      <c r="Y9"/>
      <c r="Z9"/>
      <c r="AO9" s="21"/>
      <c r="DF9" s="25"/>
      <c r="DM9" s="22"/>
    </row>
    <row r="10" spans="1:156" ht="17.399999999999999">
      <c r="A10" s="24"/>
      <c r="K10"/>
      <c r="L10"/>
      <c r="M10"/>
      <c r="N10"/>
      <c r="O10"/>
      <c r="P10" s="162"/>
      <c r="U10"/>
      <c r="V10"/>
      <c r="W10"/>
      <c r="X10"/>
      <c r="Y10"/>
      <c r="Z10"/>
      <c r="AO10" s="21"/>
      <c r="AV10" s="20" t="s">
        <v>232</v>
      </c>
      <c r="AW10" s="20" t="s">
        <v>232</v>
      </c>
      <c r="BS10"/>
      <c r="BT10"/>
      <c r="BU10"/>
      <c r="BV10"/>
      <c r="BW10"/>
      <c r="BX10"/>
      <c r="BY10"/>
      <c r="BZ10"/>
      <c r="CA10"/>
      <c r="DF10" s="25"/>
      <c r="DM10" s="22"/>
    </row>
    <row r="11" spans="1:156" ht="19.8">
      <c r="A11" s="24"/>
      <c r="C11" s="127" t="s">
        <v>149</v>
      </c>
      <c r="D11" s="45"/>
      <c r="F11" s="127" t="s">
        <v>149</v>
      </c>
      <c r="G11" s="156" t="s">
        <v>151</v>
      </c>
      <c r="H11" s="157"/>
      <c r="I11" s="158"/>
      <c r="K11"/>
      <c r="L11"/>
      <c r="M11"/>
      <c r="N11"/>
      <c r="O11"/>
      <c r="U11" s="182" t="s">
        <v>227</v>
      </c>
      <c r="AB11" s="126" t="s">
        <v>152</v>
      </c>
      <c r="AC11" s="48"/>
      <c r="AD11" s="49"/>
      <c r="AX11" s="183" t="s">
        <v>228</v>
      </c>
      <c r="BI11" s="19" t="s">
        <v>256</v>
      </c>
      <c r="DA11" s="19">
        <f>113.1*1000/8.3144</f>
        <v>13602.905801982104</v>
      </c>
      <c r="DB11" s="19">
        <f>4.11*10^-6/8.3144</f>
        <v>4.9432310208794396E-7</v>
      </c>
      <c r="DF11" s="25"/>
      <c r="DM11" s="22"/>
    </row>
    <row r="12" spans="1:156" ht="18" thickBot="1">
      <c r="A12" s="24"/>
      <c r="C12" s="128" t="s">
        <v>150</v>
      </c>
      <c r="D12" s="46"/>
      <c r="F12" s="128" t="s">
        <v>222</v>
      </c>
      <c r="G12" s="159" t="s">
        <v>158</v>
      </c>
      <c r="H12" s="160"/>
      <c r="I12" s="161"/>
      <c r="K12"/>
      <c r="L12"/>
      <c r="M12"/>
      <c r="N12"/>
      <c r="O12"/>
      <c r="U12" s="28"/>
      <c r="V12" s="28"/>
      <c r="W12" s="28"/>
      <c r="X12" s="28"/>
      <c r="Y12" s="29" t="s">
        <v>189</v>
      </c>
      <c r="Z12" s="29" t="s">
        <v>189</v>
      </c>
      <c r="AO12" s="115" t="s">
        <v>117</v>
      </c>
      <c r="AU12" s="26"/>
      <c r="AV12" s="26"/>
      <c r="AW12" s="26"/>
      <c r="AX12" s="20" t="s">
        <v>264</v>
      </c>
      <c r="AY12" s="20" t="s">
        <v>264</v>
      </c>
      <c r="DA12" s="19">
        <f>52.05/8.3144</f>
        <v>6.2602232271721352</v>
      </c>
      <c r="DD12" s="19">
        <f>(13603+4.943*10^-7*(C16*10^9-10^-5))/(6.26+2*LN(AU16)+2*LN(1.5*DP16)+2*LN(3*DQ16)-DO16)-273.15</f>
        <v>1129.4094167649882</v>
      </c>
      <c r="DF12" s="25"/>
    </row>
    <row r="13" spans="1:156" s="27" customFormat="1" ht="16.8" thickBot="1">
      <c r="A13" s="22" t="s">
        <v>0</v>
      </c>
      <c r="C13" s="129" t="s">
        <v>85</v>
      </c>
      <c r="D13" s="47" t="s">
        <v>226</v>
      </c>
      <c r="E13" s="28"/>
      <c r="F13" s="128" t="s">
        <v>223</v>
      </c>
      <c r="U13" s="37" t="s">
        <v>81</v>
      </c>
      <c r="V13" s="37" t="s">
        <v>82</v>
      </c>
      <c r="W13" s="37" t="s">
        <v>83</v>
      </c>
      <c r="X13" s="37" t="s">
        <v>84</v>
      </c>
      <c r="Y13" s="29" t="s">
        <v>193</v>
      </c>
      <c r="Z13" s="29" t="s">
        <v>193</v>
      </c>
      <c r="AO13" s="115" t="s">
        <v>118</v>
      </c>
      <c r="AP13"/>
      <c r="AQ13"/>
      <c r="AR13"/>
      <c r="AS13"/>
      <c r="AT13" s="29"/>
      <c r="AU13" s="30" t="s">
        <v>190</v>
      </c>
      <c r="AW13" s="30"/>
      <c r="AX13" s="117"/>
      <c r="AY13" s="118" t="s">
        <v>190</v>
      </c>
      <c r="AZ13" s="119" t="s">
        <v>191</v>
      </c>
      <c r="BA13" s="119" t="s">
        <v>130</v>
      </c>
      <c r="BB13" s="120"/>
      <c r="BL13" s="31"/>
      <c r="BR13" s="31"/>
      <c r="BV13" s="31"/>
      <c r="CC13" s="27" t="s">
        <v>265</v>
      </c>
      <c r="CV13" s="27" t="s">
        <v>132</v>
      </c>
      <c r="DB13" s="31" t="s">
        <v>229</v>
      </c>
      <c r="DC13" s="27" t="s">
        <v>230</v>
      </c>
      <c r="DF13" s="188" t="s">
        <v>257</v>
      </c>
    </row>
    <row r="14" spans="1:156" s="27" customFormat="1" ht="14.4" thickBot="1">
      <c r="A14" s="32"/>
      <c r="B14" s="33"/>
      <c r="C14" s="34"/>
      <c r="D14" s="34" t="s">
        <v>225</v>
      </c>
      <c r="E14" s="34"/>
      <c r="F14" s="178">
        <v>0</v>
      </c>
      <c r="G14" s="35" t="s">
        <v>80</v>
      </c>
      <c r="H14" s="36"/>
      <c r="I14" s="36"/>
      <c r="J14" s="36"/>
      <c r="K14" s="36"/>
      <c r="L14" s="36"/>
      <c r="M14" s="36"/>
      <c r="N14" s="36"/>
      <c r="O14" s="36"/>
      <c r="P14" s="36"/>
      <c r="Q14" s="36"/>
      <c r="R14" s="36"/>
      <c r="S14" s="31" t="s">
        <v>20</v>
      </c>
      <c r="U14" s="37" t="s">
        <v>41</v>
      </c>
      <c r="V14" s="37" t="s">
        <v>41</v>
      </c>
      <c r="W14" s="37" t="s">
        <v>41</v>
      </c>
      <c r="X14" s="37" t="s">
        <v>41</v>
      </c>
      <c r="Y14" s="29" t="s">
        <v>42</v>
      </c>
      <c r="Z14" s="29" t="s">
        <v>43</v>
      </c>
      <c r="AB14" s="35" t="s">
        <v>194</v>
      </c>
      <c r="AC14" s="36"/>
      <c r="AD14" s="36"/>
      <c r="AE14" s="36"/>
      <c r="AF14" s="36"/>
      <c r="AG14" s="36"/>
      <c r="AH14" s="36"/>
      <c r="AI14" s="36"/>
      <c r="AJ14" s="36"/>
      <c r="AK14" s="36"/>
      <c r="AL14" s="36"/>
      <c r="AM14" s="36"/>
      <c r="AO14" s="29" t="s">
        <v>195</v>
      </c>
      <c r="AP14" s="29" t="s">
        <v>196</v>
      </c>
      <c r="AQ14" s="43"/>
      <c r="AR14" s="29" t="s">
        <v>197</v>
      </c>
      <c r="AS14" s="29" t="s">
        <v>224</v>
      </c>
      <c r="AT14" s="29" t="s">
        <v>197</v>
      </c>
      <c r="AU14" s="29" t="s">
        <v>198</v>
      </c>
      <c r="AV14" s="29"/>
      <c r="AW14" s="29"/>
      <c r="AX14" s="121" t="s">
        <v>190</v>
      </c>
      <c r="AY14" s="116" t="s">
        <v>199</v>
      </c>
      <c r="AZ14" s="116" t="s">
        <v>200</v>
      </c>
      <c r="BA14" s="116" t="s">
        <v>131</v>
      </c>
      <c r="BB14" s="122" t="s">
        <v>201</v>
      </c>
      <c r="BI14" s="27" t="s">
        <v>202</v>
      </c>
      <c r="BS14" s="53" t="s">
        <v>203</v>
      </c>
      <c r="BT14" s="54"/>
      <c r="BU14" s="54"/>
      <c r="BV14" s="54"/>
      <c r="BW14" s="54"/>
      <c r="BX14" s="54"/>
      <c r="BY14" s="54"/>
      <c r="BZ14" s="54"/>
      <c r="CA14" s="55"/>
      <c r="CC14" s="27" t="s">
        <v>204</v>
      </c>
      <c r="CM14" s="53" t="s">
        <v>205</v>
      </c>
      <c r="CN14" s="54"/>
      <c r="CO14" s="54"/>
      <c r="CP14" s="54"/>
      <c r="CQ14" s="54"/>
      <c r="CR14" s="54"/>
      <c r="CS14" s="54"/>
      <c r="CT14" s="54"/>
      <c r="CU14" s="55"/>
      <c r="CV14" s="53"/>
      <c r="CW14" s="54"/>
      <c r="CX14" s="55"/>
      <c r="DA14" s="31" t="s">
        <v>190</v>
      </c>
      <c r="DD14" s="27">
        <f>DA16/DB16-273.15</f>
        <v>1129.3631397181139</v>
      </c>
      <c r="DF14" s="31" t="s">
        <v>199</v>
      </c>
      <c r="DG14" s="31"/>
      <c r="DH14" s="31" t="s">
        <v>258</v>
      </c>
      <c r="DI14" s="31"/>
      <c r="DJ14" s="31"/>
      <c r="DR14" s="27" t="s">
        <v>206</v>
      </c>
      <c r="DX14" s="27" t="s">
        <v>207</v>
      </c>
      <c r="EG14" s="27" t="s">
        <v>24</v>
      </c>
      <c r="EQ14" s="27" t="s">
        <v>25</v>
      </c>
    </row>
    <row r="15" spans="1:156" s="27" customFormat="1" ht="42.6" thickBot="1">
      <c r="A15" s="32" t="s">
        <v>26</v>
      </c>
      <c r="B15" s="33" t="s">
        <v>27</v>
      </c>
      <c r="C15" s="38" t="s">
        <v>28</v>
      </c>
      <c r="D15" s="180" t="s">
        <v>47</v>
      </c>
      <c r="E15" s="34"/>
      <c r="F15" s="34" t="s">
        <v>221</v>
      </c>
      <c r="G15" s="38" t="s">
        <v>29</v>
      </c>
      <c r="H15" s="38" t="s">
        <v>30</v>
      </c>
      <c r="I15" s="38" t="s">
        <v>31</v>
      </c>
      <c r="J15" s="38" t="s">
        <v>32</v>
      </c>
      <c r="K15" s="38" t="s">
        <v>33</v>
      </c>
      <c r="L15" s="38" t="s">
        <v>7</v>
      </c>
      <c r="M15" s="38" t="s">
        <v>34</v>
      </c>
      <c r="N15" s="38" t="s">
        <v>35</v>
      </c>
      <c r="O15" s="38" t="s">
        <v>36</v>
      </c>
      <c r="P15" s="38" t="s">
        <v>37</v>
      </c>
      <c r="Q15" s="38" t="s">
        <v>38</v>
      </c>
      <c r="R15" s="38" t="s">
        <v>39</v>
      </c>
      <c r="S15" s="31" t="s">
        <v>40</v>
      </c>
      <c r="T15" s="31"/>
      <c r="U15" s="52" t="s">
        <v>47</v>
      </c>
      <c r="V15" s="52" t="s">
        <v>47</v>
      </c>
      <c r="W15" s="52" t="s">
        <v>47</v>
      </c>
      <c r="X15" s="52" t="s">
        <v>47</v>
      </c>
      <c r="Y15" s="52" t="s">
        <v>47</v>
      </c>
      <c r="Z15" s="52" t="s">
        <v>47</v>
      </c>
      <c r="AA15" s="31"/>
      <c r="AB15" s="38" t="s">
        <v>29</v>
      </c>
      <c r="AC15" s="38" t="s">
        <v>30</v>
      </c>
      <c r="AD15" s="38" t="s">
        <v>31</v>
      </c>
      <c r="AE15" s="38" t="s">
        <v>32</v>
      </c>
      <c r="AF15" s="38" t="s">
        <v>33</v>
      </c>
      <c r="AG15" s="38" t="s">
        <v>7</v>
      </c>
      <c r="AH15" s="38" t="s">
        <v>34</v>
      </c>
      <c r="AI15" s="38" t="s">
        <v>35</v>
      </c>
      <c r="AJ15" s="38" t="s">
        <v>36</v>
      </c>
      <c r="AK15" s="38" t="s">
        <v>37</v>
      </c>
      <c r="AL15" s="38" t="s">
        <v>38</v>
      </c>
      <c r="AM15" s="38" t="s">
        <v>39</v>
      </c>
      <c r="AN15" s="31"/>
      <c r="AO15" s="52" t="s">
        <v>79</v>
      </c>
      <c r="AP15" s="52" t="s">
        <v>44</v>
      </c>
      <c r="AQ15" s="43"/>
      <c r="AR15" s="52" t="s">
        <v>134</v>
      </c>
      <c r="AS15" s="52" t="s">
        <v>134</v>
      </c>
      <c r="AT15" s="52" t="s">
        <v>45</v>
      </c>
      <c r="AU15" s="52" t="s">
        <v>46</v>
      </c>
      <c r="AV15" s="189" t="s">
        <v>233</v>
      </c>
      <c r="AW15" s="190" t="s">
        <v>261</v>
      </c>
      <c r="AX15" s="123" t="s">
        <v>47</v>
      </c>
      <c r="AY15" s="124" t="s">
        <v>47</v>
      </c>
      <c r="AZ15" s="124" t="s">
        <v>133</v>
      </c>
      <c r="BA15" s="124" t="s">
        <v>208</v>
      </c>
      <c r="BB15" s="125" t="s">
        <v>209</v>
      </c>
      <c r="BC15" s="203" t="s">
        <v>234</v>
      </c>
      <c r="BD15" s="203" t="s">
        <v>235</v>
      </c>
      <c r="BE15" s="31" t="s">
        <v>262</v>
      </c>
      <c r="BF15" s="31" t="s">
        <v>263</v>
      </c>
      <c r="BG15" s="31" t="s">
        <v>48</v>
      </c>
      <c r="BI15" s="31" t="s">
        <v>49</v>
      </c>
      <c r="BJ15" s="31" t="s">
        <v>50</v>
      </c>
      <c r="BK15" s="31" t="s">
        <v>51</v>
      </c>
      <c r="BL15" s="31" t="s">
        <v>52</v>
      </c>
      <c r="BM15" s="31" t="s">
        <v>53</v>
      </c>
      <c r="BN15" s="31" t="s">
        <v>54</v>
      </c>
      <c r="BO15" s="31" t="s">
        <v>55</v>
      </c>
      <c r="BP15" s="31" t="s">
        <v>56</v>
      </c>
      <c r="BQ15" s="31" t="s">
        <v>57</v>
      </c>
      <c r="BR15" s="31" t="s">
        <v>58</v>
      </c>
      <c r="BS15" s="56" t="s">
        <v>49</v>
      </c>
      <c r="BT15" s="57" t="s">
        <v>50</v>
      </c>
      <c r="BU15" s="57" t="s">
        <v>51</v>
      </c>
      <c r="BV15" s="57" t="s">
        <v>52</v>
      </c>
      <c r="BW15" s="57" t="s">
        <v>53</v>
      </c>
      <c r="BX15" s="57" t="s">
        <v>54</v>
      </c>
      <c r="BY15" s="57" t="s">
        <v>55</v>
      </c>
      <c r="BZ15" s="57" t="s">
        <v>56</v>
      </c>
      <c r="CA15" s="58" t="s">
        <v>57</v>
      </c>
      <c r="CC15" s="31" t="s">
        <v>49</v>
      </c>
      <c r="CD15" s="31" t="s">
        <v>50</v>
      </c>
      <c r="CE15" s="31" t="s">
        <v>51</v>
      </c>
      <c r="CF15" s="31" t="s">
        <v>52</v>
      </c>
      <c r="CG15" s="31" t="s">
        <v>53</v>
      </c>
      <c r="CH15" s="31" t="s">
        <v>54</v>
      </c>
      <c r="CI15" s="31" t="s">
        <v>55</v>
      </c>
      <c r="CJ15" s="31" t="s">
        <v>56</v>
      </c>
      <c r="CK15" s="31" t="s">
        <v>57</v>
      </c>
      <c r="CL15" s="31" t="s">
        <v>58</v>
      </c>
      <c r="CM15" s="56" t="s">
        <v>49</v>
      </c>
      <c r="CN15" s="57" t="s">
        <v>50</v>
      </c>
      <c r="CO15" s="57" t="s">
        <v>51</v>
      </c>
      <c r="CP15" s="57" t="s">
        <v>52</v>
      </c>
      <c r="CQ15" s="57" t="s">
        <v>53</v>
      </c>
      <c r="CR15" s="57" t="s">
        <v>54</v>
      </c>
      <c r="CS15" s="57" t="s">
        <v>55</v>
      </c>
      <c r="CT15" s="57" t="s">
        <v>56</v>
      </c>
      <c r="CU15" s="58" t="s">
        <v>57</v>
      </c>
      <c r="CV15" s="56" t="s">
        <v>59</v>
      </c>
      <c r="CW15" s="57" t="s">
        <v>60</v>
      </c>
      <c r="CX15" s="58" t="s">
        <v>61</v>
      </c>
      <c r="DA15" s="31" t="s">
        <v>62</v>
      </c>
      <c r="DB15" s="31" t="s">
        <v>63</v>
      </c>
      <c r="DC15" s="31" t="s">
        <v>231</v>
      </c>
      <c r="DD15" s="31" t="s">
        <v>64</v>
      </c>
      <c r="DF15" s="31" t="s">
        <v>62</v>
      </c>
      <c r="DG15" s="31" t="s">
        <v>63</v>
      </c>
      <c r="DH15" s="31"/>
      <c r="DI15" s="31" t="s">
        <v>259</v>
      </c>
      <c r="DJ15" s="31" t="s">
        <v>260</v>
      </c>
      <c r="DL15" s="31" t="s">
        <v>47</v>
      </c>
      <c r="DM15" s="27" t="s">
        <v>65</v>
      </c>
      <c r="DO15" s="31" t="s">
        <v>66</v>
      </c>
      <c r="DP15" s="31" t="s">
        <v>115</v>
      </c>
      <c r="DQ15" s="31" t="s">
        <v>116</v>
      </c>
      <c r="DR15" s="31" t="s">
        <v>96</v>
      </c>
      <c r="DU15" s="31" t="s">
        <v>97</v>
      </c>
      <c r="DV15" s="31" t="s">
        <v>98</v>
      </c>
      <c r="DW15" s="31" t="s">
        <v>129</v>
      </c>
      <c r="DX15" s="31" t="s">
        <v>96</v>
      </c>
      <c r="DY15" s="31" t="s">
        <v>210</v>
      </c>
      <c r="EA15" s="31" t="s">
        <v>210</v>
      </c>
      <c r="EC15" s="31" t="s">
        <v>211</v>
      </c>
      <c r="ED15" s="31" t="s">
        <v>212</v>
      </c>
      <c r="EE15" s="31" t="s">
        <v>213</v>
      </c>
      <c r="EG15" s="31" t="s">
        <v>49</v>
      </c>
      <c r="EH15" s="31" t="s">
        <v>50</v>
      </c>
      <c r="EI15" s="31" t="s">
        <v>214</v>
      </c>
      <c r="EJ15" s="31" t="s">
        <v>52</v>
      </c>
      <c r="EK15" s="31" t="s">
        <v>53</v>
      </c>
      <c r="EL15" s="31" t="s">
        <v>54</v>
      </c>
      <c r="EM15" s="31" t="s">
        <v>55</v>
      </c>
      <c r="EN15" s="31" t="s">
        <v>215</v>
      </c>
      <c r="EO15" s="31" t="s">
        <v>216</v>
      </c>
      <c r="EP15" s="31" t="s">
        <v>58</v>
      </c>
      <c r="EQ15" s="31" t="s">
        <v>49</v>
      </c>
      <c r="ER15" s="31" t="s">
        <v>50</v>
      </c>
      <c r="ES15" s="31" t="s">
        <v>214</v>
      </c>
      <c r="ET15" s="31" t="s">
        <v>52</v>
      </c>
      <c r="EU15" s="31" t="s">
        <v>53</v>
      </c>
      <c r="EV15" s="31" t="s">
        <v>54</v>
      </c>
      <c r="EW15" s="31" t="s">
        <v>55</v>
      </c>
      <c r="EX15" s="31" t="s">
        <v>215</v>
      </c>
      <c r="EY15" s="31" t="s">
        <v>216</v>
      </c>
      <c r="EZ15" s="31" t="s">
        <v>58</v>
      </c>
    </row>
    <row r="16" spans="1:156" ht="16.2">
      <c r="A16" s="19" t="s">
        <v>217</v>
      </c>
      <c r="B16" s="19" t="s">
        <v>218</v>
      </c>
      <c r="C16" s="185">
        <v>0.20000000298023199</v>
      </c>
      <c r="D16" s="177">
        <f>AZ16</f>
        <v>1016.7977052277748</v>
      </c>
      <c r="F16" s="179">
        <f>5.5976-24505/(D16+273.15)+0.8099*LOG(D16+273.15)+0.0937*(C16*10*1000-1)/(273.15+D16)+$F$14</f>
        <v>-10.734837220217274</v>
      </c>
      <c r="G16" s="185">
        <v>57.023601531982401</v>
      </c>
      <c r="H16" s="185">
        <v>0.62310600280761697</v>
      </c>
      <c r="I16" s="185">
        <v>16.332899093627901</v>
      </c>
      <c r="J16" s="185">
        <v>4.3617401123046902</v>
      </c>
      <c r="K16" s="185">
        <v>0.103850997984409</v>
      </c>
      <c r="L16" s="185">
        <v>4.1918001174926802</v>
      </c>
      <c r="M16" s="185">
        <v>6.9485797882080096</v>
      </c>
      <c r="N16" s="185">
        <v>3.5970199108123802</v>
      </c>
      <c r="O16" s="185">
        <v>0.896894991397858</v>
      </c>
      <c r="P16" s="185">
        <v>0</v>
      </c>
      <c r="Q16" s="185">
        <v>0.226584002375603</v>
      </c>
      <c r="R16" s="185">
        <v>5.5900001525878897</v>
      </c>
      <c r="S16" s="19">
        <f>SUM(G16:Q16)</f>
        <v>94.306076548993531</v>
      </c>
      <c r="U16" s="40">
        <f>26.3*L16+994.4</f>
        <v>1104.6443430900574</v>
      </c>
      <c r="V16" s="40">
        <f>754+190.6*AO16/100+25.52*L16+9.585*J16+14.87*(N16+O16)-9.176*R16</f>
        <v>1038.6690992127212</v>
      </c>
      <c r="W16" s="40">
        <f>815.3+265.5*AO16/100+15.37*L16+8.61*J16+6.646*(N16+O16)+39.16*C16-12.83*R16</f>
        <v>1050.914220702592</v>
      </c>
      <c r="X16" s="40">
        <f t="shared" ref="X16:X25" si="0">-583+3141*EQ16+15779*ES16+1338.6*EV16-31440*(EQ16*ES16)+77.67*C16</f>
        <v>1064.5091470083662</v>
      </c>
      <c r="Y16" s="40">
        <f>20.1*L16+1014</f>
        <v>1098.2551823616029</v>
      </c>
      <c r="Z16" s="40">
        <f>16.6*M16+968</f>
        <v>1083.346424484253</v>
      </c>
      <c r="AB16" s="39">
        <v>40.5</v>
      </c>
      <c r="AC16" s="39">
        <v>0.02</v>
      </c>
      <c r="AD16" s="39">
        <v>0.08</v>
      </c>
      <c r="AE16" s="39">
        <v>12.4</v>
      </c>
      <c r="AF16" s="39">
        <v>0.17</v>
      </c>
      <c r="AG16" s="39">
        <v>47.4</v>
      </c>
      <c r="AH16" s="39">
        <v>0.3</v>
      </c>
      <c r="AI16" s="39">
        <v>0</v>
      </c>
      <c r="AJ16" s="39">
        <v>0</v>
      </c>
      <c r="AK16" s="39">
        <v>0.03</v>
      </c>
      <c r="AL16" s="39">
        <v>0</v>
      </c>
      <c r="AM16" s="39">
        <v>0</v>
      </c>
      <c r="AO16" s="41">
        <f>100*(L16/40.3)/(L16/40.3+J16/71.85)</f>
        <v>63.14606927709756</v>
      </c>
      <c r="AP16" s="41">
        <f>100*CH16/(CH16+CF16)</f>
        <v>87.20263902697495</v>
      </c>
      <c r="AQ16" s="44"/>
      <c r="AR16" s="42">
        <f t="shared" ref="AR16:AR25" si="1">(CP16/CR16)/(BV16/BX16)</f>
        <v>0.25141091216755745</v>
      </c>
      <c r="AS16" s="181">
        <f>0.0583+0.00252*G16+0.028*C16-0.0091*(N16+O16)-0.013383*F16</f>
        <v>0.31036917685209675</v>
      </c>
      <c r="AT16" s="187">
        <f>CR16/BX16</f>
        <v>9.4726191804705824</v>
      </c>
      <c r="AU16" s="186">
        <f>(0.666-(-0.049*BW16+0.027*BV16))/(1*BX16+0.259*BW16+0.299*BV16)</f>
        <v>9.2402904308334417</v>
      </c>
      <c r="AV16" s="187">
        <f>(DA16/DC16)-273.15</f>
        <v>1122.2693143764513</v>
      </c>
      <c r="AW16" s="187">
        <f>(DJ16-273.15)+54*DM16+2*DM16^2</f>
        <v>1123.0857156546776</v>
      </c>
      <c r="AX16" s="186">
        <f>(DA16/DB16)-273.15</f>
        <v>1129.3631397181139</v>
      </c>
      <c r="AY16" s="186">
        <f>(DH16-273.15)+54*DM16+2*DM16^2</f>
        <v>1130.1283811678472</v>
      </c>
      <c r="AZ16" s="186">
        <f>(15294.6+1318.8*DM16+2.4834*DM16^2)/(8.048+2.8352*LN(DX16)+2.097*LN(1.5*DP16)+2.575*LN(3*DQ16)-1.41*DO16+0.222*R16+0.5*DM16)</f>
        <v>1016.7977052277748</v>
      </c>
      <c r="BA16" s="186">
        <f>1/((LN(AT16)+2.158-5.115*10^-2*(N16+O16)+6.213*10^-2*R16)/(55.09*C16+4430))</f>
        <v>981.69027779749297</v>
      </c>
      <c r="BB16" s="186">
        <f>ED16</f>
        <v>1032.2555688078205</v>
      </c>
      <c r="BC16" s="19">
        <f>((13603+(4.943*10^-7)*(C16-10^-5))/(6.26+2*LN(AU16)+2*LN(1.5*CV16)+2*LN(3*CW16)-CX16))-273.15</f>
        <v>1119.2898398714879</v>
      </c>
      <c r="BD16" s="19">
        <f>((13603+(4.943*10^-7)*(C16-10^-5))/(6.26+2*LN(AT16)+2*LN(1.5*CV16)+2*LN(3*CW16)-CX16))-273.15</f>
        <v>1112.2468045452506</v>
      </c>
      <c r="BE16" s="19">
        <f>1/((LN(AU16)+2.158-5.115*10^-2*(N16+O16)+6.213*10^-2*R16)/(55.09*C16+4430))</f>
        <v>987.10867542246967</v>
      </c>
      <c r="BF16" s="204">
        <f>(15294.6+1318.8*DM16+2.4834*DM16^2)/(8.048+2.8352*LN(AU16)+2.097*LN(1.5*DP16)+2.575*LN(3*DQ16)-1.41*DO16+0.222*R16+0.5*DM16)</f>
        <v>1021.4977612489276</v>
      </c>
      <c r="BG16" s="19" t="s">
        <v>219</v>
      </c>
      <c r="BI16" s="19">
        <f>G16/60.0843</f>
        <v>0.94905992966519381</v>
      </c>
      <c r="BJ16" s="19">
        <f>H16/79.8788</f>
        <v>7.8006430092542323E-3</v>
      </c>
      <c r="BK16" s="19">
        <f>I16*2/101.961</f>
        <v>0.32037541988854368</v>
      </c>
      <c r="BL16" s="19">
        <f>J16/71.8464</f>
        <v>6.0709236820560113E-2</v>
      </c>
      <c r="BM16" s="19">
        <f>K16/70.9375</f>
        <v>1.463978826211933E-3</v>
      </c>
      <c r="BN16" s="19">
        <f>L16/40.3044</f>
        <v>0.10400353602814283</v>
      </c>
      <c r="BO16" s="19">
        <f>M16/56.0774</f>
        <v>0.1239105198922919</v>
      </c>
      <c r="BP16" s="19">
        <f>N16*2/61.9789</f>
        <v>0.11607240240831573</v>
      </c>
      <c r="BQ16" s="19">
        <f>O16*2/94.196</f>
        <v>1.90431651322319E-2</v>
      </c>
      <c r="BR16" s="19">
        <f>SUM(BI16:BQ16)</f>
        <v>1.7024388316707459</v>
      </c>
      <c r="BS16" s="19">
        <f t="shared" ref="BS16:BS25" si="2">BI16/$BR16</f>
        <v>0.5574707954316348</v>
      </c>
      <c r="BT16" s="19">
        <f t="shared" ref="BT16:BT25" si="3">BJ16/$BR16</f>
        <v>4.5820401086591796E-3</v>
      </c>
      <c r="BU16" s="19">
        <f t="shared" ref="BU16:BU25" si="4">BK16/$BR16</f>
        <v>0.18818615619460019</v>
      </c>
      <c r="BV16" s="184">
        <f t="shared" ref="BV16:BV25" si="5">BL16/$BR16</f>
        <v>3.5660157470081347E-2</v>
      </c>
      <c r="BW16" s="19">
        <f t="shared" ref="BW16:BW25" si="6">BM16/$BR16</f>
        <v>8.5993035343020683E-4</v>
      </c>
      <c r="BX16" s="184">
        <f t="shared" ref="BX16:BX25" si="7">BN16/$BR16</f>
        <v>6.1090909167100846E-2</v>
      </c>
      <c r="BY16" s="19">
        <f t="shared" ref="BY16:BY25" si="8">BO16/$BR16</f>
        <v>7.2784124508419562E-2</v>
      </c>
      <c r="BZ16" s="19">
        <f t="shared" ref="BZ16:BZ25" si="9">BP16/$BR16</f>
        <v>6.8180072169996359E-2</v>
      </c>
      <c r="CA16" s="19">
        <f t="shared" ref="CA16:CA25" si="10">BQ16/$BR16</f>
        <v>1.1185814596077584E-2</v>
      </c>
      <c r="CB16" s="19">
        <f>SUM(BS16:CA16)</f>
        <v>1</v>
      </c>
      <c r="CC16" s="19">
        <f>AB16/60.0843</f>
        <v>0.67405295559738565</v>
      </c>
      <c r="CD16" s="19">
        <f>AC16/79.7877</f>
        <v>2.5066520278188244E-4</v>
      </c>
      <c r="CE16" s="19">
        <f>AD16*2/101.961</f>
        <v>1.5692274497111642E-3</v>
      </c>
      <c r="CF16" s="19">
        <f>AE16/71.8464</f>
        <v>0.1725904151077855</v>
      </c>
      <c r="CG16" s="19">
        <f>AF16/70.9375</f>
        <v>2.3964757709251101E-3</v>
      </c>
      <c r="CH16" s="19">
        <f>AG16/40.3044</f>
        <v>1.1760502575401197</v>
      </c>
      <c r="CI16" s="19">
        <f>AH16/56.0774</f>
        <v>5.3497487401341715E-3</v>
      </c>
      <c r="CJ16" s="19">
        <f>2*AI16/61.98</f>
        <v>0</v>
      </c>
      <c r="CK16" s="19">
        <f>2*AJ16/94.2</f>
        <v>0</v>
      </c>
      <c r="CL16" s="19">
        <f>SUM(CC16:CK16)</f>
        <v>2.0322597454088434</v>
      </c>
      <c r="CM16" s="19">
        <f t="shared" ref="CM16:CU25" si="11">CC16/$CL16</f>
        <v>0.33167657683530111</v>
      </c>
      <c r="CN16" s="19">
        <f t="shared" si="11"/>
        <v>1.233430930018517E-4</v>
      </c>
      <c r="CO16" s="19">
        <f t="shared" si="11"/>
        <v>7.721589000895514E-4</v>
      </c>
      <c r="CP16" s="19">
        <f t="shared" si="11"/>
        <v>8.492537211234498E-2</v>
      </c>
      <c r="CQ16" s="19">
        <f>CG16/$CL16</f>
        <v>1.1792172611493591E-3</v>
      </c>
      <c r="CR16" s="19">
        <f t="shared" si="11"/>
        <v>0.57869091792866556</v>
      </c>
      <c r="CS16" s="19">
        <f t="shared" si="11"/>
        <v>2.6324138694475427E-3</v>
      </c>
      <c r="CT16" s="19">
        <f t="shared" si="11"/>
        <v>0</v>
      </c>
      <c r="CU16" s="19">
        <f t="shared" si="11"/>
        <v>0</v>
      </c>
      <c r="CV16" s="19">
        <f>BX16+BV16+BY16+BW16</f>
        <v>0.17039512149903197</v>
      </c>
      <c r="CW16" s="19">
        <f>BS16</f>
        <v>0.5574707954316348</v>
      </c>
      <c r="CX16" s="19">
        <f>(7/2)*LN(1-BU16)+7*LN(1-BT16)</f>
        <v>-0.76184276407633211</v>
      </c>
      <c r="CZ16" s="22">
        <f>(DA16/DB16)-273.15</f>
        <v>1129.3631397181139</v>
      </c>
      <c r="DA16" s="19">
        <f>113.1*1000/8.3144+(DM16*10^9-10^5)*4.11*(10^-6)/8.3144</f>
        <v>13701.720991562681</v>
      </c>
      <c r="DB16" s="19">
        <f>52.05/8.3144+2*LN(AU16)+2*LN(1.5*CV16)+2*LN(3*CW16)-CX16</f>
        <v>9.7694065057504851</v>
      </c>
      <c r="DC16" s="19">
        <f>52.05/8.3144+2*LN(AT16)+2*LN(1.5*CV16)+2*LN(3*CW16)-CX16</f>
        <v>9.8190707627444223</v>
      </c>
      <c r="DD16" s="19">
        <f>DF16/DG16</f>
        <v>1392.3983810045306</v>
      </c>
      <c r="DE16" s="22">
        <f>DD16-273.15</f>
        <v>1119.2483810045305</v>
      </c>
      <c r="DF16" s="19">
        <f>113.1*1000/8.3144+(0.0001*10^9-10^5)*4.11*(10^-6)/8.3144</f>
        <v>13602.905801982104</v>
      </c>
      <c r="DG16" s="19">
        <f>52.05/8.3144+2*LN(AU16)+2*LN(1.5*CV16)+2*LN(3*CW16)-CX16</f>
        <v>9.7694065057504851</v>
      </c>
      <c r="DH16" s="19">
        <f>DF16/DG16</f>
        <v>1392.3983810045306</v>
      </c>
      <c r="DI16" s="19">
        <f>52.05/8.3144+2*LN(AT16)+2*LN(1.5*CV16)+2*LN(3*CW16)-CX16</f>
        <v>9.8190707627444223</v>
      </c>
      <c r="DJ16" s="19">
        <f>DF16/DI16</f>
        <v>1385.355715491361</v>
      </c>
      <c r="DL16" s="19">
        <v>1300</v>
      </c>
      <c r="DM16" s="19">
        <f>C16</f>
        <v>0.20000000298023199</v>
      </c>
      <c r="DN16" s="19">
        <f>IF(AR16&gt;0,1,0)</f>
        <v>1</v>
      </c>
      <c r="DO16" s="19">
        <f>(7/2)*LN(1-BU16)+7*LN(1-BT16)</f>
        <v>-0.76184276407633211</v>
      </c>
      <c r="DP16" s="19">
        <f>BX16+BV16+BW16+BY16</f>
        <v>0.17039512149903197</v>
      </c>
      <c r="DQ16" s="19">
        <f>BS16</f>
        <v>0.5574707954316348</v>
      </c>
      <c r="DR16" s="19">
        <f>(0.666-(-0.049*BW16+0.027*BV16))/(BX16+0.259*BW16+0.299*BV16)</f>
        <v>9.2402904308334417</v>
      </c>
      <c r="DS16" s="19">
        <f>13603+4.943*10^-7*(C16*10^9-10^-5)</f>
        <v>13701.860001473124</v>
      </c>
      <c r="DT16" s="19">
        <f>6.26+2*LN(DR16)+2*LN(1.5*DP16)+2*LN(3*DQ16)-DO16</f>
        <v>9.7691832785783497</v>
      </c>
      <c r="DU16" s="19">
        <f>(DS16/DT16)-273.15</f>
        <v>1129.4094167649882</v>
      </c>
      <c r="DV16" s="19">
        <f>(13603+4.943*10^-7*(0.0001*10^9-10^-5))/(6.26+2*LN(DR16)+2*LN(1.5*DP16)+2*LN(3*DQ16)-DO16)-273.15</f>
        <v>1119.2948996497448</v>
      </c>
      <c r="DW16" s="19">
        <f t="shared" ref="DW16:DW25" si="12">DV16+54*DM16-2*DM16^2</f>
        <v>1130.0148998082932</v>
      </c>
      <c r="DX16" s="25">
        <f>CR16/BX16</f>
        <v>9.4726191804705824</v>
      </c>
      <c r="DY16" s="19">
        <f t="shared" ref="DY16:DY25" si="13">LN(DX16)+2.158+6.213*10^-2*R16-5.115*10^-2*(N16+O16)</f>
        <v>4.5238484077972014</v>
      </c>
      <c r="DZ16" s="19">
        <f>55.09*DM16+4430</f>
        <v>4441.0180001641811</v>
      </c>
      <c r="EA16" s="19">
        <f>DZ16/DY16</f>
        <v>981.69027779749297</v>
      </c>
      <c r="EC16" s="19">
        <f>CR16/(BX16*BS16^0.5)</f>
        <v>12.687002275470793</v>
      </c>
      <c r="ED16" s="19">
        <f>(4129+0.0146*(DM16*10*1000-1))/(LOG(EC16)+2.082)-273.15</f>
        <v>1032.2555688078205</v>
      </c>
      <c r="EE16" s="19">
        <f>DL16</f>
        <v>1300</v>
      </c>
      <c r="EG16" s="19">
        <f>G16/60.08</f>
        <v>0.94912785505962716</v>
      </c>
      <c r="EH16" s="19">
        <f>H16/79.9</f>
        <v>7.7985732516597864E-3</v>
      </c>
      <c r="EI16" s="19">
        <f>I16/101.96</f>
        <v>0.16018928102812771</v>
      </c>
      <c r="EJ16" s="19">
        <f>J16/71.85</f>
        <v>6.0706195021638001E-2</v>
      </c>
      <c r="EK16" s="19">
        <f>K16/70.94</f>
        <v>1.463927234062715E-3</v>
      </c>
      <c r="EL16" s="19">
        <f>L16/40.3</f>
        <v>0.10401489125292011</v>
      </c>
      <c r="EM16" s="19">
        <f>M16/56.08</f>
        <v>0.12390477511069918</v>
      </c>
      <c r="EN16" s="19">
        <f>N16/61.98</f>
        <v>5.8035171197360125E-2</v>
      </c>
      <c r="EO16" s="19">
        <f>O16/94.2</f>
        <v>9.5211782526311885E-3</v>
      </c>
      <c r="EP16" s="19">
        <f t="shared" ref="EP16:EP25" si="14">SUM(EG16:EO16)</f>
        <v>1.4747618474087261</v>
      </c>
      <c r="EQ16" s="19">
        <f>EG16/$EP16</f>
        <v>0.64358042400359106</v>
      </c>
      <c r="ER16" s="19">
        <f t="shared" ref="ER16:EY25" si="15">EH16/$EP16</f>
        <v>5.2880221070015472E-3</v>
      </c>
      <c r="ES16" s="19">
        <f t="shared" si="15"/>
        <v>0.10862044018130319</v>
      </c>
      <c r="ET16" s="19">
        <f t="shared" si="15"/>
        <v>4.1163388602914845E-2</v>
      </c>
      <c r="EU16" s="19">
        <f t="shared" si="15"/>
        <v>9.9265331323491438E-4</v>
      </c>
      <c r="EV16" s="19">
        <f t="shared" si="15"/>
        <v>7.0529958064539405E-2</v>
      </c>
      <c r="EW16" s="19">
        <f t="shared" si="15"/>
        <v>8.4016802664382551E-2</v>
      </c>
      <c r="EX16" s="19">
        <f t="shared" si="15"/>
        <v>3.9352232565096894E-2</v>
      </c>
      <c r="EY16" s="19">
        <f t="shared" si="15"/>
        <v>6.4560784979355527E-3</v>
      </c>
      <c r="EZ16" s="19">
        <f t="shared" ref="EZ16:EZ25" si="16">SUM(EQ16:EY16)</f>
        <v>0.99999999999999989</v>
      </c>
    </row>
    <row r="17" spans="1:156" ht="16.2">
      <c r="A17" s="19" t="s">
        <v>217</v>
      </c>
      <c r="B17" s="19" t="s">
        <v>220</v>
      </c>
      <c r="C17" s="185">
        <v>0.20000000298023199</v>
      </c>
      <c r="D17" s="177">
        <f t="shared" ref="D17:D25" si="17">AZ17</f>
        <v>951.51573178167109</v>
      </c>
      <c r="F17" s="179">
        <f t="shared" ref="F17:F25" si="18">5.5976-24505/(D17+273.15)+0.8099*LOG(D17+273.15)+0.0937*(C17*10*1000-1)/(273.15+D17)+$F$14</f>
        <v>-11.758011411446596</v>
      </c>
      <c r="G17" s="185">
        <v>57.658599853515597</v>
      </c>
      <c r="H17" s="185">
        <v>0.65415000915527299</v>
      </c>
      <c r="I17" s="185">
        <v>17.194799423217798</v>
      </c>
      <c r="J17" s="185">
        <v>3.90620994567871</v>
      </c>
      <c r="K17" s="185">
        <v>8.4104999899864197E-2</v>
      </c>
      <c r="L17" s="185">
        <v>2.8689200878143302</v>
      </c>
      <c r="M17" s="185">
        <v>5.9153800010681197</v>
      </c>
      <c r="N17" s="185">
        <v>3.8594799041747998</v>
      </c>
      <c r="O17" s="185">
        <v>1.01859998703003</v>
      </c>
      <c r="P17" s="185">
        <v>0</v>
      </c>
      <c r="Q17" s="185">
        <v>0.21493500471115101</v>
      </c>
      <c r="R17" s="185">
        <v>6.5500001907348597</v>
      </c>
      <c r="S17" s="19">
        <f t="shared" ref="S17:S25" si="19">SUM(G17:Q17)</f>
        <v>93.375179216265678</v>
      </c>
      <c r="U17" s="40">
        <f t="shared" ref="U17:U25" si="20">26.3*L17+994.4</f>
        <v>1069.8525983095169</v>
      </c>
      <c r="V17" s="40">
        <f t="shared" ref="V17:V25" si="21">754+190.6*AO17/100+25.52*L17+9.585*J17+14.87*(N17+O17)-9.176*R17</f>
        <v>985.15917070420483</v>
      </c>
      <c r="W17" s="40">
        <f t="shared" ref="W17:W25" si="22">815.3+265.5*AO17/100+15.37*L17+8.61*J17+6.646*(N17+O17)+39.16*C17-12.83*R17</f>
        <v>999.77990011520455</v>
      </c>
      <c r="X17" s="40">
        <f t="shared" si="0"/>
        <v>987.20183441887127</v>
      </c>
      <c r="Y17" s="40">
        <f t="shared" ref="Y17:Y25" si="23">20.1*L17+1014</f>
        <v>1071.6652937650681</v>
      </c>
      <c r="Z17" s="40">
        <f t="shared" ref="Z17:Z25" si="24">16.6*M17+968</f>
        <v>1066.1953080177309</v>
      </c>
      <c r="AB17" s="39">
        <v>41.3</v>
      </c>
      <c r="AC17" s="39">
        <v>0.03</v>
      </c>
      <c r="AD17" s="39">
        <v>0.11</v>
      </c>
      <c r="AE17" s="39">
        <v>9.59</v>
      </c>
      <c r="AF17" s="39">
        <v>0.14000000000000001</v>
      </c>
      <c r="AG17" s="39">
        <v>50.2</v>
      </c>
      <c r="AH17" s="39">
        <v>0.31</v>
      </c>
      <c r="AI17" s="39">
        <v>0</v>
      </c>
      <c r="AJ17" s="39">
        <v>0</v>
      </c>
      <c r="AK17" s="39">
        <v>0</v>
      </c>
      <c r="AL17" s="39">
        <v>0</v>
      </c>
      <c r="AM17" s="39">
        <v>0</v>
      </c>
      <c r="AO17" s="41">
        <f t="shared" ref="AO17:AO25" si="25">100*(L17/40.3)/(L17/40.3+J17/71.85)</f>
        <v>56.699402676715607</v>
      </c>
      <c r="AP17" s="41">
        <f t="shared" ref="AP17:AP25" si="26">100*CH17/(CH17+CF17)</f>
        <v>90.320585606209661</v>
      </c>
      <c r="AQ17" s="44"/>
      <c r="AR17" s="42">
        <f t="shared" si="1"/>
        <v>0.14030648993237677</v>
      </c>
      <c r="AS17" s="181">
        <f t="shared" ref="AS17:AS25" si="27">0.0583+0.00252*G17+0.028*C17-0.0091*(N17+O17)-0.013383*F17</f>
        <v>0.3221666114237316</v>
      </c>
      <c r="AT17" s="187">
        <f t="shared" ref="AT17:AT25" si="28">CR17/BX17</f>
        <v>14.186788982684433</v>
      </c>
      <c r="AU17" s="186">
        <f t="shared" ref="AU17:AU25" si="29">(0.666-(-0.049*BW17+0.027*BV17))/(1*BX17+0.259*BW17+0.299*BV17)</f>
        <v>12.761965598369052</v>
      </c>
      <c r="AV17" s="187">
        <f t="shared" ref="AV17:AV25" si="30">(DA17/DC17)-273.15</f>
        <v>1056.6448758412844</v>
      </c>
      <c r="AW17" s="187">
        <f t="shared" ref="AW17:AW25" si="31">(DJ17-273.15)+54*DM17+2*DM17^2</f>
        <v>1057.9345528006438</v>
      </c>
      <c r="AX17" s="186">
        <f t="shared" ref="AX17:AX25" si="32">(DA17/DB17)-273.15</f>
        <v>1084.5379900576149</v>
      </c>
      <c r="AY17" s="186">
        <f t="shared" ref="AY17:AY25" si="33">(DH17-273.15)+54*DM17+2*DM17^2</f>
        <v>1085.6265051796418</v>
      </c>
      <c r="AZ17" s="186">
        <f t="shared" ref="AZ17:AZ25" si="34">(15294.6+1318.8*DM17+2.4834*DM17^2)/(8.048+2.8352*LN(DX17)+2.097*LN(1.5*DP17)+2.575*LN(3*DQ17)-1.41*DO17+0.222*R17+0.5*DM17)</f>
        <v>951.51573178167109</v>
      </c>
      <c r="BA17" s="186">
        <f t="shared" ref="BA17:BA25" si="35">1/((LN(AT17)+2.158-5.115*10^-2*(N17+O17)+6.213*10^-2*R17)/(55.09*C17+4430))</f>
        <v>893.96990192225064</v>
      </c>
      <c r="BB17" s="186">
        <f t="shared" ref="BB17:BB25" si="36">ED17</f>
        <v>965.90314839427458</v>
      </c>
      <c r="BC17" s="19">
        <f t="shared" ref="BC17:BC25" si="37">((13603+(4.943*10^-7)*(C17-10^-5))/(6.26+2*LN(AU17)+2*LN(1.5*CV17)+2*LN(3*CW17)-CX17))-273.15</f>
        <v>1074.7856544307256</v>
      </c>
      <c r="BD17" s="19">
        <f t="shared" ref="BD17:BD25" si="38">((13603+(4.943*10^-7)*(C17-10^-5))/(6.26+2*LN(AT17)+2*LN(1.5*CV17)+2*LN(3*CW17)-CX17))-273.15</f>
        <v>1047.0922977702221</v>
      </c>
      <c r="BE17" s="19">
        <f t="shared" ref="BE17:BE25" si="39">1/((LN(AU17)+2.158-5.115*10^-2*(N17+O17)+6.213*10^-2*R17)/(55.09*C17+4430))</f>
        <v>913.43128693866697</v>
      </c>
      <c r="BF17" s="204">
        <f t="shared" ref="BF17:BF25" si="40">(15294.6+1318.8*DM17+2.4834*DM17^2)/(8.048+2.8352*LN(AU17)+2.097*LN(1.5*DP17)+2.575*LN(3*DQ17)-1.41*DO17+0.222*R17+0.5*DM17)</f>
        <v>969.30470589090635</v>
      </c>
      <c r="BG17" s="19" t="s">
        <v>67</v>
      </c>
      <c r="BI17" s="19">
        <f t="shared" ref="BI17:BI25" si="41">G17/60.0843</f>
        <v>0.95962838634244885</v>
      </c>
      <c r="BJ17" s="19">
        <f t="shared" ref="BJ17:BJ25" si="42">H17/79.8788</f>
        <v>8.1892818764837862E-3</v>
      </c>
      <c r="BK17" s="19">
        <f t="shared" ref="BK17:BK25" si="43">I17*2/101.961</f>
        <v>0.33728189058988828</v>
      </c>
      <c r="BL17" s="19">
        <f t="shared" ref="BL17:BL25" si="44">J17/71.8464</f>
        <v>5.4368902905068447E-2</v>
      </c>
      <c r="BM17" s="19">
        <f t="shared" ref="BM17:BM25" si="45">K17/70.9375</f>
        <v>1.1856211439628434E-3</v>
      </c>
      <c r="BN17" s="19">
        <f t="shared" ref="BN17:BN25" si="46">L17/40.3044</f>
        <v>7.1181312407933878E-2</v>
      </c>
      <c r="BO17" s="19">
        <f t="shared" ref="BO17:BO25" si="47">M17/56.0774</f>
        <v>0.10548598902709683</v>
      </c>
      <c r="BP17" s="19">
        <f t="shared" ref="BP17:BP25" si="48">N17*2/61.9789</f>
        <v>0.12454173611260605</v>
      </c>
      <c r="BQ17" s="19">
        <f t="shared" ref="BQ17:BQ25" si="49">O17*2/94.196</f>
        <v>2.1627245042889931E-2</v>
      </c>
      <c r="BR17" s="19">
        <f t="shared" ref="BR17:BR25" si="50">SUM(BI17:BQ17)</f>
        <v>1.683490365448379</v>
      </c>
      <c r="BS17" s="19">
        <f t="shared" si="2"/>
        <v>0.57002309370915971</v>
      </c>
      <c r="BT17" s="19">
        <f t="shared" si="3"/>
        <v>4.864466138065876E-3</v>
      </c>
      <c r="BU17" s="19">
        <f t="shared" si="4"/>
        <v>0.2003467899265684</v>
      </c>
      <c r="BV17" s="184">
        <f t="shared" si="5"/>
        <v>3.2295345444752752E-2</v>
      </c>
      <c r="BW17" s="19">
        <f t="shared" si="6"/>
        <v>7.0426369422498371E-4</v>
      </c>
      <c r="BX17" s="184">
        <f t="shared" si="7"/>
        <v>4.2281983828862321E-2</v>
      </c>
      <c r="BY17" s="19">
        <f t="shared" si="8"/>
        <v>6.2659098734433094E-2</v>
      </c>
      <c r="BZ17" s="19">
        <f t="shared" si="9"/>
        <v>7.3978288601274964E-2</v>
      </c>
      <c r="CA17" s="19">
        <f t="shared" si="10"/>
        <v>1.284666992265783E-2</v>
      </c>
      <c r="CB17" s="19">
        <f t="shared" ref="CB17:CB25" si="51">SUM(BS17:CA17)</f>
        <v>0.99999999999999989</v>
      </c>
      <c r="CC17" s="19">
        <f t="shared" ref="CC17:CC25" si="52">AB17/60.0843</f>
        <v>0.68736758188079083</v>
      </c>
      <c r="CD17" s="19">
        <f t="shared" ref="CD17:CD25" si="53">AC17/79.7877</f>
        <v>3.7599780417282359E-4</v>
      </c>
      <c r="CE17" s="19">
        <f t="shared" ref="CE17:CE25" si="54">AD17*2/101.961</f>
        <v>2.1576877433528508E-3</v>
      </c>
      <c r="CF17" s="19">
        <f t="shared" ref="CF17:CF25" si="55">AE17/71.8464</f>
        <v>0.13347920007126313</v>
      </c>
      <c r="CG17" s="19">
        <f t="shared" ref="CG17:CG25" si="56">AF17/70.9375</f>
        <v>1.9735682819383262E-3</v>
      </c>
      <c r="CH17" s="19">
        <f t="shared" ref="CH17:CH25" si="57">AG17/40.3044</f>
        <v>1.2455215807703377</v>
      </c>
      <c r="CI17" s="19">
        <f t="shared" ref="CI17:CI25" si="58">AH17/56.0774</f>
        <v>5.5280736981386447E-3</v>
      </c>
      <c r="CJ17" s="19">
        <f t="shared" ref="CJ17:CJ25" si="59">2*AI17/61.98</f>
        <v>0</v>
      </c>
      <c r="CK17" s="19">
        <f t="shared" ref="CK17:CK25" si="60">2*AJ17/94.2</f>
        <v>0</v>
      </c>
      <c r="CL17" s="19">
        <f t="shared" ref="CL17:CL25" si="61">SUM(CC17:CK17)</f>
        <v>2.0764036902499945</v>
      </c>
      <c r="CM17" s="19">
        <f t="shared" si="11"/>
        <v>0.33103754588205014</v>
      </c>
      <c r="CN17" s="19">
        <f t="shared" si="11"/>
        <v>1.8108126369567099E-4</v>
      </c>
      <c r="CO17" s="19">
        <f t="shared" si="11"/>
        <v>1.0391465558862833E-3</v>
      </c>
      <c r="CP17" s="19">
        <f t="shared" si="11"/>
        <v>6.4283838782425065E-2</v>
      </c>
      <c r="CQ17" s="19">
        <f t="shared" si="11"/>
        <v>9.5047427010723181E-4</v>
      </c>
      <c r="CR17" s="19">
        <f t="shared" si="11"/>
        <v>0.59984558234934537</v>
      </c>
      <c r="CS17" s="19">
        <f t="shared" si="11"/>
        <v>2.6623308964901118E-3</v>
      </c>
      <c r="CT17" s="19">
        <f t="shared" si="11"/>
        <v>0</v>
      </c>
      <c r="CU17" s="19">
        <f t="shared" si="11"/>
        <v>0</v>
      </c>
      <c r="CV17" s="19">
        <f>BX17+BV17+BY17+BW17</f>
        <v>0.13794069170227316</v>
      </c>
      <c r="CW17" s="19">
        <f t="shared" ref="CW17:CW25" si="62">BS17</f>
        <v>0.57002309370915971</v>
      </c>
      <c r="CX17" s="19">
        <f t="shared" ref="CX17:CX25" si="63">(7/2)*LN(1-BU17)+7*LN(1-BT17)</f>
        <v>-0.81665431761174256</v>
      </c>
      <c r="DA17" s="19">
        <f t="shared" ref="DA17:DA25" si="64">113.1*1000/8.3144+(DM17*10^9-10^5)*4.11*(10^-6)/8.3144</f>
        <v>13701.720991562681</v>
      </c>
      <c r="DB17" s="19">
        <f t="shared" ref="DB17:DB25" si="65">52.05/8.3144+2*LN(AU17)+2*LN(1.5*CV17)+2*LN(3*CW17)-CX17</f>
        <v>10.091951237619206</v>
      </c>
      <c r="DC17" s="19">
        <f t="shared" ref="DC17:DC25" si="66">52.05/8.3144+2*LN(AT17)+2*LN(1.5*CV17)+2*LN(3*CW17)-CX17</f>
        <v>10.30363497445002</v>
      </c>
      <c r="DD17" s="19">
        <f t="shared" ref="DD17:DD25" si="67">DA17/DB17</f>
        <v>1357.687990057615</v>
      </c>
      <c r="DF17" s="19">
        <f t="shared" ref="DF17:DF25" si="68">113.1*1000/8.3144+(0.0001*10^9-10^5)*4.11*(10^-6)/8.3144</f>
        <v>13602.905801982104</v>
      </c>
      <c r="DG17" s="19">
        <f t="shared" ref="DG17:DG25" si="69">52.05/8.3144+2*LN(AU17)+2*LN(1.5*CV17)+2*LN(3*CW17)-CX17</f>
        <v>10.091951237619206</v>
      </c>
      <c r="DH17" s="19">
        <f t="shared" ref="DH17:DH25" si="70">DF17/DG17</f>
        <v>1347.8965050163251</v>
      </c>
      <c r="DI17" s="19">
        <f t="shared" ref="DI17:DI25" si="71">52.05/8.3144+2*LN(AT17)+2*LN(1.5*CV17)+2*LN(3*CW17)-CX17</f>
        <v>10.30363497445002</v>
      </c>
      <c r="DJ17" s="19">
        <f t="shared" ref="DJ17:DJ24" si="72">DF17/DI17</f>
        <v>1320.204552637327</v>
      </c>
      <c r="DL17" s="19">
        <v>1330</v>
      </c>
      <c r="DM17" s="19">
        <f t="shared" ref="DM17:DM25" si="73">C17</f>
        <v>0.20000000298023199</v>
      </c>
      <c r="DN17" s="19">
        <f t="shared" ref="DN17:DN25" si="74">IF(AR17&gt;0,1,0)</f>
        <v>1</v>
      </c>
      <c r="DO17" s="19">
        <f t="shared" ref="DO17:DO25" si="75">(7/2)*LN(1-BU17)+7*LN(1-BT17)</f>
        <v>-0.81665431761174256</v>
      </c>
      <c r="DP17" s="19">
        <f t="shared" ref="DP17:DP25" si="76">BX17+BV17+BW17+BY17</f>
        <v>0.13794069170227313</v>
      </c>
      <c r="DQ17" s="19">
        <f t="shared" ref="DQ17:DQ25" si="77">BS17</f>
        <v>0.57002309370915971</v>
      </c>
      <c r="DR17" s="19">
        <f t="shared" ref="DR17:DR25" si="78">(0.666-(-0.049*BW17+0.027*BV17))/(BX17+0.259*BW17+0.299*BV17)</f>
        <v>12.761965598369052</v>
      </c>
      <c r="DS17" s="19">
        <f t="shared" ref="DS17:DS25" si="79">13603+4.943*10^-7*(C17*10^9-10^-5)</f>
        <v>13701.860001473124</v>
      </c>
      <c r="DT17" s="19">
        <f t="shared" ref="DT17:DT25" si="80">6.26+2*LN(DR17)+2*LN(1.5*DP17)+2*LN(3*DQ17)-DO17</f>
        <v>10.091728010447071</v>
      </c>
      <c r="DU17" s="19">
        <f t="shared" ref="DU17:DU25" si="81">(DS17/DT17)-273.15</f>
        <v>1084.5817965058914</v>
      </c>
      <c r="DV17" s="19">
        <f t="shared" ref="DV17:DV25" si="82">(13603+4.943*10^-7*(0.0001*10^9-10^-5))/(6.26+2*LN(DR17)+2*LN(1.5*DP17)+2*LN(3*DQ17)-DO17)-273.15</f>
        <v>1074.7905524918988</v>
      </c>
      <c r="DW17" s="19">
        <f t="shared" si="12"/>
        <v>1085.5105526504472</v>
      </c>
      <c r="DX17" s="25">
        <f t="shared" ref="DX17:DX25" si="83">CR17/BX17</f>
        <v>14.186788982684433</v>
      </c>
      <c r="DY17" s="19">
        <f t="shared" si="13"/>
        <v>4.9677489036430895</v>
      </c>
      <c r="DZ17" s="19">
        <f t="shared" ref="DZ17:DZ25" si="84">55.09*DM17+4430</f>
        <v>4441.0180001641811</v>
      </c>
      <c r="EA17" s="19">
        <f t="shared" ref="EA17:EA25" si="85">DZ17/DY17</f>
        <v>893.96990192225064</v>
      </c>
      <c r="EC17" s="19">
        <f t="shared" ref="EC17:EC25" si="86">CR17/(BX17*BS17^0.5)</f>
        <v>18.790480403494691</v>
      </c>
      <c r="ED17" s="19">
        <f t="shared" ref="ED17:ED25" si="87">(4129+0.0146*(DM17*10*1000-1))/(LOG(EC17)+2.082)-273.15</f>
        <v>965.90314839427458</v>
      </c>
      <c r="EE17" s="19">
        <f t="shared" ref="EE17:EE25" si="88">DL17</f>
        <v>1330</v>
      </c>
      <c r="EG17" s="19">
        <f t="shared" ref="EG17:EG25" si="89">G17/60.08</f>
        <v>0.95969706813441413</v>
      </c>
      <c r="EH17" s="19">
        <f t="shared" ref="EH17:EH25" si="90">H17/79.9</f>
        <v>8.1871090006917762E-3</v>
      </c>
      <c r="EI17" s="19">
        <f t="shared" ref="EI17:EI25" si="91">I17/101.96</f>
        <v>0.16864259928616909</v>
      </c>
      <c r="EJ17" s="19">
        <f t="shared" ref="EJ17:EJ25" si="92">J17/71.85</f>
        <v>5.4366178784672377E-2</v>
      </c>
      <c r="EK17" s="19">
        <f t="shared" ref="EK17:EK25" si="93">K17/70.94</f>
        <v>1.1855793614302819E-3</v>
      </c>
      <c r="EL17" s="19">
        <f t="shared" ref="EL17:EL25" si="94">L17/40.3</f>
        <v>7.1189084064871719E-2</v>
      </c>
      <c r="EM17" s="19">
        <f t="shared" ref="EM17:EM25" si="95">M17/56.08</f>
        <v>0.10548109844985948</v>
      </c>
      <c r="EN17" s="19">
        <f t="shared" ref="EN17:EN25" si="96">N17/61.98</f>
        <v>6.2269762894075507E-2</v>
      </c>
      <c r="EO17" s="19">
        <f t="shared" ref="EO17:EO25" si="97">O17/94.2</f>
        <v>1.0813163344267834E-2</v>
      </c>
      <c r="EP17" s="19">
        <f t="shared" si="14"/>
        <v>1.4418316433204523</v>
      </c>
      <c r="EQ17" s="19">
        <f t="shared" ref="EQ17:EQ25" si="98">EG17/$EP17</f>
        <v>0.66560965878394029</v>
      </c>
      <c r="ER17" s="19">
        <f t="shared" si="15"/>
        <v>5.6782697471095527E-3</v>
      </c>
      <c r="ES17" s="19">
        <f t="shared" si="15"/>
        <v>0.11696414076319982</v>
      </c>
      <c r="ET17" s="19">
        <f t="shared" si="15"/>
        <v>3.7706329332230712E-2</v>
      </c>
      <c r="EU17" s="19">
        <f t="shared" si="15"/>
        <v>8.2227309056691485E-4</v>
      </c>
      <c r="EV17" s="19">
        <f t="shared" si="15"/>
        <v>4.9374061385507879E-2</v>
      </c>
      <c r="EW17" s="19">
        <f t="shared" si="15"/>
        <v>7.3157708071202268E-2</v>
      </c>
      <c r="EX17" s="19">
        <f t="shared" si="15"/>
        <v>4.3187956917544103E-2</v>
      </c>
      <c r="EY17" s="19">
        <f t="shared" si="15"/>
        <v>7.4996019086984132E-3</v>
      </c>
      <c r="EZ17" s="19">
        <f t="shared" si="16"/>
        <v>0.99999999999999989</v>
      </c>
    </row>
    <row r="18" spans="1:156" ht="16.2">
      <c r="A18" s="19" t="s">
        <v>217</v>
      </c>
      <c r="B18" s="19" t="s">
        <v>68</v>
      </c>
      <c r="C18" s="185">
        <v>0.20000000298023199</v>
      </c>
      <c r="D18" s="177">
        <f t="shared" si="17"/>
        <v>997.05453010783106</v>
      </c>
      <c r="F18" s="179">
        <f t="shared" si="18"/>
        <v>-11.033279833777561</v>
      </c>
      <c r="G18" s="185">
        <v>60.731201171875</v>
      </c>
      <c r="H18" s="185">
        <v>0.86205399036407504</v>
      </c>
      <c r="I18" s="185">
        <v>17.144199371337901</v>
      </c>
      <c r="J18" s="185">
        <v>4.0778098106384304</v>
      </c>
      <c r="K18" s="185">
        <v>7.7487997710704803E-2</v>
      </c>
      <c r="L18" s="185">
        <v>2.5086700916290301</v>
      </c>
      <c r="M18" s="185">
        <v>5.2207498550415004</v>
      </c>
      <c r="N18" s="185">
        <v>4.4555602073669398</v>
      </c>
      <c r="O18" s="185">
        <v>1.4141600131988501</v>
      </c>
      <c r="P18" s="185">
        <v>0</v>
      </c>
      <c r="Q18" s="185">
        <v>0.31963801383972201</v>
      </c>
      <c r="R18" s="185">
        <v>3.1400001049041801</v>
      </c>
      <c r="S18" s="19">
        <f t="shared" si="19"/>
        <v>96.811530523002162</v>
      </c>
      <c r="U18" s="40">
        <f t="shared" si="20"/>
        <v>1060.3780234098435</v>
      </c>
      <c r="V18" s="40">
        <f t="shared" si="21"/>
        <v>1015.2779369354315</v>
      </c>
      <c r="W18" s="40">
        <f t="shared" si="22"/>
        <v>1034.4043004478995</v>
      </c>
      <c r="X18" s="40">
        <f t="shared" si="0"/>
        <v>992.92499135700507</v>
      </c>
      <c r="Y18" s="40">
        <f t="shared" si="23"/>
        <v>1064.4242688417435</v>
      </c>
      <c r="Z18" s="40">
        <f t="shared" si="24"/>
        <v>1054.6644475936889</v>
      </c>
      <c r="AB18" s="39">
        <v>39.700000000000003</v>
      </c>
      <c r="AC18" s="39">
        <v>0.05</v>
      </c>
      <c r="AD18" s="39">
        <v>0.11</v>
      </c>
      <c r="AE18" s="39">
        <v>15.6</v>
      </c>
      <c r="AF18" s="39">
        <v>0.18</v>
      </c>
      <c r="AG18" s="39">
        <v>44.5</v>
      </c>
      <c r="AH18" s="39">
        <v>0.31</v>
      </c>
      <c r="AI18" s="39">
        <v>0</v>
      </c>
      <c r="AJ18" s="39">
        <v>0</v>
      </c>
      <c r="AK18" s="39">
        <v>0.03</v>
      </c>
      <c r="AL18" s="39">
        <v>0</v>
      </c>
      <c r="AM18" s="39">
        <v>0</v>
      </c>
      <c r="AO18" s="41">
        <f t="shared" si="25"/>
        <v>52.308903696157898</v>
      </c>
      <c r="AP18" s="41">
        <f t="shared" si="26"/>
        <v>83.566051614591672</v>
      </c>
      <c r="AQ18" s="44"/>
      <c r="AR18" s="42">
        <f t="shared" si="1"/>
        <v>0.21566574659657539</v>
      </c>
      <c r="AS18" s="181">
        <f t="shared" si="27"/>
        <v>0.31118655704486792</v>
      </c>
      <c r="AT18" s="187">
        <f t="shared" si="28"/>
        <v>15.53121585969272</v>
      </c>
      <c r="AU18" s="186">
        <f t="shared" si="29"/>
        <v>14.599220082628918</v>
      </c>
      <c r="AV18" s="187">
        <f t="shared" si="30"/>
        <v>1063.5378864817189</v>
      </c>
      <c r="AW18" s="187">
        <f t="shared" si="31"/>
        <v>1064.7778518644345</v>
      </c>
      <c r="AX18" s="186">
        <f t="shared" si="32"/>
        <v>1079.8747134608702</v>
      </c>
      <c r="AY18" s="186">
        <f t="shared" si="33"/>
        <v>1080.9968595816053</v>
      </c>
      <c r="AZ18" s="186">
        <f t="shared" si="34"/>
        <v>997.05453010783106</v>
      </c>
      <c r="BA18" s="186">
        <f t="shared" si="35"/>
        <v>926.04090109392268</v>
      </c>
      <c r="BB18" s="186">
        <f t="shared" si="36"/>
        <v>952.81755571398742</v>
      </c>
      <c r="BC18" s="19">
        <f t="shared" si="37"/>
        <v>1070.155772307327</v>
      </c>
      <c r="BD18" s="19">
        <f t="shared" si="38"/>
        <v>1053.9359415218141</v>
      </c>
      <c r="BE18" s="19">
        <f t="shared" si="39"/>
        <v>938.14675724956567</v>
      </c>
      <c r="BF18" s="204">
        <f t="shared" si="40"/>
        <v>1008.3926959575062</v>
      </c>
      <c r="BG18" s="19" t="s">
        <v>69</v>
      </c>
      <c r="BI18" s="19">
        <f t="shared" si="41"/>
        <v>1.0107665591822657</v>
      </c>
      <c r="BJ18" s="19">
        <f t="shared" si="42"/>
        <v>1.0792024797118573E-2</v>
      </c>
      <c r="BK18" s="19">
        <f t="shared" si="43"/>
        <v>0.33628935321030395</v>
      </c>
      <c r="BL18" s="19">
        <f t="shared" si="44"/>
        <v>5.6757329673281197E-2</v>
      </c>
      <c r="BM18" s="19">
        <f t="shared" si="45"/>
        <v>1.0923418179482616E-3</v>
      </c>
      <c r="BN18" s="19">
        <f t="shared" si="46"/>
        <v>6.2243082433407516E-2</v>
      </c>
      <c r="BO18" s="19">
        <f t="shared" si="47"/>
        <v>9.3098999865213097E-2</v>
      </c>
      <c r="BP18" s="19">
        <f t="shared" si="48"/>
        <v>0.14377667907519945</v>
      </c>
      <c r="BQ18" s="19">
        <f t="shared" si="49"/>
        <v>3.0025903715632303E-2</v>
      </c>
      <c r="BR18" s="19">
        <f t="shared" si="50"/>
        <v>1.7448422737703702</v>
      </c>
      <c r="BS18" s="19">
        <f t="shared" si="2"/>
        <v>0.57928821096140382</v>
      </c>
      <c r="BT18" s="19">
        <f t="shared" si="3"/>
        <v>6.1851004869330995E-3</v>
      </c>
      <c r="BU18" s="19">
        <f t="shared" si="4"/>
        <v>0.19273338241835908</v>
      </c>
      <c r="BV18" s="184">
        <f t="shared" si="5"/>
        <v>3.2528630539559442E-2</v>
      </c>
      <c r="BW18" s="19">
        <f t="shared" si="6"/>
        <v>6.2604043607211409E-4</v>
      </c>
      <c r="BX18" s="184">
        <f t="shared" si="7"/>
        <v>3.5672612573117317E-2</v>
      </c>
      <c r="BY18" s="19">
        <f t="shared" si="8"/>
        <v>5.3356685165610207E-2</v>
      </c>
      <c r="BZ18" s="19">
        <f t="shared" si="9"/>
        <v>8.240096038280717E-2</v>
      </c>
      <c r="CA18" s="19">
        <f t="shared" si="10"/>
        <v>1.7208377036137687E-2</v>
      </c>
      <c r="CB18" s="19">
        <f t="shared" si="51"/>
        <v>0.99999999999999989</v>
      </c>
      <c r="CC18" s="19">
        <f t="shared" si="52"/>
        <v>0.66073832931398058</v>
      </c>
      <c r="CD18" s="19">
        <f t="shared" si="53"/>
        <v>6.2666300695470608E-4</v>
      </c>
      <c r="CE18" s="19">
        <f t="shared" si="54"/>
        <v>2.1576877433528508E-3</v>
      </c>
      <c r="CF18" s="19">
        <f t="shared" si="55"/>
        <v>0.21712987707108497</v>
      </c>
      <c r="CG18" s="19">
        <f t="shared" si="56"/>
        <v>2.5374449339207049E-3</v>
      </c>
      <c r="CH18" s="19">
        <f t="shared" si="57"/>
        <v>1.104097815623108</v>
      </c>
      <c r="CI18" s="19">
        <f t="shared" si="58"/>
        <v>5.5280736981386447E-3</v>
      </c>
      <c r="CJ18" s="19">
        <f t="shared" si="59"/>
        <v>0</v>
      </c>
      <c r="CK18" s="19">
        <f t="shared" si="60"/>
        <v>0</v>
      </c>
      <c r="CL18" s="19">
        <f t="shared" si="61"/>
        <v>1.9928158913905407</v>
      </c>
      <c r="CM18" s="19">
        <f t="shared" si="11"/>
        <v>0.33156014670925404</v>
      </c>
      <c r="CN18" s="19">
        <f t="shared" si="11"/>
        <v>3.1446106469847307E-4</v>
      </c>
      <c r="CO18" s="19">
        <f t="shared" si="11"/>
        <v>1.0827331077971614E-3</v>
      </c>
      <c r="CP18" s="19">
        <f t="shared" si="11"/>
        <v>0.10895631553779751</v>
      </c>
      <c r="CQ18" s="19">
        <f t="shared" si="11"/>
        <v>1.273296216114643E-3</v>
      </c>
      <c r="CR18" s="19">
        <f t="shared" si="11"/>
        <v>0.55403904615227362</v>
      </c>
      <c r="CS18" s="19">
        <f t="shared" si="11"/>
        <v>2.7740012120644436E-3</v>
      </c>
      <c r="CT18" s="19">
        <f t="shared" si="11"/>
        <v>0</v>
      </c>
      <c r="CU18" s="19">
        <f t="shared" si="11"/>
        <v>0</v>
      </c>
      <c r="CV18" s="19">
        <f t="shared" ref="CV18:CV25" si="99">BX18+BV18+BY18+BW18</f>
        <v>0.12218396871435908</v>
      </c>
      <c r="CW18" s="19">
        <f t="shared" si="62"/>
        <v>0.57928821096140382</v>
      </c>
      <c r="CX18" s="19">
        <f t="shared" si="63"/>
        <v>-0.79278464668847792</v>
      </c>
      <c r="DA18" s="19">
        <f t="shared" si="64"/>
        <v>13701.720991562681</v>
      </c>
      <c r="DB18" s="19">
        <f t="shared" si="65"/>
        <v>10.126733721304596</v>
      </c>
      <c r="DC18" s="19">
        <f t="shared" si="66"/>
        <v>10.250501354977359</v>
      </c>
      <c r="DD18" s="19">
        <f t="shared" si="67"/>
        <v>1353.0247134608701</v>
      </c>
      <c r="DF18" s="19">
        <f t="shared" si="68"/>
        <v>13602.905801982104</v>
      </c>
      <c r="DG18" s="19">
        <f t="shared" si="69"/>
        <v>10.126733721304596</v>
      </c>
      <c r="DH18" s="19">
        <f t="shared" si="70"/>
        <v>1343.2668594182887</v>
      </c>
      <c r="DI18" s="19">
        <f t="shared" si="71"/>
        <v>10.250501354977359</v>
      </c>
      <c r="DJ18" s="19">
        <f t="shared" si="72"/>
        <v>1327.0478517011179</v>
      </c>
      <c r="DL18" s="19">
        <v>1325</v>
      </c>
      <c r="DM18" s="19">
        <f t="shared" si="73"/>
        <v>0.20000000298023199</v>
      </c>
      <c r="DN18" s="19">
        <f t="shared" si="74"/>
        <v>1</v>
      </c>
      <c r="DO18" s="19">
        <f t="shared" si="75"/>
        <v>-0.79278464668847792</v>
      </c>
      <c r="DP18" s="19">
        <f t="shared" si="76"/>
        <v>0.12218396871435908</v>
      </c>
      <c r="DQ18" s="19">
        <f t="shared" si="77"/>
        <v>0.57928821096140382</v>
      </c>
      <c r="DR18" s="19">
        <f t="shared" si="78"/>
        <v>14.599220082628918</v>
      </c>
      <c r="DS18" s="19">
        <f t="shared" si="79"/>
        <v>13701.860001473124</v>
      </c>
      <c r="DT18" s="19">
        <f t="shared" si="80"/>
        <v>10.126510494132461</v>
      </c>
      <c r="DU18" s="19">
        <f t="shared" si="81"/>
        <v>1079.9182666464726</v>
      </c>
      <c r="DV18" s="19">
        <f t="shared" si="82"/>
        <v>1070.1606535446663</v>
      </c>
      <c r="DW18" s="19">
        <f t="shared" si="12"/>
        <v>1080.8806537032146</v>
      </c>
      <c r="DX18" s="25">
        <f t="shared" si="83"/>
        <v>15.53121585969272</v>
      </c>
      <c r="DY18" s="19">
        <f t="shared" si="13"/>
        <v>4.7957039423615644</v>
      </c>
      <c r="DZ18" s="19">
        <f t="shared" si="84"/>
        <v>4441.0180001641811</v>
      </c>
      <c r="EA18" s="19">
        <f t="shared" si="85"/>
        <v>926.0409010939228</v>
      </c>
      <c r="EC18" s="19">
        <f t="shared" si="86"/>
        <v>20.406010726636818</v>
      </c>
      <c r="ED18" s="19">
        <f t="shared" si="87"/>
        <v>952.81755571398742</v>
      </c>
      <c r="EE18" s="19">
        <f t="shared" si="88"/>
        <v>1325</v>
      </c>
      <c r="EG18" s="19">
        <f t="shared" si="89"/>
        <v>1.0108389009965879</v>
      </c>
      <c r="EH18" s="19">
        <f t="shared" si="90"/>
        <v>1.0789161331214957E-2</v>
      </c>
      <c r="EI18" s="19">
        <f t="shared" si="91"/>
        <v>0.16814632572908889</v>
      </c>
      <c r="EJ18" s="19">
        <f t="shared" si="92"/>
        <v>5.6754485882232857E-2</v>
      </c>
      <c r="EK18" s="19">
        <f t="shared" si="93"/>
        <v>1.0923033226769778E-3</v>
      </c>
      <c r="EL18" s="19">
        <f t="shared" si="94"/>
        <v>6.2249878204194302E-2</v>
      </c>
      <c r="EM18" s="19">
        <f t="shared" si="95"/>
        <v>9.3094683577772827E-2</v>
      </c>
      <c r="EN18" s="19">
        <f t="shared" si="96"/>
        <v>7.1887063687753147E-2</v>
      </c>
      <c r="EO18" s="19">
        <f t="shared" si="97"/>
        <v>1.5012314365168259E-2</v>
      </c>
      <c r="EP18" s="19">
        <f t="shared" si="14"/>
        <v>1.4898651170966903</v>
      </c>
      <c r="EQ18" s="19">
        <f t="shared" si="98"/>
        <v>0.67847678920519738</v>
      </c>
      <c r="ER18" s="19">
        <f t="shared" si="15"/>
        <v>7.2417034316769992E-3</v>
      </c>
      <c r="ES18" s="19">
        <f t="shared" si="15"/>
        <v>0.11286009974967177</v>
      </c>
      <c r="ET18" s="19">
        <f t="shared" si="15"/>
        <v>3.8093707430932197E-2</v>
      </c>
      <c r="EU18" s="19">
        <f t="shared" si="15"/>
        <v>7.3315584756125857E-4</v>
      </c>
      <c r="EV18" s="19">
        <f t="shared" si="15"/>
        <v>4.1782224101938194E-2</v>
      </c>
      <c r="EW18" s="19">
        <f t="shared" si="15"/>
        <v>6.2485309917979036E-2</v>
      </c>
      <c r="EX18" s="19">
        <f t="shared" si="15"/>
        <v>4.8250719385819249E-2</v>
      </c>
      <c r="EY18" s="19">
        <f t="shared" si="15"/>
        <v>1.0076290929223748E-2</v>
      </c>
      <c r="EZ18" s="19">
        <f t="shared" si="16"/>
        <v>1</v>
      </c>
    </row>
    <row r="19" spans="1:156" ht="16.2">
      <c r="A19" s="19" t="s">
        <v>217</v>
      </c>
      <c r="B19" s="19" t="s">
        <v>70</v>
      </c>
      <c r="C19" s="185">
        <v>0.20000000298023199</v>
      </c>
      <c r="D19" s="177">
        <f t="shared" si="17"/>
        <v>910.03461277359986</v>
      </c>
      <c r="F19" s="179">
        <f t="shared" si="18"/>
        <v>-12.466281513229234</v>
      </c>
      <c r="G19" s="185">
        <v>61.532798767089801</v>
      </c>
      <c r="H19" s="185">
        <v>0.44086000323295599</v>
      </c>
      <c r="I19" s="185">
        <v>16.5088005065918</v>
      </c>
      <c r="J19" s="185">
        <v>3.3299000263214098</v>
      </c>
      <c r="K19" s="185">
        <v>3.7519998848438298E-2</v>
      </c>
      <c r="L19" s="185">
        <v>1.6414999961853001</v>
      </c>
      <c r="M19" s="185">
        <v>4.3429398536682102</v>
      </c>
      <c r="N19" s="185">
        <v>4.4085998535156197</v>
      </c>
      <c r="O19" s="185">
        <v>1.40699994564056</v>
      </c>
      <c r="P19" s="185">
        <v>0</v>
      </c>
      <c r="Q19" s="185">
        <v>0.21573999524116499</v>
      </c>
      <c r="R19" s="185">
        <v>6.1999998092651403</v>
      </c>
      <c r="S19" s="19">
        <f t="shared" si="19"/>
        <v>93.865658946335273</v>
      </c>
      <c r="U19" s="40">
        <f t="shared" si="20"/>
        <v>1037.5714498996733</v>
      </c>
      <c r="V19" s="40">
        <f t="shared" si="21"/>
        <v>946.55172990951564</v>
      </c>
      <c r="W19" s="40">
        <f t="shared" si="22"/>
        <v>960.32946491121197</v>
      </c>
      <c r="X19" s="40">
        <f t="shared" si="0"/>
        <v>966.12455215986745</v>
      </c>
      <c r="Y19" s="40">
        <f t="shared" si="23"/>
        <v>1046.9941499233246</v>
      </c>
      <c r="Z19" s="40">
        <f t="shared" si="24"/>
        <v>1040.0928015708923</v>
      </c>
      <c r="AB19" s="39">
        <v>40.5</v>
      </c>
      <c r="AC19" s="39">
        <v>0.05</v>
      </c>
      <c r="AD19" s="39">
        <v>0.1</v>
      </c>
      <c r="AE19" s="39">
        <v>13.2</v>
      </c>
      <c r="AF19" s="39">
        <v>0.18</v>
      </c>
      <c r="AG19" s="39">
        <v>46.8</v>
      </c>
      <c r="AH19" s="39">
        <v>0.28999999999999998</v>
      </c>
      <c r="AI19" s="39">
        <v>0</v>
      </c>
      <c r="AJ19" s="39">
        <v>0</v>
      </c>
      <c r="AK19" s="39">
        <v>0.02</v>
      </c>
      <c r="AL19" s="39">
        <v>0</v>
      </c>
      <c r="AM19" s="39">
        <v>0</v>
      </c>
      <c r="AO19" s="41">
        <f t="shared" si="25"/>
        <v>46.776908442256399</v>
      </c>
      <c r="AP19" s="41">
        <f t="shared" si="26"/>
        <v>86.338998655926403</v>
      </c>
      <c r="AQ19" s="44"/>
      <c r="AR19" s="42">
        <f t="shared" si="1"/>
        <v>0.13903936296931632</v>
      </c>
      <c r="AS19" s="181">
        <f t="shared" si="27"/>
        <v>0.33287694029573844</v>
      </c>
      <c r="AT19" s="187">
        <f t="shared" si="28"/>
        <v>23.75320638804676</v>
      </c>
      <c r="AU19" s="186">
        <f t="shared" si="29"/>
        <v>20.553519646111479</v>
      </c>
      <c r="AV19" s="187">
        <f t="shared" si="30"/>
        <v>1005.5813153257621</v>
      </c>
      <c r="AW19" s="187">
        <f t="shared" si="31"/>
        <v>1007.2392566379066</v>
      </c>
      <c r="AX19" s="186">
        <f t="shared" si="32"/>
        <v>1041.0730941399388</v>
      </c>
      <c r="AY19" s="186">
        <f t="shared" si="33"/>
        <v>1042.4750729453126</v>
      </c>
      <c r="AZ19" s="186">
        <f t="shared" si="34"/>
        <v>910.03461277359986</v>
      </c>
      <c r="BA19" s="186">
        <f t="shared" si="35"/>
        <v>820.36657176510334</v>
      </c>
      <c r="BB19" s="186">
        <f t="shared" si="36"/>
        <v>892.72645828013208</v>
      </c>
      <c r="BC19" s="19">
        <f t="shared" si="37"/>
        <v>1031.6320449001009</v>
      </c>
      <c r="BD19" s="19">
        <f t="shared" si="38"/>
        <v>996.39449602444904</v>
      </c>
      <c r="BE19" s="19">
        <f t="shared" si="39"/>
        <v>842.89460035765057</v>
      </c>
      <c r="BF19" s="204">
        <f t="shared" si="40"/>
        <v>932.4066154671109</v>
      </c>
      <c r="BG19" s="19" t="s">
        <v>69</v>
      </c>
      <c r="BI19" s="19">
        <f t="shared" si="41"/>
        <v>1.0241077746947174</v>
      </c>
      <c r="BJ19" s="19">
        <f t="shared" si="42"/>
        <v>5.5191114943258538E-3</v>
      </c>
      <c r="BK19" s="19">
        <f t="shared" si="43"/>
        <v>0.32382578645936783</v>
      </c>
      <c r="BL19" s="19">
        <f t="shared" si="44"/>
        <v>4.6347486113728867E-2</v>
      </c>
      <c r="BM19" s="19">
        <f t="shared" si="45"/>
        <v>5.2891628332600246E-4</v>
      </c>
      <c r="BN19" s="19">
        <f t="shared" si="46"/>
        <v>4.0727563149068093E-2</v>
      </c>
      <c r="BO19" s="19">
        <f t="shared" si="47"/>
        <v>7.7445456702133306E-2</v>
      </c>
      <c r="BP19" s="19">
        <f t="shared" si="48"/>
        <v>0.1422613132377509</v>
      </c>
      <c r="BQ19" s="19">
        <f t="shared" si="49"/>
        <v>2.9873878840726995E-2</v>
      </c>
      <c r="BR19" s="19">
        <f t="shared" si="50"/>
        <v>1.6906372869751449</v>
      </c>
      <c r="BS19" s="19">
        <f t="shared" si="2"/>
        <v>0.60575250681181347</v>
      </c>
      <c r="BT19" s="19">
        <f t="shared" si="3"/>
        <v>3.2645154208094749E-3</v>
      </c>
      <c r="BU19" s="19">
        <f t="shared" si="4"/>
        <v>0.19154066277501225</v>
      </c>
      <c r="BV19" s="184">
        <f t="shared" si="5"/>
        <v>2.7414210292648213E-2</v>
      </c>
      <c r="BW19" s="19">
        <f t="shared" si="6"/>
        <v>3.1285024138579665E-4</v>
      </c>
      <c r="BX19" s="184">
        <f t="shared" si="7"/>
        <v>2.4090065600018234E-2</v>
      </c>
      <c r="BY19" s="19">
        <f t="shared" si="8"/>
        <v>4.5808439988152157E-2</v>
      </c>
      <c r="BZ19" s="19">
        <f t="shared" si="9"/>
        <v>8.4146560787312377E-2</v>
      </c>
      <c r="CA19" s="19">
        <f t="shared" si="10"/>
        <v>1.7670188082848187E-2</v>
      </c>
      <c r="CB19" s="19">
        <f t="shared" si="51"/>
        <v>1.0000000000000004</v>
      </c>
      <c r="CC19" s="19">
        <f t="shared" si="52"/>
        <v>0.67405295559738565</v>
      </c>
      <c r="CD19" s="19">
        <f t="shared" si="53"/>
        <v>6.2666300695470608E-4</v>
      </c>
      <c r="CE19" s="19">
        <f t="shared" si="54"/>
        <v>1.9615343121389553E-3</v>
      </c>
      <c r="CF19" s="19">
        <f t="shared" si="55"/>
        <v>0.18372528059861035</v>
      </c>
      <c r="CG19" s="19">
        <f t="shared" si="56"/>
        <v>2.5374449339207049E-3</v>
      </c>
      <c r="CH19" s="19">
        <f t="shared" si="57"/>
        <v>1.1611635454193585</v>
      </c>
      <c r="CI19" s="19">
        <f t="shared" si="58"/>
        <v>5.1714237821296992E-3</v>
      </c>
      <c r="CJ19" s="19">
        <f t="shared" si="59"/>
        <v>0</v>
      </c>
      <c r="CK19" s="19">
        <f t="shared" si="60"/>
        <v>0</v>
      </c>
      <c r="CL19" s="19">
        <f t="shared" si="61"/>
        <v>2.0292388476504986</v>
      </c>
      <c r="CM19" s="19">
        <f t="shared" si="11"/>
        <v>0.33217033883311486</v>
      </c>
      <c r="CN19" s="19">
        <f t="shared" si="11"/>
        <v>3.0881678008494245E-4</v>
      </c>
      <c r="CO19" s="19">
        <f t="shared" si="11"/>
        <v>9.6663550198147785E-4</v>
      </c>
      <c r="CP19" s="19">
        <f t="shared" si="11"/>
        <v>9.0539012108570599E-2</v>
      </c>
      <c r="CQ19" s="19">
        <f t="shared" si="11"/>
        <v>1.2504417293502041E-3</v>
      </c>
      <c r="CR19" s="19">
        <f t="shared" si="11"/>
        <v>0.57221630009881863</v>
      </c>
      <c r="CS19" s="19">
        <f t="shared" si="11"/>
        <v>2.5484549480793242E-3</v>
      </c>
      <c r="CT19" s="19">
        <f t="shared" si="11"/>
        <v>0</v>
      </c>
      <c r="CU19" s="19">
        <f t="shared" si="11"/>
        <v>0</v>
      </c>
      <c r="CV19" s="19">
        <f t="shared" si="99"/>
        <v>9.7625566122204396E-2</v>
      </c>
      <c r="CW19" s="19">
        <f t="shared" si="62"/>
        <v>0.60575250681181347</v>
      </c>
      <c r="CX19" s="19">
        <f t="shared" si="63"/>
        <v>-0.76707612266843495</v>
      </c>
      <c r="DA19" s="19">
        <f t="shared" si="64"/>
        <v>13701.720991562681</v>
      </c>
      <c r="DB19" s="19">
        <f t="shared" si="65"/>
        <v>10.42571923492901</v>
      </c>
      <c r="DC19" s="19">
        <f t="shared" si="66"/>
        <v>10.715089892103025</v>
      </c>
      <c r="DD19" s="19">
        <f t="shared" si="67"/>
        <v>1314.2230941399389</v>
      </c>
      <c r="DF19" s="19">
        <f t="shared" si="68"/>
        <v>13602.905801982104</v>
      </c>
      <c r="DG19" s="19">
        <f t="shared" si="69"/>
        <v>10.42571923492901</v>
      </c>
      <c r="DH19" s="19">
        <f t="shared" si="70"/>
        <v>1304.7450727819958</v>
      </c>
      <c r="DI19" s="19">
        <f t="shared" si="71"/>
        <v>10.715089892103025</v>
      </c>
      <c r="DJ19" s="19">
        <f t="shared" si="72"/>
        <v>1269.5092564745898</v>
      </c>
      <c r="DL19" s="19">
        <v>1340</v>
      </c>
      <c r="DM19" s="19">
        <f t="shared" si="73"/>
        <v>0.20000000298023199</v>
      </c>
      <c r="DN19" s="19">
        <f t="shared" si="74"/>
        <v>1</v>
      </c>
      <c r="DO19" s="19">
        <f t="shared" si="75"/>
        <v>-0.76707612266843495</v>
      </c>
      <c r="DP19" s="19">
        <f t="shared" si="76"/>
        <v>9.7625566122204396E-2</v>
      </c>
      <c r="DQ19" s="19">
        <f t="shared" si="77"/>
        <v>0.60575250681181347</v>
      </c>
      <c r="DR19" s="19">
        <f t="shared" si="78"/>
        <v>20.553519646111479</v>
      </c>
      <c r="DS19" s="19">
        <f t="shared" si="79"/>
        <v>13701.860001473124</v>
      </c>
      <c r="DT19" s="19">
        <f t="shared" si="80"/>
        <v>10.425496007756875</v>
      </c>
      <c r="DU19" s="19">
        <f t="shared" si="81"/>
        <v>1041.1145674871045</v>
      </c>
      <c r="DV19" s="19">
        <f t="shared" si="82"/>
        <v>1031.6367861518461</v>
      </c>
      <c r="DW19" s="19">
        <f t="shared" si="12"/>
        <v>1042.3567863103945</v>
      </c>
      <c r="DX19" s="25">
        <f t="shared" si="83"/>
        <v>23.75320638804676</v>
      </c>
      <c r="DY19" s="19">
        <f t="shared" si="13"/>
        <v>5.4134555856034847</v>
      </c>
      <c r="DZ19" s="19">
        <f t="shared" si="84"/>
        <v>4441.0180001641811</v>
      </c>
      <c r="EA19" s="19">
        <f t="shared" si="85"/>
        <v>820.36657176510346</v>
      </c>
      <c r="EC19" s="19">
        <f t="shared" si="86"/>
        <v>30.519304494702819</v>
      </c>
      <c r="ED19" s="19">
        <f t="shared" si="87"/>
        <v>892.72645828013208</v>
      </c>
      <c r="EE19" s="19">
        <f t="shared" si="88"/>
        <v>1340</v>
      </c>
      <c r="EG19" s="19">
        <f t="shared" si="89"/>
        <v>1.0241810713563548</v>
      </c>
      <c r="EH19" s="19">
        <f t="shared" si="90"/>
        <v>5.5176470992860573E-3</v>
      </c>
      <c r="EI19" s="19">
        <f t="shared" si="91"/>
        <v>0.16191448123373678</v>
      </c>
      <c r="EJ19" s="19">
        <f t="shared" si="92"/>
        <v>4.6345163901481003E-2</v>
      </c>
      <c r="EK19" s="19">
        <f t="shared" si="93"/>
        <v>5.2889764376146456E-4</v>
      </c>
      <c r="EL19" s="19">
        <f t="shared" si="94"/>
        <v>4.0732009830900751E-2</v>
      </c>
      <c r="EM19" s="19">
        <f t="shared" si="95"/>
        <v>7.7441866149575794E-2</v>
      </c>
      <c r="EN19" s="19">
        <f t="shared" si="96"/>
        <v>7.11293942161281E-2</v>
      </c>
      <c r="EO19" s="19">
        <f t="shared" si="97"/>
        <v>1.4936305155419957E-2</v>
      </c>
      <c r="EP19" s="19">
        <f t="shared" si="14"/>
        <v>1.4427268365866446</v>
      </c>
      <c r="EQ19" s="19">
        <f t="shared" si="98"/>
        <v>0.70989257660131322</v>
      </c>
      <c r="ER19" s="19">
        <f t="shared" si="15"/>
        <v>3.8244572426061533E-3</v>
      </c>
      <c r="ES19" s="19">
        <f t="shared" si="15"/>
        <v>0.11222809275303365</v>
      </c>
      <c r="ET19" s="19">
        <f t="shared" si="15"/>
        <v>3.212331172207851E-2</v>
      </c>
      <c r="EU19" s="19">
        <f t="shared" si="15"/>
        <v>3.6659583113653475E-4</v>
      </c>
      <c r="EV19" s="19">
        <f t="shared" si="15"/>
        <v>2.8232655550560658E-2</v>
      </c>
      <c r="EW19" s="19">
        <f t="shared" si="15"/>
        <v>5.3677428176768328E-2</v>
      </c>
      <c r="EX19" s="19">
        <f t="shared" si="15"/>
        <v>4.9302052483069854E-2</v>
      </c>
      <c r="EY19" s="19">
        <f t="shared" si="15"/>
        <v>1.0352829639433231E-2</v>
      </c>
      <c r="EZ19" s="19">
        <f t="shared" si="16"/>
        <v>1.0000000000000002</v>
      </c>
    </row>
    <row r="20" spans="1:156" s="191" customFormat="1" ht="16.2">
      <c r="A20" s="191" t="s">
        <v>217</v>
      </c>
      <c r="B20" s="191" t="s">
        <v>71</v>
      </c>
      <c r="C20" s="192">
        <v>0.20000000298023199</v>
      </c>
      <c r="D20" s="193">
        <f t="shared" si="17"/>
        <v>970.53793702856638</v>
      </c>
      <c r="E20" s="194"/>
      <c r="F20" s="195">
        <f t="shared" si="18"/>
        <v>-11.448883436570584</v>
      </c>
      <c r="G20" s="192">
        <v>52.969100952148402</v>
      </c>
      <c r="H20" s="192">
        <v>0.80341202020645097</v>
      </c>
      <c r="I20" s="192">
        <v>17.5629997253418</v>
      </c>
      <c r="J20" s="192">
        <v>5.9321699142456099</v>
      </c>
      <c r="K20" s="192">
        <v>0.14947199821472201</v>
      </c>
      <c r="L20" s="192">
        <v>3.7835099697113002</v>
      </c>
      <c r="M20" s="192">
        <v>7.6511001586914098</v>
      </c>
      <c r="N20" s="192">
        <v>3.8021900653839098</v>
      </c>
      <c r="O20" s="192">
        <v>0.551177978515625</v>
      </c>
      <c r="P20" s="192">
        <v>3.7367999553680399E-2</v>
      </c>
      <c r="Q20" s="192">
        <v>0.19618199765682201</v>
      </c>
      <c r="R20" s="192">
        <v>6.57999992370606</v>
      </c>
      <c r="S20" s="191">
        <f t="shared" si="19"/>
        <v>93.438682779669733</v>
      </c>
      <c r="U20" s="196">
        <f t="shared" si="20"/>
        <v>1093.9063122034072</v>
      </c>
      <c r="V20" s="196">
        <f t="shared" si="21"/>
        <v>1013.1857233185201</v>
      </c>
      <c r="W20" s="196">
        <f t="shared" si="22"/>
        <v>1018.1385063286398</v>
      </c>
      <c r="X20" s="196">
        <f t="shared" si="0"/>
        <v>1030.7411116800226</v>
      </c>
      <c r="Y20" s="196">
        <f t="shared" si="23"/>
        <v>1090.0485503911971</v>
      </c>
      <c r="Z20" s="196">
        <f t="shared" si="24"/>
        <v>1095.0082626342773</v>
      </c>
      <c r="AB20" s="191">
        <v>40.5</v>
      </c>
      <c r="AC20" s="191">
        <v>0</v>
      </c>
      <c r="AD20" s="191">
        <v>0.1</v>
      </c>
      <c r="AE20" s="191">
        <v>9.41</v>
      </c>
      <c r="AF20" s="191">
        <v>0.1</v>
      </c>
      <c r="AG20" s="191">
        <v>49.3</v>
      </c>
      <c r="AH20" s="191">
        <v>0.31</v>
      </c>
      <c r="AI20" s="191">
        <v>0</v>
      </c>
      <c r="AJ20" s="191">
        <v>0</v>
      </c>
      <c r="AK20" s="191">
        <v>0</v>
      </c>
      <c r="AL20" s="191">
        <v>0</v>
      </c>
      <c r="AM20" s="191">
        <v>0</v>
      </c>
      <c r="AO20" s="197">
        <f t="shared" si="25"/>
        <v>53.207868179739876</v>
      </c>
      <c r="AP20" s="197">
        <f t="shared" si="26"/>
        <v>90.328075252986451</v>
      </c>
      <c r="AQ20" s="197"/>
      <c r="AR20" s="198">
        <f t="shared" si="1"/>
        <v>0.12173739517281909</v>
      </c>
      <c r="AS20" s="199">
        <f t="shared" si="27"/>
        <v>0.31098689231499888</v>
      </c>
      <c r="AT20" s="200">
        <f t="shared" si="28"/>
        <v>10.781292228644762</v>
      </c>
      <c r="AU20" s="201">
        <f t="shared" si="29"/>
        <v>9.4069620150588324</v>
      </c>
      <c r="AV20" s="200">
        <f t="shared" si="30"/>
        <v>1068.1412306230472</v>
      </c>
      <c r="AW20" s="200">
        <f t="shared" si="31"/>
        <v>1069.3479972328273</v>
      </c>
      <c r="AX20" s="201">
        <f t="shared" si="32"/>
        <v>1104.9327582154115</v>
      </c>
      <c r="AY20" s="201">
        <f t="shared" si="33"/>
        <v>1105.8741886841158</v>
      </c>
      <c r="AZ20" s="201">
        <f t="shared" si="34"/>
        <v>970.53793702856638</v>
      </c>
      <c r="BA20" s="201">
        <f t="shared" si="35"/>
        <v>940.50448030597329</v>
      </c>
      <c r="BB20" s="201">
        <f t="shared" si="36"/>
        <v>1004.1664180186616</v>
      </c>
      <c r="BC20" s="191">
        <f t="shared" si="37"/>
        <v>1095.0343806418073</v>
      </c>
      <c r="BD20" s="19">
        <f t="shared" si="38"/>
        <v>1058.5063179383419</v>
      </c>
      <c r="BE20" s="191">
        <f t="shared" si="39"/>
        <v>968.47239866381244</v>
      </c>
      <c r="BF20" s="205">
        <f t="shared" si="40"/>
        <v>994.52289560698819</v>
      </c>
      <c r="BG20" s="191" t="s">
        <v>72</v>
      </c>
      <c r="BI20" s="191">
        <f>G20/60.0843</f>
        <v>0.88157972968226983</v>
      </c>
      <c r="BJ20" s="191">
        <f t="shared" si="42"/>
        <v>1.0057887952829173E-2</v>
      </c>
      <c r="BK20" s="191">
        <f t="shared" si="43"/>
        <v>0.34450426585344984</v>
      </c>
      <c r="BL20" s="191">
        <f t="shared" si="44"/>
        <v>8.2567392579803722E-2</v>
      </c>
      <c r="BM20" s="191">
        <f t="shared" si="45"/>
        <v>2.1070942479608388E-3</v>
      </c>
      <c r="BN20" s="191">
        <f t="shared" si="46"/>
        <v>9.3873372875202213E-2</v>
      </c>
      <c r="BO20" s="191">
        <f t="shared" si="47"/>
        <v>0.13643821144866577</v>
      </c>
      <c r="BP20" s="191">
        <f t="shared" si="48"/>
        <v>0.12269304764634124</v>
      </c>
      <c r="BQ20" s="191">
        <f t="shared" si="49"/>
        <v>1.1702789471222238E-2</v>
      </c>
      <c r="BR20" s="191">
        <f>SUM(BI20:BQ20)</f>
        <v>1.685523791757745</v>
      </c>
      <c r="BS20" s="191">
        <f>BI20/$BR20</f>
        <v>0.52303013104485241</v>
      </c>
      <c r="BT20" s="191">
        <f t="shared" si="3"/>
        <v>5.9672180256443164E-3</v>
      </c>
      <c r="BU20" s="191">
        <f t="shared" si="4"/>
        <v>0.20439003444394235</v>
      </c>
      <c r="BV20" s="191">
        <f t="shared" si="5"/>
        <v>4.8986192294383744E-2</v>
      </c>
      <c r="BW20" s="191">
        <f>BM20/$BR20</f>
        <v>1.2501124328618701E-3</v>
      </c>
      <c r="BX20" s="191">
        <f t="shared" si="7"/>
        <v>5.5693887760140462E-2</v>
      </c>
      <c r="BY20" s="191">
        <f t="shared" si="8"/>
        <v>8.0947069460456239E-2</v>
      </c>
      <c r="BZ20" s="191">
        <f t="shared" si="9"/>
        <v>7.2792237194344828E-2</v>
      </c>
      <c r="CA20" s="191">
        <f t="shared" si="10"/>
        <v>6.9431173433737222E-3</v>
      </c>
      <c r="CB20" s="191">
        <f t="shared" si="51"/>
        <v>0.99999999999999989</v>
      </c>
      <c r="CC20" s="19">
        <f t="shared" si="52"/>
        <v>0.67405295559738565</v>
      </c>
      <c r="CD20" s="19">
        <f t="shared" si="53"/>
        <v>0</v>
      </c>
      <c r="CE20" s="19">
        <f t="shared" si="54"/>
        <v>1.9615343121389553E-3</v>
      </c>
      <c r="CF20" s="19">
        <f t="shared" si="55"/>
        <v>0.13097385533582753</v>
      </c>
      <c r="CG20" s="19">
        <f t="shared" si="56"/>
        <v>1.4096916299559472E-3</v>
      </c>
      <c r="CH20" s="19">
        <f t="shared" si="57"/>
        <v>1.2231915125891961</v>
      </c>
      <c r="CI20" s="19">
        <f t="shared" si="58"/>
        <v>5.5280736981386447E-3</v>
      </c>
      <c r="CJ20" s="191">
        <f t="shared" si="59"/>
        <v>0</v>
      </c>
      <c r="CK20" s="191">
        <f t="shared" si="60"/>
        <v>0</v>
      </c>
      <c r="CL20" s="191">
        <f t="shared" si="61"/>
        <v>2.0371176231626431</v>
      </c>
      <c r="CM20" s="191">
        <f t="shared" si="11"/>
        <v>0.33088563366847346</v>
      </c>
      <c r="CN20" s="191">
        <f>CD20/$CL20</f>
        <v>0</v>
      </c>
      <c r="CO20" s="191">
        <f t="shared" si="11"/>
        <v>9.6289693331190961E-4</v>
      </c>
      <c r="CP20" s="191">
        <f t="shared" si="11"/>
        <v>6.4293712766810909E-2</v>
      </c>
      <c r="CQ20" s="191">
        <f t="shared" si="11"/>
        <v>6.9200306056328177E-4</v>
      </c>
      <c r="CR20" s="191">
        <f t="shared" si="11"/>
        <v>0.60045207929141597</v>
      </c>
      <c r="CS20" s="191">
        <f t="shared" si="11"/>
        <v>2.713674279424406E-3</v>
      </c>
      <c r="CT20" s="191">
        <f t="shared" si="11"/>
        <v>0</v>
      </c>
      <c r="CU20" s="191">
        <f t="shared" si="11"/>
        <v>0</v>
      </c>
      <c r="CV20" s="191">
        <f>BX20+BV20+BY20+BW20</f>
        <v>0.18687726194784232</v>
      </c>
      <c r="CW20" s="191">
        <f t="shared" si="62"/>
        <v>0.52303013104485241</v>
      </c>
      <c r="CX20" s="191">
        <f t="shared" si="63"/>
        <v>-0.84215737296393733</v>
      </c>
      <c r="DA20" s="191">
        <f t="shared" si="64"/>
        <v>13701.720991562681</v>
      </c>
      <c r="DB20" s="191">
        <f t="shared" si="65"/>
        <v>9.9425966328075432</v>
      </c>
      <c r="DC20" s="191">
        <f t="shared" si="66"/>
        <v>10.21532138490017</v>
      </c>
      <c r="DD20" s="191">
        <f t="shared" si="67"/>
        <v>1378.0827582154113</v>
      </c>
      <c r="DF20" s="191">
        <f t="shared" si="68"/>
        <v>13602.905801982104</v>
      </c>
      <c r="DG20" s="191">
        <f t="shared" si="69"/>
        <v>9.9425966328075432</v>
      </c>
      <c r="DH20" s="191">
        <f t="shared" si="70"/>
        <v>1368.1441885207989</v>
      </c>
      <c r="DI20" s="191">
        <f t="shared" si="71"/>
        <v>10.21532138490017</v>
      </c>
      <c r="DJ20" s="191">
        <f t="shared" si="72"/>
        <v>1331.6179970695107</v>
      </c>
      <c r="DL20" s="191">
        <v>1360</v>
      </c>
      <c r="DM20" s="191">
        <f t="shared" si="73"/>
        <v>0.20000000298023199</v>
      </c>
      <c r="DN20" s="191">
        <f t="shared" si="74"/>
        <v>1</v>
      </c>
      <c r="DO20" s="191">
        <f t="shared" si="75"/>
        <v>-0.84215737296393733</v>
      </c>
      <c r="DP20" s="191">
        <f t="shared" si="76"/>
        <v>0.18687726194784232</v>
      </c>
      <c r="DQ20" s="191">
        <f t="shared" si="77"/>
        <v>0.52303013104485241</v>
      </c>
      <c r="DR20" s="191">
        <f t="shared" si="78"/>
        <v>9.4069620150588324</v>
      </c>
      <c r="DS20" s="191">
        <f t="shared" si="79"/>
        <v>13701.860001473124</v>
      </c>
      <c r="DT20" s="191">
        <f t="shared" si="80"/>
        <v>9.9423734056354078</v>
      </c>
      <c r="DU20" s="191">
        <f t="shared" si="81"/>
        <v>1104.977680630745</v>
      </c>
      <c r="DV20" s="191">
        <f t="shared" si="82"/>
        <v>1095.0393522817894</v>
      </c>
      <c r="DW20" s="191">
        <f t="shared" si="12"/>
        <v>1105.7593524403378</v>
      </c>
      <c r="DX20" s="202">
        <f t="shared" si="83"/>
        <v>10.781292228644762</v>
      </c>
      <c r="DY20" s="191">
        <f t="shared" si="13"/>
        <v>4.7219530508981622</v>
      </c>
      <c r="DZ20" s="191">
        <f t="shared" si="84"/>
        <v>4441.0180001641811</v>
      </c>
      <c r="EA20" s="191">
        <f t="shared" si="85"/>
        <v>940.50448030597329</v>
      </c>
      <c r="EC20" s="191">
        <f t="shared" si="86"/>
        <v>14.907590807624985</v>
      </c>
      <c r="ED20" s="191">
        <f t="shared" si="87"/>
        <v>1004.1664180186616</v>
      </c>
      <c r="EE20" s="191">
        <f t="shared" si="88"/>
        <v>1360</v>
      </c>
      <c r="EG20" s="191">
        <f t="shared" si="89"/>
        <v>0.88164282543522643</v>
      </c>
      <c r="EH20" s="191">
        <f t="shared" si="90"/>
        <v>1.0055219276676483E-2</v>
      </c>
      <c r="EI20" s="191">
        <f t="shared" si="91"/>
        <v>0.17225382233563949</v>
      </c>
      <c r="EJ20" s="191">
        <f t="shared" si="92"/>
        <v>8.2563255591449003E-2</v>
      </c>
      <c r="EK20" s="191">
        <f t="shared" si="93"/>
        <v>2.1070199917496762E-3</v>
      </c>
      <c r="EL20" s="191">
        <f t="shared" si="94"/>
        <v>9.388362207720348E-2</v>
      </c>
      <c r="EM20" s="191">
        <f t="shared" si="95"/>
        <v>0.13643188585398378</v>
      </c>
      <c r="EN20" s="191">
        <f t="shared" si="96"/>
        <v>6.1345435065890769E-2</v>
      </c>
      <c r="EO20" s="191">
        <f t="shared" si="97"/>
        <v>5.851146268743365E-3</v>
      </c>
      <c r="EP20" s="191">
        <f t="shared" si="14"/>
        <v>1.4461342318965626</v>
      </c>
      <c r="EQ20" s="191">
        <f t="shared" si="98"/>
        <v>0.60965490338955441</v>
      </c>
      <c r="ER20" s="191">
        <f t="shared" si="15"/>
        <v>6.9531714656179307E-3</v>
      </c>
      <c r="ES20" s="191">
        <f t="shared" si="15"/>
        <v>0.11911330119731255</v>
      </c>
      <c r="ET20" s="191">
        <f t="shared" si="15"/>
        <v>5.7092387255897895E-2</v>
      </c>
      <c r="EU20" s="191">
        <f t="shared" si="15"/>
        <v>1.4570016705754772E-3</v>
      </c>
      <c r="EV20" s="191">
        <f t="shared" si="15"/>
        <v>6.4920406423183738E-2</v>
      </c>
      <c r="EW20" s="191">
        <f t="shared" si="15"/>
        <v>9.4342477236748185E-2</v>
      </c>
      <c r="EX20" s="191">
        <f t="shared" si="15"/>
        <v>4.2420291085591706E-2</v>
      </c>
      <c r="EY20" s="191">
        <f t="shared" si="15"/>
        <v>4.0460602755179632E-3</v>
      </c>
      <c r="EZ20" s="191">
        <f t="shared" si="16"/>
        <v>1</v>
      </c>
    </row>
    <row r="21" spans="1:156" ht="16.2">
      <c r="A21" s="19" t="s">
        <v>217</v>
      </c>
      <c r="B21" s="19" t="s">
        <v>73</v>
      </c>
      <c r="C21" s="185">
        <v>0.20000000298023199</v>
      </c>
      <c r="D21" s="177">
        <f t="shared" si="17"/>
        <v>956.3895456821366</v>
      </c>
      <c r="F21" s="179">
        <f t="shared" si="18"/>
        <v>-11.677904141916891</v>
      </c>
      <c r="G21" s="185">
        <v>54.050201416015597</v>
      </c>
      <c r="H21" s="185">
        <v>0.85734802484512296</v>
      </c>
      <c r="I21" s="185">
        <v>17.333299636840799</v>
      </c>
      <c r="J21" s="185">
        <v>5.6007199287414604</v>
      </c>
      <c r="K21" s="185">
        <v>0.18637999892234799</v>
      </c>
      <c r="L21" s="185">
        <v>3.2709701061248802</v>
      </c>
      <c r="M21" s="185">
        <v>6.8121900558471697</v>
      </c>
      <c r="N21" s="185">
        <v>4.30537986755371</v>
      </c>
      <c r="O21" s="185">
        <v>0.596415996551514</v>
      </c>
      <c r="P21" s="185">
        <v>2.79569998383522E-2</v>
      </c>
      <c r="Q21" s="185">
        <v>0.19569900631904599</v>
      </c>
      <c r="R21" s="185">
        <v>6.8099999427795401</v>
      </c>
      <c r="S21" s="19">
        <f t="shared" si="19"/>
        <v>93.236561037599984</v>
      </c>
      <c r="U21" s="40">
        <f t="shared" si="20"/>
        <v>1080.4265137910843</v>
      </c>
      <c r="V21" s="40">
        <f t="shared" si="21"/>
        <v>998.78498227849332</v>
      </c>
      <c r="W21" s="40">
        <f t="shared" si="22"/>
        <v>1002.2665977024499</v>
      </c>
      <c r="X21" s="40">
        <f t="shared" si="0"/>
        <v>1013.9390131759936</v>
      </c>
      <c r="Y21" s="40">
        <f t="shared" si="23"/>
        <v>1079.7464991331101</v>
      </c>
      <c r="Z21" s="40">
        <f t="shared" si="24"/>
        <v>1081.0823549270631</v>
      </c>
      <c r="AB21" s="39">
        <v>40.5</v>
      </c>
      <c r="AC21" s="39">
        <v>0.02</v>
      </c>
      <c r="AD21" s="39">
        <v>0.1</v>
      </c>
      <c r="AE21" s="39">
        <v>10.6</v>
      </c>
      <c r="AF21" s="39">
        <v>0.15</v>
      </c>
      <c r="AG21" s="39">
        <v>48.5</v>
      </c>
      <c r="AH21" s="39">
        <v>0.34</v>
      </c>
      <c r="AI21" s="39">
        <v>0</v>
      </c>
      <c r="AJ21" s="39">
        <v>0</v>
      </c>
      <c r="AK21" s="39">
        <v>0.02</v>
      </c>
      <c r="AL21" s="39">
        <v>0</v>
      </c>
      <c r="AM21" s="39">
        <v>0</v>
      </c>
      <c r="AO21" s="41">
        <f t="shared" si="25"/>
        <v>51.010377559758531</v>
      </c>
      <c r="AP21" s="41">
        <f t="shared" si="26"/>
        <v>89.078451158351299</v>
      </c>
      <c r="AQ21" s="44"/>
      <c r="AR21" s="42">
        <f t="shared" si="1"/>
        <v>0.1276429538811239</v>
      </c>
      <c r="AS21" s="181">
        <f t="shared" si="27"/>
        <v>0.31178555641972205</v>
      </c>
      <c r="AT21" s="187">
        <f t="shared" si="28"/>
        <v>12.276129682573201</v>
      </c>
      <c r="AU21" s="186">
        <f t="shared" si="29"/>
        <v>10.654867417711271</v>
      </c>
      <c r="AV21" s="187">
        <f t="shared" si="30"/>
        <v>1057.7520731179652</v>
      </c>
      <c r="AW21" s="187">
        <f t="shared" si="31"/>
        <v>1059.0337651016512</v>
      </c>
      <c r="AX21" s="186">
        <f t="shared" si="32"/>
        <v>1095.4094611903711</v>
      </c>
      <c r="AY21" s="186">
        <f t="shared" si="33"/>
        <v>1096.4195725497125</v>
      </c>
      <c r="AZ21" s="186">
        <f t="shared" si="34"/>
        <v>956.3895456821366</v>
      </c>
      <c r="BA21" s="186">
        <f t="shared" si="35"/>
        <v>917.93835160967149</v>
      </c>
      <c r="BB21" s="186">
        <f t="shared" si="36"/>
        <v>984.10286743824361</v>
      </c>
      <c r="BC21" s="19">
        <f t="shared" si="37"/>
        <v>1085.5792759428996</v>
      </c>
      <c r="BD21" s="19">
        <f t="shared" si="38"/>
        <v>1048.1915653334586</v>
      </c>
      <c r="BE21" s="19">
        <f t="shared" si="39"/>
        <v>945.62270721419088</v>
      </c>
      <c r="BF21" s="204">
        <f t="shared" si="40"/>
        <v>980.5957950395333</v>
      </c>
      <c r="BG21" s="19" t="s">
        <v>67</v>
      </c>
      <c r="BI21" s="19">
        <f t="shared" si="41"/>
        <v>0.89957279049627936</v>
      </c>
      <c r="BJ21" s="19">
        <f t="shared" si="42"/>
        <v>1.0733110973689177E-2</v>
      </c>
      <c r="BK21" s="19">
        <f t="shared" si="43"/>
        <v>0.33999861980248919</v>
      </c>
      <c r="BL21" s="19">
        <f t="shared" si="44"/>
        <v>7.7954078822898024E-2</v>
      </c>
      <c r="BM21" s="19">
        <f t="shared" si="45"/>
        <v>2.6273832447203244E-3</v>
      </c>
      <c r="BN21" s="19">
        <f t="shared" si="46"/>
        <v>8.115665054249363E-2</v>
      </c>
      <c r="BO21" s="19">
        <f t="shared" si="47"/>
        <v>0.1214783505627431</v>
      </c>
      <c r="BP21" s="19">
        <f t="shared" si="48"/>
        <v>0.13893050272120705</v>
      </c>
      <c r="BQ21" s="19">
        <f t="shared" si="49"/>
        <v>1.2663297731358316E-2</v>
      </c>
      <c r="BR21" s="19">
        <f t="shared" si="50"/>
        <v>1.6851147848978782</v>
      </c>
      <c r="BS21" s="19">
        <f t="shared" si="2"/>
        <v>0.53383472660635134</v>
      </c>
      <c r="BT21" s="19">
        <f t="shared" si="3"/>
        <v>6.3693649061061603E-3</v>
      </c>
      <c r="BU21" s="19">
        <f t="shared" si="4"/>
        <v>0.20176585170908334</v>
      </c>
      <c r="BV21" s="184">
        <f t="shared" si="5"/>
        <v>4.6260396930540383E-2</v>
      </c>
      <c r="BW21" s="19">
        <f t="shared" si="6"/>
        <v>1.5591716767707011E-3</v>
      </c>
      <c r="BX21" s="184">
        <f t="shared" si="7"/>
        <v>4.8160903500358232E-2</v>
      </c>
      <c r="BY21" s="19">
        <f t="shared" si="8"/>
        <v>7.2089065772516475E-2</v>
      </c>
      <c r="BZ21" s="19">
        <f t="shared" si="9"/>
        <v>8.2445720592040583E-2</v>
      </c>
      <c r="CA21" s="19">
        <f t="shared" si="10"/>
        <v>7.5147983062327358E-3</v>
      </c>
      <c r="CB21" s="19">
        <f t="shared" si="51"/>
        <v>0.99999999999999989</v>
      </c>
      <c r="CC21" s="19">
        <f t="shared" si="52"/>
        <v>0.67405295559738565</v>
      </c>
      <c r="CD21" s="19">
        <f t="shared" si="53"/>
        <v>2.5066520278188244E-4</v>
      </c>
      <c r="CE21" s="19">
        <f t="shared" si="54"/>
        <v>1.9615343121389553E-3</v>
      </c>
      <c r="CF21" s="19">
        <f t="shared" si="55"/>
        <v>0.14753696775342953</v>
      </c>
      <c r="CG21" s="19">
        <f t="shared" si="56"/>
        <v>2.1145374449339205E-3</v>
      </c>
      <c r="CH21" s="19">
        <f t="shared" si="57"/>
        <v>1.2033425630948482</v>
      </c>
      <c r="CI21" s="19">
        <f t="shared" si="58"/>
        <v>6.0630485721520624E-3</v>
      </c>
      <c r="CJ21" s="19">
        <f t="shared" si="59"/>
        <v>0</v>
      </c>
      <c r="CK21" s="19">
        <f t="shared" si="60"/>
        <v>0</v>
      </c>
      <c r="CL21" s="19">
        <f t="shared" si="61"/>
        <v>2.0353222719776705</v>
      </c>
      <c r="CM21" s="19">
        <f t="shared" si="11"/>
        <v>0.33117750681440028</v>
      </c>
      <c r="CN21" s="19">
        <f t="shared" si="11"/>
        <v>1.2315750003478196E-4</v>
      </c>
      <c r="CO21" s="19">
        <f t="shared" si="11"/>
        <v>9.6374630157856163E-4</v>
      </c>
      <c r="CP21" s="19">
        <f t="shared" si="11"/>
        <v>7.2488258879057826E-2</v>
      </c>
      <c r="CQ21" s="19">
        <f t="shared" si="11"/>
        <v>1.0389202113330576E-3</v>
      </c>
      <c r="CR21" s="19">
        <f t="shared" si="11"/>
        <v>0.59122949700029126</v>
      </c>
      <c r="CS21" s="19">
        <f t="shared" si="11"/>
        <v>2.9789132933040396E-3</v>
      </c>
      <c r="CT21" s="19">
        <f t="shared" si="11"/>
        <v>0</v>
      </c>
      <c r="CU21" s="19">
        <f t="shared" si="11"/>
        <v>0</v>
      </c>
      <c r="CV21" s="19">
        <f t="shared" si="99"/>
        <v>0.16806953788018578</v>
      </c>
      <c r="CW21" s="19">
        <f t="shared" si="62"/>
        <v>0.53383472660635134</v>
      </c>
      <c r="CX21" s="19">
        <f t="shared" si="63"/>
        <v>-0.83346472080899214</v>
      </c>
      <c r="DA21" s="19">
        <f t="shared" si="64"/>
        <v>13701.720991562681</v>
      </c>
      <c r="DB21" s="19">
        <f t="shared" si="65"/>
        <v>10.01178347022273</v>
      </c>
      <c r="DC21" s="19">
        <f t="shared" si="66"/>
        <v>10.295063226900709</v>
      </c>
      <c r="DD21" s="19">
        <f t="shared" si="67"/>
        <v>1368.5594611903709</v>
      </c>
      <c r="DF21" s="19">
        <f t="shared" si="68"/>
        <v>13602.905801982104</v>
      </c>
      <c r="DG21" s="19">
        <f t="shared" si="69"/>
        <v>10.01178347022273</v>
      </c>
      <c r="DH21" s="19">
        <f t="shared" si="70"/>
        <v>1358.6895723863956</v>
      </c>
      <c r="DI21" s="19">
        <f t="shared" si="71"/>
        <v>10.295063226900709</v>
      </c>
      <c r="DJ21" s="19">
        <f t="shared" si="72"/>
        <v>1321.3037649383343</v>
      </c>
      <c r="DL21" s="19">
        <v>1345</v>
      </c>
      <c r="DM21" s="19">
        <f t="shared" si="73"/>
        <v>0.20000000298023199</v>
      </c>
      <c r="DN21" s="19">
        <f t="shared" si="74"/>
        <v>1</v>
      </c>
      <c r="DO21" s="19">
        <f t="shared" si="75"/>
        <v>-0.83346472080899214</v>
      </c>
      <c r="DP21" s="19">
        <f t="shared" si="76"/>
        <v>0.1680695378801858</v>
      </c>
      <c r="DQ21" s="19">
        <f t="shared" si="77"/>
        <v>0.53383472660635134</v>
      </c>
      <c r="DR21" s="19">
        <f t="shared" si="78"/>
        <v>10.654867417711271</v>
      </c>
      <c r="DS21" s="19">
        <f t="shared" si="79"/>
        <v>13701.860001473124</v>
      </c>
      <c r="DT21" s="19">
        <f t="shared" si="80"/>
        <v>10.011560243050594</v>
      </c>
      <c r="DU21" s="19">
        <f t="shared" si="81"/>
        <v>1095.453860820206</v>
      </c>
      <c r="DV21" s="19">
        <f t="shared" si="82"/>
        <v>1085.5842132253952</v>
      </c>
      <c r="DW21" s="19">
        <f t="shared" si="12"/>
        <v>1096.3042133839435</v>
      </c>
      <c r="DX21" s="25">
        <f t="shared" si="83"/>
        <v>12.276129682573201</v>
      </c>
      <c r="DY21" s="19">
        <f t="shared" si="13"/>
        <v>4.8380351386087463</v>
      </c>
      <c r="DZ21" s="19">
        <f t="shared" si="84"/>
        <v>4441.0180001641811</v>
      </c>
      <c r="EA21" s="19">
        <f t="shared" si="85"/>
        <v>917.93835160967149</v>
      </c>
      <c r="EC21" s="19">
        <f t="shared" si="86"/>
        <v>16.801886889356307</v>
      </c>
      <c r="ED21" s="19">
        <f t="shared" si="87"/>
        <v>984.10286743824361</v>
      </c>
      <c r="EE21" s="19">
        <f t="shared" si="88"/>
        <v>1345</v>
      </c>
      <c r="EG21" s="19">
        <f t="shared" si="89"/>
        <v>0.89963717403488008</v>
      </c>
      <c r="EH21" s="19">
        <f t="shared" si="90"/>
        <v>1.0730263139488397E-2</v>
      </c>
      <c r="EI21" s="19">
        <f t="shared" si="91"/>
        <v>0.1700009772149941</v>
      </c>
      <c r="EJ21" s="19">
        <f t="shared" si="92"/>
        <v>7.7950172981787899E-2</v>
      </c>
      <c r="EK21" s="19">
        <f t="shared" si="93"/>
        <v>2.6272906529792501E-3</v>
      </c>
      <c r="EL21" s="19">
        <f t="shared" si="94"/>
        <v>8.1165511318235239E-2</v>
      </c>
      <c r="EM21" s="19">
        <f t="shared" si="95"/>
        <v>0.12147271854221059</v>
      </c>
      <c r="EN21" s="19">
        <f t="shared" si="96"/>
        <v>6.9464018514903358E-2</v>
      </c>
      <c r="EO21" s="19">
        <f t="shared" si="97"/>
        <v>6.3313800058547136E-3</v>
      </c>
      <c r="EP21" s="19">
        <f t="shared" si="14"/>
        <v>1.4393795064053336</v>
      </c>
      <c r="EQ21" s="19">
        <f t="shared" si="98"/>
        <v>0.62501735645910994</v>
      </c>
      <c r="ER21" s="19">
        <f t="shared" si="15"/>
        <v>7.4547838785657423E-3</v>
      </c>
      <c r="ES21" s="19">
        <f t="shared" si="15"/>
        <v>0.1181071263405367</v>
      </c>
      <c r="ET21" s="19">
        <f t="shared" si="15"/>
        <v>5.4155400042104597E-2</v>
      </c>
      <c r="EU21" s="19">
        <f t="shared" si="15"/>
        <v>1.8252939140008828E-3</v>
      </c>
      <c r="EV21" s="19">
        <f t="shared" si="15"/>
        <v>5.6389236443233605E-2</v>
      </c>
      <c r="EW21" s="19">
        <f t="shared" si="15"/>
        <v>8.4392419095623492E-2</v>
      </c>
      <c r="EX21" s="19">
        <f t="shared" si="15"/>
        <v>4.8259696769186934E-2</v>
      </c>
      <c r="EY21" s="19">
        <f t="shared" si="15"/>
        <v>4.3986870576381391E-3</v>
      </c>
      <c r="EZ21" s="19">
        <f t="shared" si="16"/>
        <v>1</v>
      </c>
    </row>
    <row r="22" spans="1:156" ht="16.2">
      <c r="A22" s="19" t="s">
        <v>217</v>
      </c>
      <c r="B22" s="19" t="s">
        <v>74</v>
      </c>
      <c r="C22" s="185">
        <v>0.20000000298023199</v>
      </c>
      <c r="D22" s="177">
        <f t="shared" si="17"/>
        <v>952.78288981711034</v>
      </c>
      <c r="F22" s="179">
        <f t="shared" si="18"/>
        <v>-11.737123334361309</v>
      </c>
      <c r="G22" s="185">
        <v>55.656299591064403</v>
      </c>
      <c r="H22" s="185">
        <v>0.89798402786254905</v>
      </c>
      <c r="I22" s="185">
        <v>17.117799758911101</v>
      </c>
      <c r="J22" s="185">
        <v>5.3130698204040501</v>
      </c>
      <c r="K22" s="185">
        <v>0.13095599412918099</v>
      </c>
      <c r="L22" s="185">
        <v>2.6752400398254399</v>
      </c>
      <c r="M22" s="185">
        <v>5.8649601936340297</v>
      </c>
      <c r="N22" s="185">
        <v>4.8640799522399902</v>
      </c>
      <c r="O22" s="185">
        <v>0.70155000686645497</v>
      </c>
      <c r="P22" s="185">
        <v>6.5477997064590496E-2</v>
      </c>
      <c r="Q22" s="185">
        <v>0.215141996741295</v>
      </c>
      <c r="R22" s="185">
        <v>6.46000003814697</v>
      </c>
      <c r="S22" s="19">
        <f t="shared" si="19"/>
        <v>93.502559378743086</v>
      </c>
      <c r="U22" s="40">
        <f t="shared" si="20"/>
        <v>1064.7588130474091</v>
      </c>
      <c r="V22" s="40">
        <f t="shared" si="21"/>
        <v>986.84533170883117</v>
      </c>
      <c r="W22" s="40">
        <f t="shared" si="22"/>
        <v>989.69832321609715</v>
      </c>
      <c r="X22" s="40">
        <f t="shared" si="0"/>
        <v>995.43904432277748</v>
      </c>
      <c r="Y22" s="40">
        <f t="shared" si="23"/>
        <v>1067.7723248004913</v>
      </c>
      <c r="Z22" s="40">
        <f t="shared" si="24"/>
        <v>1065.3583392143248</v>
      </c>
      <c r="AB22" s="39">
        <v>40.200000000000003</v>
      </c>
      <c r="AC22" s="39">
        <v>0.04</v>
      </c>
      <c r="AD22" s="39">
        <v>0.22</v>
      </c>
      <c r="AE22" s="39">
        <v>15.3</v>
      </c>
      <c r="AF22" s="39">
        <v>0.15</v>
      </c>
      <c r="AG22" s="39">
        <v>44.6</v>
      </c>
      <c r="AH22" s="39">
        <v>0.41</v>
      </c>
      <c r="AI22" s="39">
        <v>0</v>
      </c>
      <c r="AJ22" s="39">
        <v>0</v>
      </c>
      <c r="AK22" s="39">
        <v>0.02</v>
      </c>
      <c r="AL22" s="39">
        <v>0</v>
      </c>
      <c r="AM22" s="39">
        <v>0</v>
      </c>
      <c r="AO22" s="41">
        <f t="shared" si="25"/>
        <v>47.305075824783266</v>
      </c>
      <c r="AP22" s="41">
        <f t="shared" si="26"/>
        <v>83.861391545928583</v>
      </c>
      <c r="AQ22" s="44"/>
      <c r="AR22" s="42">
        <f t="shared" si="1"/>
        <v>0.1727323990076059</v>
      </c>
      <c r="AS22" s="181">
        <f t="shared" si="27"/>
        <v>0.31058456400881751</v>
      </c>
      <c r="AT22" s="187">
        <f t="shared" si="28"/>
        <v>14.083460445589175</v>
      </c>
      <c r="AU22" s="186">
        <f t="shared" si="29"/>
        <v>12.644494423815038</v>
      </c>
      <c r="AV22" s="187">
        <f t="shared" si="30"/>
        <v>1054.0189821153895</v>
      </c>
      <c r="AW22" s="187">
        <f t="shared" si="31"/>
        <v>1055.3275967094078</v>
      </c>
      <c r="AX22" s="186">
        <f t="shared" si="32"/>
        <v>1082.3202584904529</v>
      </c>
      <c r="AY22" s="186">
        <f t="shared" si="33"/>
        <v>1083.4247676299747</v>
      </c>
      <c r="AZ22" s="186">
        <f t="shared" si="34"/>
        <v>952.78288981711034</v>
      </c>
      <c r="BA22" s="186">
        <f t="shared" si="35"/>
        <v>902.70484551489608</v>
      </c>
      <c r="BB22" s="186">
        <f t="shared" si="36"/>
        <v>963.84410430683863</v>
      </c>
      <c r="BC22" s="19">
        <f t="shared" si="37"/>
        <v>1072.5838043080944</v>
      </c>
      <c r="BD22" s="19">
        <f t="shared" si="38"/>
        <v>1044.4852107744214</v>
      </c>
      <c r="BE22" s="19">
        <f t="shared" si="39"/>
        <v>922.92405331302814</v>
      </c>
      <c r="BF22" s="204">
        <f t="shared" si="40"/>
        <v>970.95243031259167</v>
      </c>
      <c r="BG22" s="19" t="s">
        <v>69</v>
      </c>
      <c r="BI22" s="19">
        <f t="shared" si="41"/>
        <v>0.92630353671532173</v>
      </c>
      <c r="BJ22" s="19">
        <f t="shared" si="42"/>
        <v>1.1241831723342728E-2</v>
      </c>
      <c r="BK22" s="19">
        <f t="shared" si="43"/>
        <v>0.3357715157542806</v>
      </c>
      <c r="BL22" s="19">
        <f t="shared" si="44"/>
        <v>7.3950397241950183E-2</v>
      </c>
      <c r="BM22" s="19">
        <f t="shared" si="45"/>
        <v>1.8460756881646661E-3</v>
      </c>
      <c r="BN22" s="19">
        <f t="shared" si="46"/>
        <v>6.6375880544690902E-2</v>
      </c>
      <c r="BO22" s="19">
        <f t="shared" si="47"/>
        <v>0.10458687802276906</v>
      </c>
      <c r="BP22" s="19">
        <f t="shared" si="48"/>
        <v>0.15695922167834506</v>
      </c>
      <c r="BQ22" s="19">
        <f t="shared" si="49"/>
        <v>1.4895537111267039E-2</v>
      </c>
      <c r="BR22" s="19">
        <f t="shared" si="50"/>
        <v>1.691930874480132</v>
      </c>
      <c r="BS22" s="19">
        <f t="shared" si="2"/>
        <v>0.54748308615146035</v>
      </c>
      <c r="BT22" s="19">
        <f t="shared" si="3"/>
        <v>6.6443800352050013E-3</v>
      </c>
      <c r="BU22" s="19">
        <f t="shared" si="4"/>
        <v>0.19845463004358899</v>
      </c>
      <c r="BV22" s="184">
        <f t="shared" si="5"/>
        <v>4.3707694183825571E-2</v>
      </c>
      <c r="BW22" s="19">
        <f t="shared" si="6"/>
        <v>1.091105857815791E-3</v>
      </c>
      <c r="BX22" s="184">
        <f t="shared" si="7"/>
        <v>3.9230846570540753E-2</v>
      </c>
      <c r="BY22" s="19">
        <f t="shared" si="8"/>
        <v>6.1815101077876335E-2</v>
      </c>
      <c r="BZ22" s="19">
        <f t="shared" si="9"/>
        <v>9.2769287472558734E-2</v>
      </c>
      <c r="CA22" s="19">
        <f t="shared" si="10"/>
        <v>8.8038686071284615E-3</v>
      </c>
      <c r="CB22" s="19">
        <f t="shared" si="51"/>
        <v>1</v>
      </c>
      <c r="CC22" s="19">
        <f t="shared" si="52"/>
        <v>0.66905997074110879</v>
      </c>
      <c r="CD22" s="19">
        <f t="shared" si="53"/>
        <v>5.0133040556376489E-4</v>
      </c>
      <c r="CE22" s="19">
        <f t="shared" si="54"/>
        <v>4.3153754867057015E-3</v>
      </c>
      <c r="CF22" s="19">
        <f t="shared" si="55"/>
        <v>0.21295430251202566</v>
      </c>
      <c r="CG22" s="19">
        <f t="shared" si="56"/>
        <v>2.1145374449339205E-3</v>
      </c>
      <c r="CH22" s="19">
        <f t="shared" si="57"/>
        <v>1.1065789343099017</v>
      </c>
      <c r="CI22" s="19">
        <f t="shared" si="58"/>
        <v>7.3113232781833676E-3</v>
      </c>
      <c r="CJ22" s="19">
        <f t="shared" si="59"/>
        <v>0</v>
      </c>
      <c r="CK22" s="19">
        <f t="shared" si="60"/>
        <v>0</v>
      </c>
      <c r="CL22" s="19">
        <f t="shared" si="61"/>
        <v>2.0028357741784228</v>
      </c>
      <c r="CM22" s="19">
        <f t="shared" si="11"/>
        <v>0.33405633121146033</v>
      </c>
      <c r="CN22" s="19">
        <f t="shared" si="11"/>
        <v>2.5031029105190318E-4</v>
      </c>
      <c r="CO22" s="19">
        <f t="shared" si="11"/>
        <v>2.1546327174407991E-3</v>
      </c>
      <c r="CP22" s="19">
        <f t="shared" si="11"/>
        <v>0.10632639243693408</v>
      </c>
      <c r="CQ22" s="19">
        <f t="shared" si="11"/>
        <v>1.0557717573230977E-3</v>
      </c>
      <c r="CR22" s="19">
        <f t="shared" si="11"/>
        <v>0.55250607592318846</v>
      </c>
      <c r="CS22" s="19">
        <f t="shared" si="11"/>
        <v>3.6504856626013299E-3</v>
      </c>
      <c r="CT22" s="19">
        <f t="shared" si="11"/>
        <v>0</v>
      </c>
      <c r="CU22" s="19">
        <f t="shared" si="11"/>
        <v>0</v>
      </c>
      <c r="CV22" s="19">
        <f t="shared" si="99"/>
        <v>0.14584474769005845</v>
      </c>
      <c r="CW22" s="19">
        <f t="shared" si="62"/>
        <v>0.54748308615146035</v>
      </c>
      <c r="CX22" s="19">
        <f t="shared" si="63"/>
        <v>-0.82091382316492878</v>
      </c>
      <c r="DA22" s="19">
        <f t="shared" si="64"/>
        <v>13701.720991562681</v>
      </c>
      <c r="DB22" s="19">
        <f t="shared" si="65"/>
        <v>10.108463026567533</v>
      </c>
      <c r="DC22" s="19">
        <f t="shared" si="66"/>
        <v>10.324021414155835</v>
      </c>
      <c r="DD22" s="19">
        <f t="shared" si="67"/>
        <v>1355.470258490453</v>
      </c>
      <c r="DF22" s="19">
        <f t="shared" si="68"/>
        <v>13602.905801982104</v>
      </c>
      <c r="DG22" s="19">
        <f t="shared" si="69"/>
        <v>10.108463026567533</v>
      </c>
      <c r="DH22" s="19">
        <f t="shared" si="70"/>
        <v>1345.6947674666578</v>
      </c>
      <c r="DI22" s="19">
        <f t="shared" si="71"/>
        <v>10.324021414155835</v>
      </c>
      <c r="DJ22" s="19">
        <f t="shared" si="72"/>
        <v>1317.5975965460909</v>
      </c>
      <c r="DL22" s="19">
        <v>1320</v>
      </c>
      <c r="DM22" s="19">
        <f t="shared" si="73"/>
        <v>0.20000000298023199</v>
      </c>
      <c r="DN22" s="19">
        <f t="shared" si="74"/>
        <v>1</v>
      </c>
      <c r="DO22" s="19">
        <f t="shared" si="75"/>
        <v>-0.82091382316492878</v>
      </c>
      <c r="DP22" s="19">
        <f t="shared" si="76"/>
        <v>0.14584474769005845</v>
      </c>
      <c r="DQ22" s="19">
        <f t="shared" si="77"/>
        <v>0.54748308615146035</v>
      </c>
      <c r="DR22" s="19">
        <f t="shared" si="78"/>
        <v>12.644494423815038</v>
      </c>
      <c r="DS22" s="19">
        <f t="shared" si="79"/>
        <v>13701.860001473124</v>
      </c>
      <c r="DT22" s="19">
        <f t="shared" si="80"/>
        <v>10.108239799395397</v>
      </c>
      <c r="DU22" s="19">
        <f t="shared" si="81"/>
        <v>1082.3639444053028</v>
      </c>
      <c r="DV22" s="19">
        <f t="shared" si="82"/>
        <v>1072.5886943682949</v>
      </c>
      <c r="DW22" s="19">
        <f t="shared" si="12"/>
        <v>1083.3086945268433</v>
      </c>
      <c r="DX22" s="25">
        <f t="shared" si="83"/>
        <v>14.083460445589175</v>
      </c>
      <c r="DY22" s="19">
        <f t="shared" si="13"/>
        <v>4.9196789207784271</v>
      </c>
      <c r="DZ22" s="19">
        <f t="shared" si="84"/>
        <v>4441.0180001641811</v>
      </c>
      <c r="EA22" s="19">
        <f t="shared" si="85"/>
        <v>902.70484551489619</v>
      </c>
      <c r="EC22" s="19">
        <f t="shared" si="86"/>
        <v>19.033735286254661</v>
      </c>
      <c r="ED22" s="19">
        <f t="shared" si="87"/>
        <v>963.84410430683863</v>
      </c>
      <c r="EE22" s="19">
        <f t="shared" si="88"/>
        <v>1320</v>
      </c>
      <c r="EG22" s="19">
        <f t="shared" si="89"/>
        <v>0.92636983340653134</v>
      </c>
      <c r="EH22" s="19">
        <f t="shared" si="90"/>
        <v>1.1238848909418635E-2</v>
      </c>
      <c r="EI22" s="19">
        <f t="shared" si="91"/>
        <v>0.16788740446166245</v>
      </c>
      <c r="EJ22" s="19">
        <f t="shared" si="92"/>
        <v>7.3946692002839945E-2</v>
      </c>
      <c r="EK22" s="19">
        <f t="shared" si="93"/>
        <v>1.8460106305212996E-3</v>
      </c>
      <c r="EL22" s="19">
        <f t="shared" si="94"/>
        <v>6.6383127539092812E-2</v>
      </c>
      <c r="EM22" s="19">
        <f t="shared" si="95"/>
        <v>0.10458202913042136</v>
      </c>
      <c r="EN22" s="19">
        <f t="shared" si="96"/>
        <v>7.8478218009680384E-2</v>
      </c>
      <c r="EO22" s="19">
        <f t="shared" si="97"/>
        <v>7.447452302191666E-3</v>
      </c>
      <c r="EP22" s="19">
        <f t="shared" si="14"/>
        <v>1.4381796163923599</v>
      </c>
      <c r="EQ22" s="19">
        <f t="shared" si="98"/>
        <v>0.64412666043084976</v>
      </c>
      <c r="ER22" s="19">
        <f t="shared" si="15"/>
        <v>7.8146350993424773E-3</v>
      </c>
      <c r="ES22" s="19">
        <f t="shared" si="15"/>
        <v>0.11673604781216695</v>
      </c>
      <c r="ET22" s="19">
        <f t="shared" si="15"/>
        <v>5.1416868352183648E-2</v>
      </c>
      <c r="EU22" s="19">
        <f t="shared" si="15"/>
        <v>1.2835744641910406E-3</v>
      </c>
      <c r="EV22" s="19">
        <f t="shared" si="15"/>
        <v>4.6157744681163917E-2</v>
      </c>
      <c r="EW22" s="19">
        <f t="shared" si="15"/>
        <v>7.2718336387469426E-2</v>
      </c>
      <c r="EX22" s="19">
        <f t="shared" si="15"/>
        <v>5.4567744609356351E-2</v>
      </c>
      <c r="EY22" s="19">
        <f t="shared" si="15"/>
        <v>5.178388163276453E-3</v>
      </c>
      <c r="EZ22" s="19">
        <f t="shared" si="16"/>
        <v>0.99999999999999989</v>
      </c>
    </row>
    <row r="23" spans="1:156" ht="16.2">
      <c r="A23" s="19" t="s">
        <v>217</v>
      </c>
      <c r="B23" s="19" t="s">
        <v>75</v>
      </c>
      <c r="C23" s="185">
        <v>0.80000001192092896</v>
      </c>
      <c r="D23" s="177">
        <f t="shared" si="17"/>
        <v>941.28331070354182</v>
      </c>
      <c r="F23" s="179">
        <f t="shared" si="18"/>
        <v>-11.46533587187014</v>
      </c>
      <c r="G23" s="185">
        <v>49.054698944091797</v>
      </c>
      <c r="H23" s="185">
        <v>0.488831996917725</v>
      </c>
      <c r="I23" s="185">
        <v>14.664999961853001</v>
      </c>
      <c r="J23" s="185">
        <v>5.8316798210143999</v>
      </c>
      <c r="K23" s="185">
        <v>0.120063997805119</v>
      </c>
      <c r="L23" s="185">
        <v>4.2708501815795898</v>
      </c>
      <c r="M23" s="185">
        <v>7.5897598266601598</v>
      </c>
      <c r="N23" s="185">
        <v>1.0377000570297199</v>
      </c>
      <c r="O23" s="185">
        <v>0.24870400130748699</v>
      </c>
      <c r="P23" s="185">
        <v>8.5760001093149203E-3</v>
      </c>
      <c r="Q23" s="185">
        <v>0</v>
      </c>
      <c r="R23" s="185">
        <v>14.2399997711182</v>
      </c>
      <c r="S23" s="19">
        <f t="shared" si="19"/>
        <v>83.315864788368316</v>
      </c>
      <c r="U23" s="40">
        <f t="shared" si="20"/>
        <v>1106.7233597755433</v>
      </c>
      <c r="V23" s="40">
        <f t="shared" si="21"/>
        <v>915.28652849788375</v>
      </c>
      <c r="W23" s="40">
        <f t="shared" si="22"/>
        <v>938.68241096554812</v>
      </c>
      <c r="X23" s="40">
        <f t="shared" si="0"/>
        <v>1126.0700459443644</v>
      </c>
      <c r="Y23" s="40">
        <f t="shared" si="23"/>
        <v>1099.8440886497497</v>
      </c>
      <c r="Z23" s="40">
        <f t="shared" si="24"/>
        <v>1093.9900131225586</v>
      </c>
      <c r="AB23" s="39">
        <v>39.6</v>
      </c>
      <c r="AC23" s="39">
        <v>0.04</v>
      </c>
      <c r="AD23" s="39">
        <v>0.06</v>
      </c>
      <c r="AE23" s="39">
        <v>18.7</v>
      </c>
      <c r="AF23" s="39">
        <v>0.19</v>
      </c>
      <c r="AG23" s="39">
        <v>42.3</v>
      </c>
      <c r="AH23" s="39">
        <v>0.33</v>
      </c>
      <c r="AI23" s="39">
        <v>0</v>
      </c>
      <c r="AJ23" s="39">
        <v>0</v>
      </c>
      <c r="AK23" s="39">
        <v>0</v>
      </c>
      <c r="AL23" s="39">
        <v>0</v>
      </c>
      <c r="AM23" s="39">
        <v>0</v>
      </c>
      <c r="AO23" s="41">
        <f t="shared" si="25"/>
        <v>56.629165966346363</v>
      </c>
      <c r="AP23" s="41">
        <f t="shared" si="26"/>
        <v>80.128314870695633</v>
      </c>
      <c r="AQ23" s="44"/>
      <c r="AR23" s="42">
        <f t="shared" si="1"/>
        <v>0.3237590405633568</v>
      </c>
      <c r="AS23" s="181">
        <f t="shared" si="27"/>
        <v>0.34605215471526685</v>
      </c>
      <c r="AT23" s="187">
        <f t="shared" si="28"/>
        <v>7.3722984038088981</v>
      </c>
      <c r="AU23" s="186">
        <f t="shared" si="29"/>
        <v>7.4920558797541759</v>
      </c>
      <c r="AV23" s="187">
        <f t="shared" si="30"/>
        <v>1148.7002184261514</v>
      </c>
      <c r="AW23" s="187">
        <f t="shared" si="31"/>
        <v>1153.0173525549533</v>
      </c>
      <c r="AX23" s="186">
        <f t="shared" si="32"/>
        <v>1144.0610664422425</v>
      </c>
      <c r="AY23" s="186">
        <f t="shared" si="33"/>
        <v>1148.5092422515493</v>
      </c>
      <c r="AZ23" s="186">
        <f t="shared" si="34"/>
        <v>941.28331070354182</v>
      </c>
      <c r="BA23" s="186">
        <f t="shared" si="35"/>
        <v>899.37221432312003</v>
      </c>
      <c r="BB23" s="186">
        <f t="shared" si="36"/>
        <v>1106.3523074330437</v>
      </c>
      <c r="BC23" s="19">
        <f t="shared" si="37"/>
        <v>1104.0699033460337</v>
      </c>
      <c r="BD23" s="19">
        <f t="shared" si="38"/>
        <v>1108.5782489747494</v>
      </c>
      <c r="BE23" s="19">
        <f t="shared" si="39"/>
        <v>896.46840920730699</v>
      </c>
      <c r="BF23" s="204">
        <f t="shared" si="40"/>
        <v>938.81426399564441</v>
      </c>
      <c r="BG23" s="19" t="s">
        <v>76</v>
      </c>
      <c r="BI23" s="19">
        <f t="shared" si="41"/>
        <v>0.8164312298569143</v>
      </c>
      <c r="BJ23" s="19">
        <f t="shared" si="42"/>
        <v>6.1196712634356675E-3</v>
      </c>
      <c r="BK23" s="19">
        <f t="shared" si="43"/>
        <v>0.28765900612691131</v>
      </c>
      <c r="BL23" s="19">
        <f t="shared" si="44"/>
        <v>8.1168712990691241E-2</v>
      </c>
      <c r="BM23" s="19">
        <f t="shared" si="45"/>
        <v>1.6925321276492547E-3</v>
      </c>
      <c r="BN23" s="19">
        <f t="shared" si="46"/>
        <v>0.10596486194012539</v>
      </c>
      <c r="BO23" s="19">
        <f t="shared" si="47"/>
        <v>0.13534436023532048</v>
      </c>
      <c r="BP23" s="19">
        <f t="shared" si="48"/>
        <v>3.348559129089803E-2</v>
      </c>
      <c r="BQ23" s="19">
        <f t="shared" si="49"/>
        <v>5.2805639582888236E-3</v>
      </c>
      <c r="BR23" s="19">
        <f t="shared" si="50"/>
        <v>1.4731465297902349</v>
      </c>
      <c r="BS23" s="19">
        <f t="shared" si="2"/>
        <v>0.5542091118207827</v>
      </c>
      <c r="BT23" s="19">
        <f t="shared" si="3"/>
        <v>4.1541497330255823E-3</v>
      </c>
      <c r="BU23" s="19">
        <f t="shared" si="4"/>
        <v>0.19526842734909189</v>
      </c>
      <c r="BV23" s="184">
        <f t="shared" si="5"/>
        <v>5.5098872616730847E-2</v>
      </c>
      <c r="BW23" s="19">
        <f t="shared" si="6"/>
        <v>1.1489231338652093E-3</v>
      </c>
      <c r="BX23" s="184">
        <f t="shared" si="7"/>
        <v>7.1930972104461324E-2</v>
      </c>
      <c r="BY23" s="19">
        <f t="shared" si="8"/>
        <v>9.1874336665336689E-2</v>
      </c>
      <c r="BZ23" s="19">
        <f t="shared" si="9"/>
        <v>2.2730658908497126E-2</v>
      </c>
      <c r="CA23" s="19">
        <f t="shared" si="10"/>
        <v>3.5845476682083597E-3</v>
      </c>
      <c r="CB23" s="19">
        <f t="shared" si="51"/>
        <v>0.99999999999999978</v>
      </c>
      <c r="CC23" s="19">
        <f t="shared" si="52"/>
        <v>0.65907400102855496</v>
      </c>
      <c r="CD23" s="19">
        <f t="shared" si="53"/>
        <v>5.0133040556376489E-4</v>
      </c>
      <c r="CE23" s="19">
        <f t="shared" si="54"/>
        <v>1.1769205872833731E-3</v>
      </c>
      <c r="CF23" s="19">
        <f t="shared" si="55"/>
        <v>0.26027748084803132</v>
      </c>
      <c r="CG23" s="19">
        <f t="shared" si="56"/>
        <v>2.6784140969162997E-3</v>
      </c>
      <c r="CH23" s="19">
        <f t="shared" si="57"/>
        <v>1.049513204513651</v>
      </c>
      <c r="CI23" s="19">
        <f t="shared" si="58"/>
        <v>5.8847236141475892E-3</v>
      </c>
      <c r="CJ23" s="19">
        <f t="shared" si="59"/>
        <v>0</v>
      </c>
      <c r="CK23" s="19">
        <f t="shared" si="60"/>
        <v>0</v>
      </c>
      <c r="CL23" s="19">
        <f t="shared" si="61"/>
        <v>1.9791060750941483</v>
      </c>
      <c r="CM23" s="19">
        <f t="shared" si="11"/>
        <v>0.33301600622756011</v>
      </c>
      <c r="CN23" s="19">
        <f t="shared" si="11"/>
        <v>2.5331153891785011E-4</v>
      </c>
      <c r="CO23" s="19">
        <f t="shared" si="11"/>
        <v>5.9467281824567475E-4</v>
      </c>
      <c r="CP23" s="19">
        <f t="shared" si="11"/>
        <v>0.13151264812102081</v>
      </c>
      <c r="CQ23" s="19">
        <f t="shared" si="11"/>
        <v>1.353345397006517E-3</v>
      </c>
      <c r="CR23" s="19">
        <f t="shared" si="11"/>
        <v>0.53029659083014258</v>
      </c>
      <c r="CS23" s="19">
        <f t="shared" si="11"/>
        <v>2.9734250671064441E-3</v>
      </c>
      <c r="CT23" s="19">
        <f t="shared" si="11"/>
        <v>0</v>
      </c>
      <c r="CU23" s="19">
        <f t="shared" si="11"/>
        <v>0</v>
      </c>
      <c r="CV23" s="19">
        <f t="shared" si="99"/>
        <v>0.22005310452039406</v>
      </c>
      <c r="CW23" s="19">
        <f t="shared" si="62"/>
        <v>0.5542091118207827</v>
      </c>
      <c r="CX23" s="19">
        <f t="shared" si="63"/>
        <v>-0.78950239081340901</v>
      </c>
      <c r="DA23" s="19">
        <f t="shared" si="64"/>
        <v>13998.31485723504</v>
      </c>
      <c r="DB23" s="19">
        <f t="shared" si="65"/>
        <v>9.87736773208829</v>
      </c>
      <c r="DC23" s="19">
        <f t="shared" si="66"/>
        <v>9.8451402797756007</v>
      </c>
      <c r="DD23" s="19">
        <f t="shared" si="67"/>
        <v>1417.2110664422426</v>
      </c>
      <c r="DF23" s="19">
        <f t="shared" si="68"/>
        <v>13602.905801982104</v>
      </c>
      <c r="DG23" s="19">
        <f t="shared" si="69"/>
        <v>9.87736773208829</v>
      </c>
      <c r="DH23" s="19">
        <f t="shared" si="70"/>
        <v>1377.1792415696723</v>
      </c>
      <c r="DI23" s="19">
        <f t="shared" si="71"/>
        <v>9.8451402797756007</v>
      </c>
      <c r="DJ23" s="19">
        <f t="shared" si="72"/>
        <v>1381.6873518730761</v>
      </c>
      <c r="DL23" s="19">
        <v>1280</v>
      </c>
      <c r="DM23" s="19">
        <f t="shared" si="73"/>
        <v>0.80000001192092896</v>
      </c>
      <c r="DN23" s="19">
        <f t="shared" si="74"/>
        <v>1</v>
      </c>
      <c r="DO23" s="19">
        <f t="shared" si="75"/>
        <v>-0.78950239081340901</v>
      </c>
      <c r="DP23" s="19">
        <f t="shared" si="76"/>
        <v>0.22005310452039406</v>
      </c>
      <c r="DQ23" s="19">
        <f t="shared" si="77"/>
        <v>0.5542091118207827</v>
      </c>
      <c r="DR23" s="19">
        <f t="shared" si="78"/>
        <v>7.4920558797541759</v>
      </c>
      <c r="DS23" s="19">
        <f t="shared" si="79"/>
        <v>13998.440005892509</v>
      </c>
      <c r="DT23" s="19">
        <f t="shared" si="80"/>
        <v>9.8771445049161546</v>
      </c>
      <c r="DU23" s="19">
        <f t="shared" si="81"/>
        <v>1144.1057664743148</v>
      </c>
      <c r="DV23" s="19">
        <f t="shared" si="82"/>
        <v>1104.0749077888195</v>
      </c>
      <c r="DW23" s="19">
        <f t="shared" si="12"/>
        <v>1145.9949083944027</v>
      </c>
      <c r="DX23" s="25">
        <f t="shared" si="83"/>
        <v>7.3722984038088981</v>
      </c>
      <c r="DY23" s="19">
        <f t="shared" si="13"/>
        <v>4.9746611351830268</v>
      </c>
      <c r="DZ23" s="19">
        <f t="shared" si="84"/>
        <v>4474.0720006567244</v>
      </c>
      <c r="EA23" s="19">
        <f t="shared" si="85"/>
        <v>899.37221432311992</v>
      </c>
      <c r="EC23" s="19">
        <f t="shared" si="86"/>
        <v>9.9029839382901734</v>
      </c>
      <c r="ED23" s="19">
        <f t="shared" si="87"/>
        <v>1106.3523074330437</v>
      </c>
      <c r="EE23" s="19">
        <f t="shared" si="88"/>
        <v>1280</v>
      </c>
      <c r="EG23" s="19">
        <f t="shared" si="89"/>
        <v>0.81648966285106184</v>
      </c>
      <c r="EH23" s="19">
        <f t="shared" si="90"/>
        <v>6.1180475208726529E-3</v>
      </c>
      <c r="EI23" s="19">
        <f t="shared" si="91"/>
        <v>0.1438309137098176</v>
      </c>
      <c r="EJ23" s="19">
        <f t="shared" si="92"/>
        <v>8.1164646082315939E-2</v>
      </c>
      <c r="EK23" s="19">
        <f t="shared" si="93"/>
        <v>1.6924724810419933E-3</v>
      </c>
      <c r="EL23" s="19">
        <f t="shared" si="94"/>
        <v>0.10597643130470447</v>
      </c>
      <c r="EM23" s="19">
        <f t="shared" si="95"/>
        <v>0.1353380853541398</v>
      </c>
      <c r="EN23" s="19">
        <f t="shared" si="96"/>
        <v>1.6742498499995481E-2</v>
      </c>
      <c r="EO23" s="19">
        <f t="shared" si="97"/>
        <v>2.6401698652599465E-3</v>
      </c>
      <c r="EP23" s="19">
        <f t="shared" si="14"/>
        <v>1.3099929276692099</v>
      </c>
      <c r="EQ23" s="19">
        <f t="shared" si="98"/>
        <v>0.62327791670126942</v>
      </c>
      <c r="ER23" s="19">
        <f t="shared" si="15"/>
        <v>4.6702904967266656E-3</v>
      </c>
      <c r="ES23" s="19">
        <f t="shared" si="15"/>
        <v>0.1097951833722699</v>
      </c>
      <c r="ET23" s="19">
        <f t="shared" si="15"/>
        <v>6.1958079595686992E-2</v>
      </c>
      <c r="EU23" s="19">
        <f t="shared" si="15"/>
        <v>1.2919707009818029E-3</v>
      </c>
      <c r="EV23" s="19">
        <f t="shared" si="15"/>
        <v>8.0898475912585144E-2</v>
      </c>
      <c r="EW23" s="19">
        <f t="shared" si="15"/>
        <v>0.1033120732910662</v>
      </c>
      <c r="EX23" s="19">
        <f t="shared" si="15"/>
        <v>1.2780602205070208E-2</v>
      </c>
      <c r="EY23" s="19">
        <f t="shared" si="15"/>
        <v>2.0154077243435494E-3</v>
      </c>
      <c r="EZ23" s="19">
        <f t="shared" si="16"/>
        <v>0.99999999999999967</v>
      </c>
    </row>
    <row r="24" spans="1:156" ht="16.2">
      <c r="A24" s="19" t="s">
        <v>217</v>
      </c>
      <c r="B24" s="19" t="s">
        <v>77</v>
      </c>
      <c r="C24" s="185">
        <v>0.80000001192092896</v>
      </c>
      <c r="D24" s="177">
        <f t="shared" si="17"/>
        <v>904.09509704363938</v>
      </c>
      <c r="F24" s="179">
        <f t="shared" si="18"/>
        <v>-12.094190125292133</v>
      </c>
      <c r="G24" s="185">
        <v>50.625099182128899</v>
      </c>
      <c r="H24" s="185">
        <v>0.33407399058342002</v>
      </c>
      <c r="I24" s="185">
        <v>16.875</v>
      </c>
      <c r="J24" s="185">
        <v>5.0196800231933603</v>
      </c>
      <c r="K24" s="185">
        <v>0.119924001395702</v>
      </c>
      <c r="L24" s="185">
        <v>3.16085004806519</v>
      </c>
      <c r="M24" s="185">
        <v>7.0412502288818404</v>
      </c>
      <c r="N24" s="185">
        <v>1.91877996921539</v>
      </c>
      <c r="O24" s="185">
        <v>0.616752028465271</v>
      </c>
      <c r="P24" s="185">
        <v>3.4263998270034797E-2</v>
      </c>
      <c r="Q24" s="185">
        <v>0</v>
      </c>
      <c r="R24" s="185">
        <v>14.3400001525879</v>
      </c>
      <c r="S24" s="19">
        <f t="shared" si="19"/>
        <v>85.745673470199108</v>
      </c>
      <c r="U24" s="40">
        <f t="shared" si="20"/>
        <v>1077.5303562641145</v>
      </c>
      <c r="V24" s="40">
        <f t="shared" si="21"/>
        <v>889.70519619438164</v>
      </c>
      <c r="W24" s="40">
        <f t="shared" si="22"/>
        <v>911.71994752269688</v>
      </c>
      <c r="X24" s="40">
        <f t="shared" si="0"/>
        <v>1029.6266581215939</v>
      </c>
      <c r="Y24" s="40">
        <f t="shared" si="23"/>
        <v>1077.5330859661103</v>
      </c>
      <c r="Z24" s="40">
        <f t="shared" si="24"/>
        <v>1084.8847537994386</v>
      </c>
      <c r="AB24" s="39">
        <v>39.799999999999997</v>
      </c>
      <c r="AC24" s="39">
        <v>0.05</v>
      </c>
      <c r="AD24" s="39">
        <v>0.06</v>
      </c>
      <c r="AE24" s="39">
        <v>17.2</v>
      </c>
      <c r="AF24" s="39">
        <v>0.22</v>
      </c>
      <c r="AG24" s="39">
        <v>43.1</v>
      </c>
      <c r="AH24" s="39">
        <v>0.38</v>
      </c>
      <c r="AI24" s="39">
        <v>0</v>
      </c>
      <c r="AJ24" s="39">
        <v>0</v>
      </c>
      <c r="AK24" s="39">
        <v>0</v>
      </c>
      <c r="AL24" s="39">
        <v>0</v>
      </c>
      <c r="AM24" s="39">
        <v>0</v>
      </c>
      <c r="AO24" s="41">
        <f t="shared" si="25"/>
        <v>52.889375939184042</v>
      </c>
      <c r="AP24" s="41">
        <f t="shared" si="26"/>
        <v>81.707930733261648</v>
      </c>
      <c r="AQ24" s="44"/>
      <c r="AR24" s="42">
        <f t="shared" si="1"/>
        <v>0.25129221581313516</v>
      </c>
      <c r="AS24" s="181">
        <f t="shared" si="27"/>
        <v>0.34705845554064141</v>
      </c>
      <c r="AT24" s="187">
        <f t="shared" si="28"/>
        <v>10.509878065980148</v>
      </c>
      <c r="AU24" s="186">
        <f t="shared" si="29"/>
        <v>10.185762250512122</v>
      </c>
      <c r="AV24" s="187">
        <f t="shared" si="30"/>
        <v>1095.3117860351526</v>
      </c>
      <c r="AW24" s="187">
        <f t="shared" si="31"/>
        <v>1101.1369780858156</v>
      </c>
      <c r="AX24" s="186">
        <f t="shared" si="32"/>
        <v>1103.7446381102909</v>
      </c>
      <c r="AY24" s="186">
        <f t="shared" si="33"/>
        <v>1109.3316281983514</v>
      </c>
      <c r="AZ24" s="186">
        <f t="shared" si="34"/>
        <v>904.09509704363938</v>
      </c>
      <c r="BA24" s="186">
        <f t="shared" si="35"/>
        <v>848.7176051847639</v>
      </c>
      <c r="BB24" s="186">
        <f t="shared" si="36"/>
        <v>1040.1547665871076</v>
      </c>
      <c r="BC24" s="19">
        <f t="shared" si="37"/>
        <v>1064.89027229268</v>
      </c>
      <c r="BD24" s="19">
        <f t="shared" si="38"/>
        <v>1056.6952066619015</v>
      </c>
      <c r="BE24" s="19">
        <f t="shared" si="39"/>
        <v>853.79100017641076</v>
      </c>
      <c r="BF24" s="204">
        <f t="shared" si="40"/>
        <v>908.55665230590898</v>
      </c>
      <c r="BG24" s="19" t="s">
        <v>76</v>
      </c>
      <c r="BI24" s="19">
        <f t="shared" si="41"/>
        <v>0.84256784521295747</v>
      </c>
      <c r="BJ24" s="19">
        <f t="shared" si="42"/>
        <v>4.1822610077194454E-3</v>
      </c>
      <c r="BK24" s="19">
        <f t="shared" si="43"/>
        <v>0.33100891517344866</v>
      </c>
      <c r="BL24" s="19">
        <f t="shared" si="44"/>
        <v>6.986682733154842E-2</v>
      </c>
      <c r="BM24" s="19">
        <f t="shared" si="45"/>
        <v>1.6905586099834643E-3</v>
      </c>
      <c r="BN24" s="19">
        <f t="shared" si="46"/>
        <v>7.8424441204066803E-2</v>
      </c>
      <c r="BO24" s="19">
        <f t="shared" si="47"/>
        <v>0.12556306513643359</v>
      </c>
      <c r="BP24" s="19">
        <f t="shared" si="48"/>
        <v>6.1917199860448954E-2</v>
      </c>
      <c r="BQ24" s="19">
        <f t="shared" si="49"/>
        <v>1.3095078951659752E-2</v>
      </c>
      <c r="BR24" s="19">
        <f t="shared" si="50"/>
        <v>1.5283161924882667</v>
      </c>
      <c r="BS24" s="19">
        <f t="shared" si="2"/>
        <v>0.55130466414882673</v>
      </c>
      <c r="BT24" s="19">
        <f t="shared" si="3"/>
        <v>2.7365155379988908E-3</v>
      </c>
      <c r="BU24" s="19">
        <f t="shared" si="4"/>
        <v>0.21658405295996358</v>
      </c>
      <c r="BV24" s="184">
        <f t="shared" si="5"/>
        <v>4.5714903548720209E-2</v>
      </c>
      <c r="BW24" s="19">
        <f t="shared" si="6"/>
        <v>1.106157625164626E-3</v>
      </c>
      <c r="BX24" s="184">
        <f t="shared" si="7"/>
        <v>5.1314277496715646E-2</v>
      </c>
      <c r="BY24" s="19">
        <f t="shared" si="8"/>
        <v>8.2157779753679841E-2</v>
      </c>
      <c r="BZ24" s="19">
        <f t="shared" si="9"/>
        <v>4.0513344139631834E-2</v>
      </c>
      <c r="CA24" s="19">
        <f t="shared" si="10"/>
        <v>8.5683047892985576E-3</v>
      </c>
      <c r="CB24" s="19">
        <f t="shared" si="51"/>
        <v>1</v>
      </c>
      <c r="CC24" s="19">
        <f t="shared" si="52"/>
        <v>0.66240265759940609</v>
      </c>
      <c r="CD24" s="19">
        <f t="shared" si="53"/>
        <v>6.2666300695470608E-4</v>
      </c>
      <c r="CE24" s="19">
        <f t="shared" si="54"/>
        <v>1.1769205872833731E-3</v>
      </c>
      <c r="CF24" s="19">
        <f t="shared" si="55"/>
        <v>0.23939960805273469</v>
      </c>
      <c r="CG24" s="19">
        <f t="shared" si="56"/>
        <v>3.1013215859030836E-3</v>
      </c>
      <c r="CH24" s="19">
        <f t="shared" si="57"/>
        <v>1.0693621540079992</v>
      </c>
      <c r="CI24" s="19">
        <f t="shared" si="58"/>
        <v>6.7763484041699516E-3</v>
      </c>
      <c r="CJ24" s="19">
        <f t="shared" si="59"/>
        <v>0</v>
      </c>
      <c r="CK24" s="19">
        <f t="shared" si="60"/>
        <v>0</v>
      </c>
      <c r="CL24" s="19">
        <f t="shared" si="61"/>
        <v>1.9828456732444508</v>
      </c>
      <c r="CM24" s="19">
        <f t="shared" si="11"/>
        <v>0.33406667323511025</v>
      </c>
      <c r="CN24" s="19">
        <f t="shared" si="11"/>
        <v>3.1604224948546933E-4</v>
      </c>
      <c r="CO24" s="19">
        <f t="shared" si="11"/>
        <v>5.9355127994284353E-4</v>
      </c>
      <c r="CP24" s="19">
        <f t="shared" si="11"/>
        <v>0.1207353710291607</v>
      </c>
      <c r="CQ24" s="19">
        <f t="shared" si="11"/>
        <v>1.5640761294491042E-3</v>
      </c>
      <c r="CR24" s="19">
        <f t="shared" si="11"/>
        <v>0.53930679953435046</v>
      </c>
      <c r="CS24" s="19">
        <f t="shared" si="11"/>
        <v>3.4174865425013559E-3</v>
      </c>
      <c r="CT24" s="19">
        <f t="shared" si="11"/>
        <v>0</v>
      </c>
      <c r="CU24" s="19">
        <f t="shared" si="11"/>
        <v>0</v>
      </c>
      <c r="CV24" s="19">
        <f t="shared" si="99"/>
        <v>0.18029311842428034</v>
      </c>
      <c r="CW24" s="19">
        <f t="shared" si="62"/>
        <v>0.55130466414882673</v>
      </c>
      <c r="CX24" s="19">
        <f t="shared" si="63"/>
        <v>-0.87350212267359639</v>
      </c>
      <c r="DA24" s="19">
        <f t="shared" si="64"/>
        <v>13998.31485723504</v>
      </c>
      <c r="DB24" s="19">
        <f t="shared" si="65"/>
        <v>10.166583898131034</v>
      </c>
      <c r="DC24" s="19">
        <f t="shared" si="66"/>
        <v>10.229233289584496</v>
      </c>
      <c r="DD24" s="19">
        <f t="shared" si="67"/>
        <v>1376.894638110291</v>
      </c>
      <c r="DF24" s="19">
        <f t="shared" si="68"/>
        <v>13602.905801982104</v>
      </c>
      <c r="DG24" s="19">
        <f t="shared" si="69"/>
        <v>10.166583898131034</v>
      </c>
      <c r="DH24" s="19">
        <f t="shared" si="70"/>
        <v>1338.0016275164742</v>
      </c>
      <c r="DI24" s="19">
        <f t="shared" si="71"/>
        <v>10.229233289584496</v>
      </c>
      <c r="DJ24" s="19">
        <f t="shared" si="72"/>
        <v>1329.8069774039384</v>
      </c>
      <c r="DL24" s="19">
        <v>1280</v>
      </c>
      <c r="DM24" s="19">
        <f t="shared" si="73"/>
        <v>0.80000001192092896</v>
      </c>
      <c r="DN24" s="19">
        <f t="shared" si="74"/>
        <v>1</v>
      </c>
      <c r="DO24" s="19">
        <f t="shared" si="75"/>
        <v>-0.87350212267359639</v>
      </c>
      <c r="DP24" s="19">
        <f t="shared" si="76"/>
        <v>0.18029311842428031</v>
      </c>
      <c r="DQ24" s="19">
        <f t="shared" si="77"/>
        <v>0.55130466414882673</v>
      </c>
      <c r="DR24" s="19">
        <f t="shared" si="78"/>
        <v>10.185762250512122</v>
      </c>
      <c r="DS24" s="19">
        <f t="shared" si="79"/>
        <v>13998.440005892509</v>
      </c>
      <c r="DT24" s="19">
        <f t="shared" si="80"/>
        <v>10.166360670958898</v>
      </c>
      <c r="DU24" s="19">
        <f t="shared" si="81"/>
        <v>1103.7871812550661</v>
      </c>
      <c r="DV24" s="19">
        <f t="shared" si="82"/>
        <v>1064.8951343673357</v>
      </c>
      <c r="DW24" s="19">
        <f t="shared" si="12"/>
        <v>1106.8151349729189</v>
      </c>
      <c r="DX24" s="25">
        <f t="shared" si="83"/>
        <v>10.509878065980148</v>
      </c>
      <c r="DY24" s="19">
        <f t="shared" si="13"/>
        <v>5.2715673309059365</v>
      </c>
      <c r="DZ24" s="19">
        <f t="shared" si="84"/>
        <v>4474.0720006567244</v>
      </c>
      <c r="EA24" s="19">
        <f t="shared" si="85"/>
        <v>848.7176051847639</v>
      </c>
      <c r="EC24" s="19">
        <f t="shared" si="86"/>
        <v>14.154738292287625</v>
      </c>
      <c r="ED24" s="19">
        <f t="shared" si="87"/>
        <v>1040.1547665871076</v>
      </c>
      <c r="EE24" s="19">
        <f t="shared" si="88"/>
        <v>1280</v>
      </c>
      <c r="EG24" s="19">
        <f t="shared" si="89"/>
        <v>0.8426281488370323</v>
      </c>
      <c r="EH24" s="19">
        <f t="shared" si="90"/>
        <v>4.181151321444556E-3</v>
      </c>
      <c r="EI24" s="19">
        <f t="shared" si="91"/>
        <v>0.16550608081600629</v>
      </c>
      <c r="EJ24" s="19">
        <f t="shared" si="92"/>
        <v>6.9863326697193612E-2</v>
      </c>
      <c r="EK24" s="19">
        <f t="shared" si="93"/>
        <v>1.6904990329250353E-3</v>
      </c>
      <c r="EL24" s="19">
        <f t="shared" si="94"/>
        <v>7.84330036740742E-2</v>
      </c>
      <c r="EM24" s="19">
        <f t="shared" si="95"/>
        <v>0.1255572437389772</v>
      </c>
      <c r="EN24" s="19">
        <f t="shared" si="96"/>
        <v>3.0958050487502258E-2</v>
      </c>
      <c r="EO24" s="19">
        <f t="shared" si="97"/>
        <v>6.5472614486759128E-3</v>
      </c>
      <c r="EP24" s="19">
        <f t="shared" si="14"/>
        <v>1.325364766053831</v>
      </c>
      <c r="EQ24" s="19">
        <f t="shared" si="98"/>
        <v>0.63577074811328438</v>
      </c>
      <c r="ER24" s="19">
        <f t="shared" si="15"/>
        <v>3.1547174246178309E-3</v>
      </c>
      <c r="ES24" s="19">
        <f t="shared" si="15"/>
        <v>0.12487587195243434</v>
      </c>
      <c r="ET24" s="19">
        <f t="shared" si="15"/>
        <v>5.2712527514373386E-2</v>
      </c>
      <c r="EU24" s="19">
        <f t="shared" si="15"/>
        <v>1.2754971885651999E-3</v>
      </c>
      <c r="EV24" s="19">
        <f t="shared" si="15"/>
        <v>5.9178428220634141E-2</v>
      </c>
      <c r="EW24" s="19">
        <f t="shared" si="15"/>
        <v>9.4734104115966486E-2</v>
      </c>
      <c r="EX24" s="19">
        <f t="shared" si="15"/>
        <v>2.3358136024452657E-2</v>
      </c>
      <c r="EY24" s="19">
        <f t="shared" si="15"/>
        <v>4.9399694456718256E-3</v>
      </c>
      <c r="EZ24" s="19">
        <f t="shared" si="16"/>
        <v>1.0000000000000002</v>
      </c>
    </row>
    <row r="25" spans="1:156" ht="16.2">
      <c r="A25" s="19" t="s">
        <v>217</v>
      </c>
      <c r="B25" s="19" t="s">
        <v>78</v>
      </c>
      <c r="C25" s="185">
        <v>0.20000000298023199</v>
      </c>
      <c r="D25" s="177">
        <f t="shared" si="17"/>
        <v>1050.3689496609707</v>
      </c>
      <c r="F25" s="179">
        <f t="shared" si="18"/>
        <v>-10.247624548726614</v>
      </c>
      <c r="G25" s="185">
        <v>51.4033012390137</v>
      </c>
      <c r="H25" s="185">
        <v>0.66387999057769798</v>
      </c>
      <c r="I25" s="185">
        <v>18.019599914550799</v>
      </c>
      <c r="J25" s="185">
        <v>5.9843997955322301</v>
      </c>
      <c r="K25" s="185">
        <v>0.14226000010967299</v>
      </c>
      <c r="L25" s="185">
        <v>5.3489799499511701</v>
      </c>
      <c r="M25" s="185">
        <v>9.7685203552246094</v>
      </c>
      <c r="N25" s="185">
        <v>3.0728199481964098</v>
      </c>
      <c r="O25" s="185">
        <v>0.407811999320984</v>
      </c>
      <c r="P25" s="185">
        <v>9.4839995726942999E-3</v>
      </c>
      <c r="Q25" s="185">
        <v>0</v>
      </c>
      <c r="R25" s="185">
        <v>5.1599998474121103</v>
      </c>
      <c r="S25" s="19">
        <f t="shared" si="19"/>
        <v>94.821057192049963</v>
      </c>
      <c r="U25" s="40">
        <f t="shared" si="20"/>
        <v>1135.0781726837158</v>
      </c>
      <c r="V25" s="40">
        <f t="shared" si="21"/>
        <v>1069.3859404243469</v>
      </c>
      <c r="W25" s="40">
        <f t="shared" si="22"/>
        <v>1076.9325739758017</v>
      </c>
      <c r="X25" s="40">
        <f t="shared" si="0"/>
        <v>1084.54343233893</v>
      </c>
      <c r="Y25" s="40">
        <f t="shared" si="23"/>
        <v>1121.5144969940186</v>
      </c>
      <c r="Z25" s="40">
        <f t="shared" si="24"/>
        <v>1130.1574378967284</v>
      </c>
      <c r="AB25" s="39">
        <v>39.700000000000003</v>
      </c>
      <c r="AC25" s="39">
        <v>0.03</v>
      </c>
      <c r="AD25" s="39">
        <v>0.06</v>
      </c>
      <c r="AE25" s="39">
        <v>16.899999999999999</v>
      </c>
      <c r="AF25" s="39">
        <v>0.2</v>
      </c>
      <c r="AG25" s="39">
        <v>44</v>
      </c>
      <c r="AH25" s="39">
        <v>0.33</v>
      </c>
      <c r="AI25" s="39">
        <v>0</v>
      </c>
      <c r="AJ25" s="39">
        <v>0</v>
      </c>
      <c r="AK25" s="39">
        <v>0</v>
      </c>
      <c r="AL25" s="39">
        <v>0</v>
      </c>
      <c r="AM25" s="39">
        <v>0</v>
      </c>
      <c r="AO25" s="41">
        <f t="shared" si="25"/>
        <v>61.443159287348657</v>
      </c>
      <c r="AP25" s="41">
        <f t="shared" si="26"/>
        <v>82.272880260055913</v>
      </c>
      <c r="AQ25" s="44"/>
      <c r="AR25" s="42">
        <f t="shared" si="1"/>
        <v>0.34330837542298115</v>
      </c>
      <c r="AS25" s="181">
        <f t="shared" si="27"/>
        <v>0.29890652781896104</v>
      </c>
      <c r="AT25" s="187">
        <f t="shared" si="28"/>
        <v>7.0706006603552032</v>
      </c>
      <c r="AU25" s="186">
        <f t="shared" si="29"/>
        <v>7.2188631191943511</v>
      </c>
      <c r="AV25" s="187">
        <f t="shared" si="30"/>
        <v>1143.2338479010946</v>
      </c>
      <c r="AW25" s="187">
        <f t="shared" si="31"/>
        <v>1143.8990554456304</v>
      </c>
      <c r="AX25" s="186">
        <f t="shared" si="32"/>
        <v>1137.1829705828031</v>
      </c>
      <c r="AY25" s="186">
        <f t="shared" si="33"/>
        <v>1137.8918163381668</v>
      </c>
      <c r="AZ25" s="186">
        <f t="shared" si="34"/>
        <v>1050.3689496609707</v>
      </c>
      <c r="BA25" s="186">
        <f t="shared" si="35"/>
        <v>1043.3492343450425</v>
      </c>
      <c r="BB25" s="186">
        <f t="shared" si="36"/>
        <v>1075.698533250179</v>
      </c>
      <c r="BC25" s="19">
        <f t="shared" si="37"/>
        <v>1127.0536845892052</v>
      </c>
      <c r="BD25" s="19">
        <f t="shared" si="38"/>
        <v>1133.0612419564204</v>
      </c>
      <c r="BE25" s="19">
        <f t="shared" si="39"/>
        <v>1038.2871950335157</v>
      </c>
      <c r="BF25" s="204">
        <f t="shared" si="40"/>
        <v>1046.213289112063</v>
      </c>
      <c r="BG25" s="19" t="s">
        <v>76</v>
      </c>
      <c r="BI25" s="19">
        <f t="shared" si="41"/>
        <v>0.85551968216345542</v>
      </c>
      <c r="BJ25" s="19">
        <f t="shared" si="42"/>
        <v>8.3110911853670564E-3</v>
      </c>
      <c r="BK25" s="19">
        <f t="shared" si="43"/>
        <v>0.35346063523407578</v>
      </c>
      <c r="BL25" s="19">
        <f t="shared" si="44"/>
        <v>8.3294358458214049E-2</v>
      </c>
      <c r="BM25" s="19">
        <f t="shared" si="45"/>
        <v>2.0054273143213812E-3</v>
      </c>
      <c r="BN25" s="19">
        <f t="shared" si="46"/>
        <v>0.13271454109107617</v>
      </c>
      <c r="BO25" s="19">
        <f t="shared" si="47"/>
        <v>0.17419709821112622</v>
      </c>
      <c r="BP25" s="19">
        <f t="shared" si="48"/>
        <v>9.9156969491114216E-2</v>
      </c>
      <c r="BQ25" s="19">
        <f t="shared" si="49"/>
        <v>8.6587965374534809E-3</v>
      </c>
      <c r="BR25" s="19">
        <f t="shared" si="50"/>
        <v>1.7173185996862037</v>
      </c>
      <c r="BS25" s="19">
        <f t="shared" si="2"/>
        <v>0.49817179079046831</v>
      </c>
      <c r="BT25" s="19">
        <f t="shared" si="3"/>
        <v>4.8395744312591136E-3</v>
      </c>
      <c r="BU25" s="19">
        <f t="shared" si="4"/>
        <v>0.20582123509211495</v>
      </c>
      <c r="BV25" s="184">
        <f t="shared" si="5"/>
        <v>4.8502565845052852E-2</v>
      </c>
      <c r="BW25" s="19">
        <f t="shared" si="6"/>
        <v>1.1677666070162066E-3</v>
      </c>
      <c r="BX25" s="184">
        <f t="shared" si="7"/>
        <v>7.7280092998076408E-2</v>
      </c>
      <c r="BY25" s="19">
        <f t="shared" si="8"/>
        <v>0.10143551595082957</v>
      </c>
      <c r="BZ25" s="19">
        <f t="shared" si="9"/>
        <v>5.7739413938236409E-2</v>
      </c>
      <c r="CA25" s="19">
        <f t="shared" si="10"/>
        <v>5.0420443469462546E-3</v>
      </c>
      <c r="CB25" s="19">
        <f t="shared" si="51"/>
        <v>1</v>
      </c>
      <c r="CC25" s="19">
        <f t="shared" si="52"/>
        <v>0.66073832931398058</v>
      </c>
      <c r="CD25" s="19">
        <f t="shared" si="53"/>
        <v>3.7599780417282359E-4</v>
      </c>
      <c r="CE25" s="19">
        <f t="shared" si="54"/>
        <v>1.1769205872833731E-3</v>
      </c>
      <c r="CF25" s="19">
        <f t="shared" si="55"/>
        <v>0.23522403349367538</v>
      </c>
      <c r="CG25" s="19">
        <f t="shared" si="56"/>
        <v>2.8193832599118945E-3</v>
      </c>
      <c r="CH25" s="19">
        <f t="shared" si="57"/>
        <v>1.0916922221891405</v>
      </c>
      <c r="CI25" s="19">
        <f t="shared" si="58"/>
        <v>5.8847236141475892E-3</v>
      </c>
      <c r="CJ25" s="19">
        <f t="shared" si="59"/>
        <v>0</v>
      </c>
      <c r="CK25" s="19">
        <f t="shared" si="60"/>
        <v>0</v>
      </c>
      <c r="CL25" s="19">
        <f t="shared" si="61"/>
        <v>1.9979116102623122</v>
      </c>
      <c r="CM25" s="19">
        <f t="shared" si="11"/>
        <v>0.33071449503575895</v>
      </c>
      <c r="CN25" s="19">
        <f t="shared" si="11"/>
        <v>1.8819541477285755E-4</v>
      </c>
      <c r="CO25" s="19">
        <f t="shared" si="11"/>
        <v>5.8907540315502314E-4</v>
      </c>
      <c r="CP25" s="19">
        <f t="shared" si="11"/>
        <v>0.1177349549827142</v>
      </c>
      <c r="CQ25" s="19">
        <f t="shared" si="11"/>
        <v>1.4111651613765478E-3</v>
      </c>
      <c r="CR25" s="19">
        <f t="shared" si="11"/>
        <v>0.54641667658451054</v>
      </c>
      <c r="CS25" s="19">
        <f t="shared" si="11"/>
        <v>2.9454374177118703E-3</v>
      </c>
      <c r="CT25" s="19">
        <f t="shared" si="11"/>
        <v>0</v>
      </c>
      <c r="CU25" s="19">
        <f t="shared" si="11"/>
        <v>0</v>
      </c>
      <c r="CV25" s="19">
        <f t="shared" si="99"/>
        <v>0.22838594140097504</v>
      </c>
      <c r="CW25" s="19">
        <f t="shared" si="62"/>
        <v>0.49817179079046831</v>
      </c>
      <c r="CX25" s="19">
        <f t="shared" si="63"/>
        <v>-0.84052270589427391</v>
      </c>
      <c r="DA25" s="19">
        <f t="shared" si="64"/>
        <v>13701.720991562681</v>
      </c>
      <c r="DB25" s="19">
        <f t="shared" si="65"/>
        <v>9.7152383709079775</v>
      </c>
      <c r="DC25" s="19">
        <f t="shared" si="66"/>
        <v>9.6737342859895872</v>
      </c>
      <c r="DD25" s="19">
        <f t="shared" si="67"/>
        <v>1410.3329705828032</v>
      </c>
      <c r="DF25" s="19">
        <f t="shared" si="68"/>
        <v>13602.905801982104</v>
      </c>
      <c r="DG25" s="19">
        <f t="shared" si="69"/>
        <v>9.7152383709079775</v>
      </c>
      <c r="DH25" s="19">
        <f t="shared" si="70"/>
        <v>1400.1618161748499</v>
      </c>
      <c r="DI25" s="19">
        <f t="shared" si="71"/>
        <v>9.6737342859895872</v>
      </c>
      <c r="DJ25" s="19">
        <f>DF25/DI25</f>
        <v>1406.1690552823136</v>
      </c>
      <c r="DL25" s="19">
        <v>1290</v>
      </c>
      <c r="DM25" s="19">
        <f t="shared" si="73"/>
        <v>0.20000000298023199</v>
      </c>
      <c r="DN25" s="19">
        <f t="shared" si="74"/>
        <v>1</v>
      </c>
      <c r="DO25" s="19">
        <f t="shared" si="75"/>
        <v>-0.84052270589427391</v>
      </c>
      <c r="DP25" s="19">
        <f t="shared" si="76"/>
        <v>0.22838594140097501</v>
      </c>
      <c r="DQ25" s="19">
        <f t="shared" si="77"/>
        <v>0.49817179079046831</v>
      </c>
      <c r="DR25" s="19">
        <f t="shared" si="78"/>
        <v>7.2188631191943511</v>
      </c>
      <c r="DS25" s="19">
        <f t="shared" si="79"/>
        <v>13701.860001473124</v>
      </c>
      <c r="DT25" s="19">
        <f t="shared" si="80"/>
        <v>9.7150151437358421</v>
      </c>
      <c r="DU25" s="19">
        <f t="shared" si="81"/>
        <v>1137.2296853376974</v>
      </c>
      <c r="DV25" s="19">
        <f t="shared" si="82"/>
        <v>1127.058772579333</v>
      </c>
      <c r="DW25" s="19">
        <f t="shared" si="12"/>
        <v>1137.7787727378814</v>
      </c>
      <c r="DX25" s="25">
        <f t="shared" si="83"/>
        <v>7.0706006603552032</v>
      </c>
      <c r="DY25" s="19">
        <f t="shared" si="13"/>
        <v>4.25650190173572</v>
      </c>
      <c r="DZ25" s="19">
        <f t="shared" si="84"/>
        <v>4441.0180001641811</v>
      </c>
      <c r="EA25" s="19">
        <f t="shared" si="85"/>
        <v>1043.3492343450425</v>
      </c>
      <c r="EC25" s="19">
        <f t="shared" si="86"/>
        <v>10.017670517448305</v>
      </c>
      <c r="ED25" s="19">
        <f t="shared" si="87"/>
        <v>1075.698533250179</v>
      </c>
      <c r="EE25" s="19">
        <f t="shared" si="88"/>
        <v>1290</v>
      </c>
      <c r="EG25" s="19">
        <f t="shared" si="89"/>
        <v>0.85558091276653969</v>
      </c>
      <c r="EH25" s="19">
        <f t="shared" si="90"/>
        <v>8.3088859897083589E-3</v>
      </c>
      <c r="EI25" s="19">
        <f t="shared" si="91"/>
        <v>0.17673205094694783</v>
      </c>
      <c r="EJ25" s="19">
        <f t="shared" si="92"/>
        <v>8.3290185045681711E-2</v>
      </c>
      <c r="EK25" s="19">
        <f t="shared" si="93"/>
        <v>2.0053566409595856E-3</v>
      </c>
      <c r="EL25" s="19">
        <f t="shared" si="94"/>
        <v>0.13272903101615807</v>
      </c>
      <c r="EM25" s="19">
        <f t="shared" si="95"/>
        <v>0.17418902202611644</v>
      </c>
      <c r="EN25" s="19">
        <f t="shared" si="96"/>
        <v>4.9577604843439982E-2</v>
      </c>
      <c r="EO25" s="19">
        <f t="shared" si="97"/>
        <v>4.329214430159066E-3</v>
      </c>
      <c r="EP25" s="19">
        <f t="shared" si="14"/>
        <v>1.4867422637057106</v>
      </c>
      <c r="EQ25" s="19">
        <f t="shared" si="98"/>
        <v>0.57547359327365932</v>
      </c>
      <c r="ER25" s="19">
        <f t="shared" si="15"/>
        <v>5.5886525812472903E-3</v>
      </c>
      <c r="ES25" s="19">
        <f t="shared" si="15"/>
        <v>0.11887201652991457</v>
      </c>
      <c r="ET25" s="19">
        <f t="shared" si="15"/>
        <v>5.6021939430228221E-2</v>
      </c>
      <c r="EU25" s="19">
        <f t="shared" si="15"/>
        <v>1.3488260137041015E-3</v>
      </c>
      <c r="EV25" s="19">
        <f t="shared" si="15"/>
        <v>8.9275077635400282E-2</v>
      </c>
      <c r="EW25" s="19">
        <f t="shared" si="15"/>
        <v>0.11716154593732317</v>
      </c>
      <c r="EX25" s="19">
        <f t="shared" si="15"/>
        <v>3.3346469024071207E-2</v>
      </c>
      <c r="EY25" s="19">
        <f t="shared" si="15"/>
        <v>2.9118795744519179E-3</v>
      </c>
      <c r="EZ25" s="19">
        <f t="shared" si="16"/>
        <v>1.0000000000000002</v>
      </c>
    </row>
    <row r="26" spans="1:156" customFormat="1" ht="16.2"/>
    <row r="27" spans="1:156" customFormat="1" ht="16.2"/>
    <row r="28" spans="1:156" customFormat="1" ht="16.2">
      <c r="D28">
        <v>1100</v>
      </c>
      <c r="F28">
        <f>5.5976-24505/(D28+273.15)+0.8099*LOG(D28+273.15)+0.0937*(C16*10*1000-1)/(273.15+D28)+$F$14</f>
        <v>-9.5705848463335403</v>
      </c>
      <c r="G28">
        <f>0.0583+0.00252*G16+0.028*C16-0.0091*(N16+O16)-0.013383*F28</f>
        <v>0.29478798733241074</v>
      </c>
    </row>
    <row r="29" spans="1:156" customFormat="1" ht="16.2"/>
    <row r="30" spans="1:156" customFormat="1" ht="16.2"/>
    <row r="31" spans="1:156" customFormat="1" ht="16.2"/>
    <row r="32" spans="1:156" customFormat="1" ht="16.2"/>
    <row r="33" customFormat="1" ht="16.2"/>
    <row r="34" customFormat="1" ht="16.2"/>
    <row r="35" customFormat="1" ht="16.2"/>
    <row r="36" customFormat="1" ht="16.2"/>
    <row r="37" customFormat="1" ht="16.2"/>
    <row r="38" customFormat="1" ht="16.2"/>
    <row r="39" customFormat="1" ht="16.2"/>
    <row r="40" customFormat="1" ht="16.2"/>
    <row r="41" customFormat="1" ht="16.2"/>
    <row r="42" customFormat="1" ht="16.2"/>
    <row r="43" customFormat="1" ht="16.2"/>
  </sheetData>
  <pageMargins left="0.75" right="0.75" top="1" bottom="1" header="0.5" footer="0.5"/>
  <pageSetup orientation="portrait" horizontalDpi="4294967292" verticalDpi="4294967292"/>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3" zoomScaleNormal="100" workbookViewId="0">
      <selection activeCell="A13" sqref="A13"/>
    </sheetView>
  </sheetViews>
  <sheetFormatPr defaultColWidth="11.15234375" defaultRowHeight="16.2"/>
  <sheetData/>
  <phoneticPr fontId="4" type="noConversion"/>
  <pageMargins left="0.75" right="0.75" top="1" bottom="1" header="0.5" footer="0.5"/>
  <pageSetup paperSize="0"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43"/>
  <sheetViews>
    <sheetView topLeftCell="AQ1" workbookViewId="0">
      <selection activeCell="CX16" sqref="CX16"/>
    </sheetView>
  </sheetViews>
  <sheetFormatPr defaultColWidth="8.61328125" defaultRowHeight="12.6"/>
  <cols>
    <col min="1" max="1" width="18" style="19" customWidth="1"/>
    <col min="2" max="2" width="18.84375" style="19" customWidth="1"/>
    <col min="3" max="3" width="15.23046875" style="20" customWidth="1"/>
    <col min="4" max="4" width="18" style="20" customWidth="1"/>
    <col min="5" max="5" width="5.4609375" style="20" customWidth="1"/>
    <col min="6" max="6" width="16.4609375" style="21" customWidth="1"/>
    <col min="7" max="8" width="8.61328125" style="19" customWidth="1"/>
    <col min="9" max="9" width="12" style="19" customWidth="1"/>
    <col min="10" max="12" width="8.61328125" style="19" customWidth="1"/>
    <col min="13" max="13" width="21" style="19" customWidth="1"/>
    <col min="14" max="20" width="8.61328125" style="19" customWidth="1"/>
    <col min="21" max="24" width="15.15234375" style="20" customWidth="1"/>
    <col min="25" max="26" width="13.84375" style="20" customWidth="1"/>
    <col min="27" max="29" width="8.61328125" style="19" customWidth="1"/>
    <col min="30" max="30" width="11.15234375" style="19" customWidth="1"/>
    <col min="31" max="40" width="8.61328125" style="19" customWidth="1"/>
    <col min="41" max="42" width="8.61328125" style="20" customWidth="1"/>
    <col min="43" max="43" width="6.15234375" style="20" customWidth="1"/>
    <col min="44" max="44" width="10" style="20" customWidth="1"/>
    <col min="45" max="45" width="9" style="20" customWidth="1"/>
    <col min="46" max="46" width="8.3828125" style="20" customWidth="1"/>
    <col min="47" max="47" width="13.4609375" style="20" customWidth="1"/>
    <col min="48" max="48" width="12.4609375" style="20" customWidth="1"/>
    <col min="49" max="49" width="13.4609375" style="20" customWidth="1"/>
    <col min="50" max="50" width="18.3828125" style="20" customWidth="1"/>
    <col min="51" max="51" width="18.84375" style="20" customWidth="1"/>
    <col min="52" max="52" width="18.23046875" style="20" customWidth="1"/>
    <col min="53" max="98" width="8.61328125" style="19" customWidth="1"/>
    <col min="99" max="100" width="8.61328125" style="22" customWidth="1"/>
    <col min="101" max="103" width="8.61328125" style="19" customWidth="1"/>
    <col min="104" max="104" width="8.61328125" style="22" customWidth="1"/>
    <col min="105" max="107" width="8.61328125" style="19" customWidth="1"/>
    <col min="108" max="108" width="8.61328125" style="22" customWidth="1"/>
    <col min="109" max="118" width="8.61328125" style="19" customWidth="1"/>
    <col min="119" max="119" width="14.765625" style="19" customWidth="1"/>
    <col min="120" max="124" width="8.61328125" style="19" customWidth="1"/>
    <col min="125" max="125" width="8.61328125" style="22" customWidth="1"/>
    <col min="126" max="126" width="10.23046875" style="19" customWidth="1"/>
    <col min="127" max="127" width="24.84375" style="19" customWidth="1"/>
    <col min="128" max="16384" width="8.61328125" style="19"/>
  </cols>
  <sheetData>
    <row r="1" spans="1:149" ht="22.2">
      <c r="A1" s="18" t="s">
        <v>119</v>
      </c>
    </row>
    <row r="2" spans="1:149">
      <c r="A2" s="22"/>
    </row>
    <row r="3" spans="1:149" ht="22.2">
      <c r="A3" s="23" t="s">
        <v>120</v>
      </c>
    </row>
    <row r="4" spans="1:149" ht="22.2">
      <c r="A4" s="23" t="s">
        <v>121</v>
      </c>
      <c r="DF4" s="22"/>
    </row>
    <row r="5" spans="1:149">
      <c r="A5" s="22"/>
      <c r="DF5" s="22"/>
    </row>
    <row r="6" spans="1:149" ht="17.399999999999999">
      <c r="A6" s="24" t="s">
        <v>100</v>
      </c>
      <c r="U6"/>
      <c r="V6"/>
      <c r="W6"/>
      <c r="X6"/>
      <c r="Y6"/>
      <c r="Z6"/>
      <c r="AO6" s="19"/>
      <c r="DA6" s="25"/>
      <c r="DF6" s="22"/>
    </row>
    <row r="7" spans="1:149" ht="17.399999999999999">
      <c r="A7" s="24" t="s">
        <v>23</v>
      </c>
      <c r="T7" s="176"/>
      <c r="U7"/>
      <c r="V7"/>
      <c r="W7"/>
      <c r="X7"/>
      <c r="Y7"/>
      <c r="Z7"/>
      <c r="AO7" s="21"/>
      <c r="DA7" s="25"/>
      <c r="DF7" s="22"/>
    </row>
    <row r="8" spans="1:149" ht="17.399999999999999">
      <c r="A8" s="24" t="s">
        <v>22</v>
      </c>
      <c r="T8" s="176"/>
      <c r="U8"/>
      <c r="V8"/>
      <c r="W8"/>
      <c r="X8"/>
      <c r="Y8"/>
      <c r="Z8"/>
      <c r="AO8" s="21"/>
      <c r="DA8" s="25"/>
      <c r="DF8" s="22"/>
    </row>
    <row r="9" spans="1:149" ht="17.399999999999999">
      <c r="A9" s="24" t="s">
        <v>192</v>
      </c>
      <c r="U9"/>
      <c r="V9"/>
      <c r="W9"/>
      <c r="X9"/>
      <c r="Y9"/>
      <c r="Z9"/>
      <c r="AO9" s="21"/>
      <c r="DA9" s="25"/>
      <c r="DF9" s="22"/>
    </row>
    <row r="10" spans="1:149" ht="17.399999999999999">
      <c r="A10" s="24"/>
      <c r="K10"/>
      <c r="L10"/>
      <c r="M10"/>
      <c r="N10"/>
      <c r="O10"/>
      <c r="P10" s="162"/>
      <c r="U10"/>
      <c r="V10"/>
      <c r="W10"/>
      <c r="X10"/>
      <c r="Y10"/>
      <c r="Z10"/>
      <c r="AO10" s="21"/>
      <c r="BO10"/>
      <c r="BP10"/>
      <c r="BQ10"/>
      <c r="BR10"/>
      <c r="BS10"/>
      <c r="BT10"/>
      <c r="BU10"/>
      <c r="BV10"/>
      <c r="BW10"/>
      <c r="DA10" s="25"/>
      <c r="DF10" s="22"/>
    </row>
    <row r="11" spans="1:149" ht="19.8">
      <c r="A11" s="24"/>
      <c r="C11" s="127" t="s">
        <v>149</v>
      </c>
      <c r="D11" s="45"/>
      <c r="F11" s="127" t="s">
        <v>149</v>
      </c>
      <c r="G11" s="156" t="s">
        <v>151</v>
      </c>
      <c r="H11" s="157"/>
      <c r="I11" s="158"/>
      <c r="K11"/>
      <c r="L11"/>
      <c r="M11"/>
      <c r="N11"/>
      <c r="O11"/>
      <c r="U11" s="182" t="s">
        <v>227</v>
      </c>
      <c r="AB11" s="126" t="s">
        <v>152</v>
      </c>
      <c r="AC11" s="48"/>
      <c r="AD11" s="49"/>
      <c r="AV11" s="183" t="s">
        <v>228</v>
      </c>
      <c r="CW11" s="19">
        <f>113.1*1000/8.3144</f>
        <v>13602.905801982104</v>
      </c>
      <c r="CX11" s="19">
        <f>4.11*10^-6/8.3144</f>
        <v>4.9432310208794396E-7</v>
      </c>
      <c r="DA11" s="25"/>
      <c r="DF11" s="22"/>
    </row>
    <row r="12" spans="1:149" ht="18" thickBot="1">
      <c r="A12" s="24"/>
      <c r="C12" s="128" t="s">
        <v>150</v>
      </c>
      <c r="D12" s="46"/>
      <c r="F12" s="128" t="s">
        <v>222</v>
      </c>
      <c r="G12" s="159" t="s">
        <v>158</v>
      </c>
      <c r="H12" s="160"/>
      <c r="I12" s="161"/>
      <c r="K12"/>
      <c r="L12"/>
      <c r="M12"/>
      <c r="N12"/>
      <c r="O12"/>
      <c r="U12" s="28"/>
      <c r="V12" s="28"/>
      <c r="W12" s="28"/>
      <c r="X12" s="28"/>
      <c r="Y12" s="29" t="s">
        <v>189</v>
      </c>
      <c r="Z12" s="29" t="s">
        <v>189</v>
      </c>
      <c r="AO12" s="115" t="s">
        <v>117</v>
      </c>
      <c r="AU12" s="26"/>
      <c r="AW12" s="26"/>
      <c r="CW12" s="19">
        <f>52.05/8.3144</f>
        <v>6.2602232271721352</v>
      </c>
      <c r="CY12" s="19">
        <f>(13603+4.943*10^-7*(C16*10^9-10^-5))/(6.26+2*LN(AU16)+2*LN(1.5*DI16)+2*LN(3*DJ16)-DH16)-273.15</f>
        <v>1129.4273306412542</v>
      </c>
      <c r="DA12" s="25"/>
    </row>
    <row r="13" spans="1:149" s="27" customFormat="1" ht="16.8" thickBot="1">
      <c r="A13" s="22" t="s">
        <v>0</v>
      </c>
      <c r="C13" s="129" t="s">
        <v>85</v>
      </c>
      <c r="D13" s="47" t="s">
        <v>226</v>
      </c>
      <c r="E13" s="28"/>
      <c r="F13" s="128" t="s">
        <v>223</v>
      </c>
      <c r="U13" s="37" t="s">
        <v>81</v>
      </c>
      <c r="V13" s="37" t="s">
        <v>82</v>
      </c>
      <c r="W13" s="37" t="s">
        <v>83</v>
      </c>
      <c r="X13" s="37" t="s">
        <v>84</v>
      </c>
      <c r="Y13" s="29" t="s">
        <v>193</v>
      </c>
      <c r="Z13" s="29" t="s">
        <v>193</v>
      </c>
      <c r="AO13" s="115" t="s">
        <v>118</v>
      </c>
      <c r="AP13"/>
      <c r="AQ13"/>
      <c r="AR13"/>
      <c r="AS13"/>
      <c r="AT13" s="29"/>
      <c r="AU13" s="30" t="s">
        <v>190</v>
      </c>
      <c r="AV13" s="117"/>
      <c r="AW13" s="118" t="s">
        <v>190</v>
      </c>
      <c r="AX13" s="119" t="s">
        <v>191</v>
      </c>
      <c r="AY13" s="119" t="s">
        <v>130</v>
      </c>
      <c r="AZ13" s="120"/>
      <c r="BH13" s="31"/>
      <c r="BN13" s="31"/>
      <c r="BR13" s="31"/>
      <c r="CR13" s="27" t="s">
        <v>132</v>
      </c>
      <c r="DA13" s="31"/>
    </row>
    <row r="14" spans="1:149" s="27" customFormat="1" ht="14.4" thickBot="1">
      <c r="A14" s="32"/>
      <c r="B14" s="33"/>
      <c r="C14" s="34"/>
      <c r="D14" s="34" t="s">
        <v>225</v>
      </c>
      <c r="E14" s="34"/>
      <c r="F14" s="178">
        <v>0</v>
      </c>
      <c r="G14" s="35" t="s">
        <v>80</v>
      </c>
      <c r="H14" s="36"/>
      <c r="I14" s="36"/>
      <c r="J14" s="36"/>
      <c r="K14" s="36"/>
      <c r="L14" s="36"/>
      <c r="M14" s="36"/>
      <c r="N14" s="36"/>
      <c r="O14" s="36"/>
      <c r="P14" s="36"/>
      <c r="Q14" s="36"/>
      <c r="R14" s="36"/>
      <c r="S14" s="31" t="s">
        <v>20</v>
      </c>
      <c r="U14" s="37" t="s">
        <v>41</v>
      </c>
      <c r="V14" s="37" t="s">
        <v>41</v>
      </c>
      <c r="W14" s="37" t="s">
        <v>41</v>
      </c>
      <c r="X14" s="37" t="s">
        <v>41</v>
      </c>
      <c r="Y14" s="29" t="s">
        <v>42</v>
      </c>
      <c r="Z14" s="29" t="s">
        <v>43</v>
      </c>
      <c r="AB14" s="35" t="s">
        <v>194</v>
      </c>
      <c r="AC14" s="36"/>
      <c r="AD14" s="36"/>
      <c r="AE14" s="36"/>
      <c r="AF14" s="36"/>
      <c r="AG14" s="36"/>
      <c r="AH14" s="36"/>
      <c r="AI14" s="36"/>
      <c r="AJ14" s="36"/>
      <c r="AK14" s="36"/>
      <c r="AL14" s="36"/>
      <c r="AM14" s="36"/>
      <c r="AO14" s="29" t="s">
        <v>195</v>
      </c>
      <c r="AP14" s="29" t="s">
        <v>196</v>
      </c>
      <c r="AQ14" s="43"/>
      <c r="AR14" s="29" t="s">
        <v>197</v>
      </c>
      <c r="AS14" s="29" t="s">
        <v>224</v>
      </c>
      <c r="AT14" s="29" t="s">
        <v>197</v>
      </c>
      <c r="AU14" s="29" t="s">
        <v>198</v>
      </c>
      <c r="AV14" s="121" t="s">
        <v>190</v>
      </c>
      <c r="AW14" s="116" t="s">
        <v>199</v>
      </c>
      <c r="AX14" s="116" t="s">
        <v>200</v>
      </c>
      <c r="AY14" s="116" t="s">
        <v>131</v>
      </c>
      <c r="AZ14" s="122" t="s">
        <v>201</v>
      </c>
      <c r="BE14" s="27" t="s">
        <v>202</v>
      </c>
      <c r="BO14" s="53" t="s">
        <v>203</v>
      </c>
      <c r="BP14" s="54"/>
      <c r="BQ14" s="54"/>
      <c r="BR14" s="54"/>
      <c r="BS14" s="54"/>
      <c r="BT14" s="54"/>
      <c r="BU14" s="54"/>
      <c r="BV14" s="54"/>
      <c r="BW14" s="55"/>
      <c r="BY14" s="27" t="s">
        <v>204</v>
      </c>
      <c r="CI14" s="53" t="s">
        <v>205</v>
      </c>
      <c r="CJ14" s="54"/>
      <c r="CK14" s="54"/>
      <c r="CL14" s="54"/>
      <c r="CM14" s="54"/>
      <c r="CN14" s="54"/>
      <c r="CO14" s="54"/>
      <c r="CP14" s="54"/>
      <c r="CQ14" s="55"/>
      <c r="CR14" s="53"/>
      <c r="CS14" s="54"/>
      <c r="CT14" s="55"/>
      <c r="CW14" s="31" t="s">
        <v>190</v>
      </c>
      <c r="CY14" s="27">
        <f>CW16/CX16-273.15</f>
        <v>1129.3810525940003</v>
      </c>
      <c r="DA14" s="31" t="s">
        <v>199</v>
      </c>
      <c r="DB14" s="31"/>
      <c r="DC14" s="31"/>
      <c r="DK14" s="27" t="s">
        <v>206</v>
      </c>
      <c r="DQ14" s="27" t="s">
        <v>207</v>
      </c>
      <c r="DZ14" s="27" t="s">
        <v>24</v>
      </c>
      <c r="EJ14" s="27" t="s">
        <v>25</v>
      </c>
    </row>
    <row r="15" spans="1:149" s="27" customFormat="1" ht="15.6" thickBot="1">
      <c r="A15" s="32" t="s">
        <v>26</v>
      </c>
      <c r="B15" s="33" t="s">
        <v>27</v>
      </c>
      <c r="C15" s="38" t="s">
        <v>28</v>
      </c>
      <c r="D15" s="180" t="s">
        <v>47</v>
      </c>
      <c r="E15" s="34"/>
      <c r="F15" s="34" t="s">
        <v>221</v>
      </c>
      <c r="G15" s="38" t="s">
        <v>29</v>
      </c>
      <c r="H15" s="38" t="s">
        <v>30</v>
      </c>
      <c r="I15" s="38" t="s">
        <v>31</v>
      </c>
      <c r="J15" s="38" t="s">
        <v>32</v>
      </c>
      <c r="K15" s="38" t="s">
        <v>33</v>
      </c>
      <c r="L15" s="38" t="s">
        <v>7</v>
      </c>
      <c r="M15" s="38" t="s">
        <v>34</v>
      </c>
      <c r="N15" s="38" t="s">
        <v>35</v>
      </c>
      <c r="O15" s="38" t="s">
        <v>36</v>
      </c>
      <c r="P15" s="38" t="s">
        <v>37</v>
      </c>
      <c r="Q15" s="38" t="s">
        <v>38</v>
      </c>
      <c r="R15" s="38" t="s">
        <v>39</v>
      </c>
      <c r="S15" s="31" t="s">
        <v>40</v>
      </c>
      <c r="T15" s="31"/>
      <c r="U15" s="52" t="s">
        <v>47</v>
      </c>
      <c r="V15" s="52" t="s">
        <v>47</v>
      </c>
      <c r="W15" s="52" t="s">
        <v>47</v>
      </c>
      <c r="X15" s="52" t="s">
        <v>47</v>
      </c>
      <c r="Y15" s="52" t="s">
        <v>47</v>
      </c>
      <c r="Z15" s="52" t="s">
        <v>47</v>
      </c>
      <c r="AA15" s="31"/>
      <c r="AB15" s="38" t="s">
        <v>29</v>
      </c>
      <c r="AC15" s="38" t="s">
        <v>30</v>
      </c>
      <c r="AD15" s="38" t="s">
        <v>31</v>
      </c>
      <c r="AE15" s="38" t="s">
        <v>32</v>
      </c>
      <c r="AF15" s="38" t="s">
        <v>33</v>
      </c>
      <c r="AG15" s="38" t="s">
        <v>7</v>
      </c>
      <c r="AH15" s="38" t="s">
        <v>34</v>
      </c>
      <c r="AI15" s="38" t="s">
        <v>35</v>
      </c>
      <c r="AJ15" s="38" t="s">
        <v>36</v>
      </c>
      <c r="AK15" s="38" t="s">
        <v>37</v>
      </c>
      <c r="AL15" s="38" t="s">
        <v>38</v>
      </c>
      <c r="AM15" s="38" t="s">
        <v>39</v>
      </c>
      <c r="AN15" s="31"/>
      <c r="AO15" s="52" t="s">
        <v>79</v>
      </c>
      <c r="AP15" s="52" t="s">
        <v>44</v>
      </c>
      <c r="AQ15" s="43"/>
      <c r="AR15" s="52" t="s">
        <v>134</v>
      </c>
      <c r="AS15" s="52" t="s">
        <v>134</v>
      </c>
      <c r="AT15" s="52" t="s">
        <v>45</v>
      </c>
      <c r="AU15" s="52" t="s">
        <v>46</v>
      </c>
      <c r="AV15" s="123" t="s">
        <v>47</v>
      </c>
      <c r="AW15" s="124" t="s">
        <v>47</v>
      </c>
      <c r="AX15" s="124" t="s">
        <v>133</v>
      </c>
      <c r="AY15" s="124" t="s">
        <v>208</v>
      </c>
      <c r="AZ15" s="125" t="s">
        <v>209</v>
      </c>
      <c r="BA15" s="31"/>
      <c r="BB15" s="31"/>
      <c r="BC15" s="31" t="s">
        <v>48</v>
      </c>
      <c r="BE15" s="31" t="s">
        <v>49</v>
      </c>
      <c r="BF15" s="31" t="s">
        <v>50</v>
      </c>
      <c r="BG15" s="31" t="s">
        <v>51</v>
      </c>
      <c r="BH15" s="31" t="s">
        <v>52</v>
      </c>
      <c r="BI15" s="31" t="s">
        <v>53</v>
      </c>
      <c r="BJ15" s="31" t="s">
        <v>54</v>
      </c>
      <c r="BK15" s="31" t="s">
        <v>55</v>
      </c>
      <c r="BL15" s="31" t="s">
        <v>56</v>
      </c>
      <c r="BM15" s="31" t="s">
        <v>57</v>
      </c>
      <c r="BN15" s="31" t="s">
        <v>58</v>
      </c>
      <c r="BO15" s="56" t="s">
        <v>49</v>
      </c>
      <c r="BP15" s="57" t="s">
        <v>50</v>
      </c>
      <c r="BQ15" s="57" t="s">
        <v>51</v>
      </c>
      <c r="BR15" s="57" t="s">
        <v>52</v>
      </c>
      <c r="BS15" s="57" t="s">
        <v>53</v>
      </c>
      <c r="BT15" s="57" t="s">
        <v>54</v>
      </c>
      <c r="BU15" s="57" t="s">
        <v>55</v>
      </c>
      <c r="BV15" s="57" t="s">
        <v>56</v>
      </c>
      <c r="BW15" s="58" t="s">
        <v>57</v>
      </c>
      <c r="BY15" s="31" t="s">
        <v>49</v>
      </c>
      <c r="BZ15" s="31" t="s">
        <v>50</v>
      </c>
      <c r="CA15" s="31" t="s">
        <v>51</v>
      </c>
      <c r="CB15" s="31" t="s">
        <v>52</v>
      </c>
      <c r="CC15" s="31" t="s">
        <v>53</v>
      </c>
      <c r="CD15" s="31" t="s">
        <v>54</v>
      </c>
      <c r="CE15" s="31" t="s">
        <v>55</v>
      </c>
      <c r="CF15" s="31" t="s">
        <v>56</v>
      </c>
      <c r="CG15" s="31" t="s">
        <v>57</v>
      </c>
      <c r="CH15" s="31" t="s">
        <v>58</v>
      </c>
      <c r="CI15" s="56" t="s">
        <v>49</v>
      </c>
      <c r="CJ15" s="57" t="s">
        <v>50</v>
      </c>
      <c r="CK15" s="57" t="s">
        <v>51</v>
      </c>
      <c r="CL15" s="57" t="s">
        <v>52</v>
      </c>
      <c r="CM15" s="57" t="s">
        <v>53</v>
      </c>
      <c r="CN15" s="57" t="s">
        <v>54</v>
      </c>
      <c r="CO15" s="57" t="s">
        <v>55</v>
      </c>
      <c r="CP15" s="57" t="s">
        <v>56</v>
      </c>
      <c r="CQ15" s="58" t="s">
        <v>57</v>
      </c>
      <c r="CR15" s="56" t="s">
        <v>59</v>
      </c>
      <c r="CS15" s="57" t="s">
        <v>60</v>
      </c>
      <c r="CT15" s="58" t="s">
        <v>61</v>
      </c>
      <c r="CW15" s="31" t="s">
        <v>62</v>
      </c>
      <c r="CX15" s="31" t="s">
        <v>63</v>
      </c>
      <c r="CY15" s="31" t="s">
        <v>64</v>
      </c>
      <c r="DA15" s="31" t="s">
        <v>62</v>
      </c>
      <c r="DB15" s="31" t="s">
        <v>63</v>
      </c>
      <c r="DC15" s="31"/>
      <c r="DE15" s="31" t="s">
        <v>47</v>
      </c>
      <c r="DF15" s="27" t="s">
        <v>65</v>
      </c>
      <c r="DH15" s="31" t="s">
        <v>66</v>
      </c>
      <c r="DI15" s="31" t="s">
        <v>115</v>
      </c>
      <c r="DJ15" s="31" t="s">
        <v>116</v>
      </c>
      <c r="DK15" s="31" t="s">
        <v>96</v>
      </c>
      <c r="DN15" s="31" t="s">
        <v>97</v>
      </c>
      <c r="DO15" s="31" t="s">
        <v>98</v>
      </c>
      <c r="DP15" s="31" t="s">
        <v>129</v>
      </c>
      <c r="DQ15" s="31" t="s">
        <v>96</v>
      </c>
      <c r="DR15" s="31" t="s">
        <v>210</v>
      </c>
      <c r="DT15" s="31" t="s">
        <v>210</v>
      </c>
      <c r="DV15" s="31" t="s">
        <v>211</v>
      </c>
      <c r="DW15" s="31" t="s">
        <v>212</v>
      </c>
      <c r="DX15" s="31" t="s">
        <v>213</v>
      </c>
      <c r="DZ15" s="31" t="s">
        <v>49</v>
      </c>
      <c r="EA15" s="31" t="s">
        <v>50</v>
      </c>
      <c r="EB15" s="31" t="s">
        <v>214</v>
      </c>
      <c r="EC15" s="31" t="s">
        <v>52</v>
      </c>
      <c r="ED15" s="31" t="s">
        <v>53</v>
      </c>
      <c r="EE15" s="31" t="s">
        <v>54</v>
      </c>
      <c r="EF15" s="31" t="s">
        <v>55</v>
      </c>
      <c r="EG15" s="31" t="s">
        <v>215</v>
      </c>
      <c r="EH15" s="31" t="s">
        <v>216</v>
      </c>
      <c r="EI15" s="31" t="s">
        <v>58</v>
      </c>
      <c r="EJ15" s="31" t="s">
        <v>49</v>
      </c>
      <c r="EK15" s="31" t="s">
        <v>50</v>
      </c>
      <c r="EL15" s="31" t="s">
        <v>214</v>
      </c>
      <c r="EM15" s="31" t="s">
        <v>52</v>
      </c>
      <c r="EN15" s="31" t="s">
        <v>53</v>
      </c>
      <c r="EO15" s="31" t="s">
        <v>54</v>
      </c>
      <c r="EP15" s="31" t="s">
        <v>55</v>
      </c>
      <c r="EQ15" s="31" t="s">
        <v>215</v>
      </c>
      <c r="ER15" s="31" t="s">
        <v>216</v>
      </c>
      <c r="ES15" s="31" t="s">
        <v>58</v>
      </c>
    </row>
    <row r="16" spans="1:149" ht="16.2">
      <c r="A16" s="19" t="s">
        <v>217</v>
      </c>
      <c r="B16" s="19" t="s">
        <v>218</v>
      </c>
      <c r="C16" s="185">
        <v>0.20000000298023199</v>
      </c>
      <c r="D16" s="177">
        <f>AX16</f>
        <v>1016.8079255296237</v>
      </c>
      <c r="F16" s="179">
        <f>5.5976-24505/(D16+273.15)+0.8099*LOG(D16+273.15)+0.0937*(C16*10*1000-1)/(273.15+D16)+$F$14</f>
        <v>-10.734685071990576</v>
      </c>
      <c r="G16" s="185">
        <v>57.023601531982401</v>
      </c>
      <c r="H16" s="185">
        <v>0.62310600280761697</v>
      </c>
      <c r="I16" s="185">
        <v>16.332899093627901</v>
      </c>
      <c r="J16" s="185">
        <v>4.3617401123046902</v>
      </c>
      <c r="K16" s="185">
        <v>0.103850997984409</v>
      </c>
      <c r="L16" s="185">
        <v>4.1918001174926802</v>
      </c>
      <c r="M16" s="185">
        <v>6.9485797882080096</v>
      </c>
      <c r="N16" s="185">
        <v>3.5970199108123802</v>
      </c>
      <c r="O16" s="185">
        <v>0.896894991397858</v>
      </c>
      <c r="P16" s="185">
        <v>0</v>
      </c>
      <c r="Q16" s="185">
        <v>0.226584002375603</v>
      </c>
      <c r="R16" s="185">
        <v>5.5900001525878897</v>
      </c>
      <c r="S16" s="19">
        <f>SUM(G16:Q16)</f>
        <v>94.306076548993531</v>
      </c>
      <c r="U16" s="40">
        <f>26.3*L16+994.4</f>
        <v>1104.6443430900574</v>
      </c>
      <c r="V16" s="40">
        <f>754+190.6*AO16/100+25.52*L16+9.585*J16+14.87*(N16+O16)-9.176*R16</f>
        <v>1038.6690992127212</v>
      </c>
      <c r="W16" s="40">
        <f>815.3+265.5*AO16/100+15.37*L16+8.61*J16+6.646*(N16+O16)+39.16*C16-12.83*R16</f>
        <v>1050.914220702592</v>
      </c>
      <c r="X16" s="40">
        <f t="shared" ref="X16:X25" si="0">-583+3141*EJ16+15779*EL16+1338.6*EO16-31440*(EJ16*EL16)+77.67*C16</f>
        <v>1064.5091470083662</v>
      </c>
      <c r="Y16" s="40">
        <f>20.1*L16+1014</f>
        <v>1098.2551823616029</v>
      </c>
      <c r="Z16" s="40">
        <f>16.6*M16+968</f>
        <v>1083.346424484253</v>
      </c>
      <c r="AB16" s="39">
        <v>40.5</v>
      </c>
      <c r="AC16" s="39">
        <v>0.02</v>
      </c>
      <c r="AD16" s="39">
        <v>0.08</v>
      </c>
      <c r="AE16" s="39">
        <v>12.4</v>
      </c>
      <c r="AF16" s="39">
        <v>0.17</v>
      </c>
      <c r="AG16" s="39">
        <v>47.4</v>
      </c>
      <c r="AH16" s="39">
        <v>0.3</v>
      </c>
      <c r="AI16" s="39">
        <v>0</v>
      </c>
      <c r="AJ16" s="39">
        <v>0</v>
      </c>
      <c r="AK16" s="39">
        <v>0.03</v>
      </c>
      <c r="AL16" s="39">
        <v>0</v>
      </c>
      <c r="AM16" s="39">
        <v>0</v>
      </c>
      <c r="AO16" s="41">
        <f>100*(L16/40.3)/(L16/40.3+J16/71.85)</f>
        <v>63.14606927709756</v>
      </c>
      <c r="AP16" s="41">
        <f>100*CD16/(CD16+CB16)</f>
        <v>87.204416437710762</v>
      </c>
      <c r="AQ16" s="44"/>
      <c r="AR16" s="42">
        <f t="shared" ref="AR16:AR25" si="1">(CL16/CN16)/(BR16/BT16)</f>
        <v>0.25141091216755751</v>
      </c>
      <c r="AS16" s="181">
        <f>0.0583+0.00252*G16+0.028*C16-0.0091*(N16+O16)-0.013383*F16</f>
        <v>0.3103671406523788</v>
      </c>
      <c r="AT16" s="41">
        <f>CN16/BT16</f>
        <v>9.4722212321654471</v>
      </c>
      <c r="AU16" s="41">
        <f>(0.666-(-0.049*BS16+0.027*BR16))/(1*BT16+0.259*BS16+0.299*BR16)</f>
        <v>9.2398775211691664</v>
      </c>
      <c r="AV16" s="42">
        <f>(CW16/CX16)-273.15</f>
        <v>1129.3810525940003</v>
      </c>
      <c r="AW16" s="42">
        <f>(DC16-273.15)+54*DF16+2*DF16^2</f>
        <v>1130.1461648581935</v>
      </c>
      <c r="AX16" s="42">
        <f>(15294.6+1318.8*DF16+2.4834*DF16^2)/(8.048+2.8352*LN(DQ16)+2.097*LN(1.5*DI16)+2.575*LN(3*DJ16)-1.41*DH16+0.222*R16+0.5*DF16)</f>
        <v>1016.8079255296237</v>
      </c>
      <c r="AY16" s="42">
        <f>1/((LN(AT16)+2.158-5.115*10^-2*(N16+O16)+6.213*10^-2*R16)/(55.09*C16+4430))</f>
        <v>981.69939446641763</v>
      </c>
      <c r="AZ16" s="42">
        <f>DW16</f>
        <v>1032.2658267459078</v>
      </c>
      <c r="BA16" s="19">
        <f>((13603+(4.943*10^-7)*(C16-10^-5))/(6.26+2*LN(AU16)+2*LN(1.5*CR16)+2*LN(3*CS16)-CT16))-273.15</f>
        <v>1119.3076244977233</v>
      </c>
      <c r="BB16" s="162">
        <f>AV16-BA16</f>
        <v>10.073428096276984</v>
      </c>
      <c r="BC16" s="19" t="s">
        <v>219</v>
      </c>
      <c r="BE16" s="19">
        <f>G16/60.08</f>
        <v>0.94912785505962716</v>
      </c>
      <c r="BF16" s="19">
        <f>H16/79.9</f>
        <v>7.7985732516597864E-3</v>
      </c>
      <c r="BG16" s="19">
        <f>I16*2/101.96</f>
        <v>0.32037856205625542</v>
      </c>
      <c r="BH16" s="19">
        <f>J16/71.85</f>
        <v>6.0706195021638001E-2</v>
      </c>
      <c r="BI16" s="19">
        <f>K16/70.94</f>
        <v>1.463927234062715E-3</v>
      </c>
      <c r="BJ16" s="19">
        <f>L16/40.3</f>
        <v>0.10401489125292011</v>
      </c>
      <c r="BK16" s="19">
        <f>M16/56.08</f>
        <v>0.12390477511069918</v>
      </c>
      <c r="BL16" s="19">
        <f>N16*2/61.98</f>
        <v>0.11607034239472025</v>
      </c>
      <c r="BM16" s="19">
        <f>O16*2/94.2</f>
        <v>1.9042356505262377E-2</v>
      </c>
      <c r="BN16" s="19">
        <f>SUM(BE16:BM16)</f>
        <v>1.7025074778868452</v>
      </c>
      <c r="BO16" s="19">
        <f t="shared" ref="BO16:BO25" si="2">BE16/$BN16</f>
        <v>0.55748821511062385</v>
      </c>
      <c r="BP16" s="19">
        <f t="shared" ref="BP16:BP25" si="3">BF16/$BN16</f>
        <v>4.580639646493293E-3</v>
      </c>
      <c r="BQ16" s="19">
        <f t="shared" ref="BQ16:BQ25" si="4">BG16/$BN16</f>
        <v>0.18818041401727631</v>
      </c>
      <c r="BR16" s="184">
        <f t="shared" ref="BR16:BR25" si="5">BH16/$BN16</f>
        <v>3.5656932971000289E-2</v>
      </c>
      <c r="BS16" s="19">
        <f t="shared" ref="BS16:BS25" si="6">BI16/$BN16</f>
        <v>8.5986537684976496E-4</v>
      </c>
      <c r="BT16" s="184">
        <f t="shared" ref="BT16:BT25" si="7">BJ16/$BN16</f>
        <v>6.1095115647905145E-2</v>
      </c>
      <c r="BU16" s="19">
        <f t="shared" ref="BU16:BU25" si="8">BK16/$BN16</f>
        <v>7.2777815498637322E-2</v>
      </c>
      <c r="BV16" s="19">
        <f t="shared" ref="BV16:BV25" si="9">BL16/$BN16</f>
        <v>6.8176113116863918E-2</v>
      </c>
      <c r="BW16" s="19">
        <f t="shared" ref="BW16:BW25" si="10">BM16/$BN16</f>
        <v>1.118488861435004E-2</v>
      </c>
      <c r="BX16" s="19">
        <f>SUM(BO16:BW16)</f>
        <v>0.99999999999999989</v>
      </c>
      <c r="BY16" s="19">
        <f>AB16/60.08</f>
        <v>0.67410119840213056</v>
      </c>
      <c r="BZ16" s="19">
        <f>AC16/79.9</f>
        <v>2.5031289111389235E-4</v>
      </c>
      <c r="CA16" s="19">
        <f>AD16*2/101.96</f>
        <v>1.5692428403295412E-3</v>
      </c>
      <c r="CB16" s="19">
        <f>AE16/71.85</f>
        <v>0.17258176757132918</v>
      </c>
      <c r="CC16" s="19">
        <f>AF16/70.94</f>
        <v>2.3963913166055823E-3</v>
      </c>
      <c r="CD16" s="19">
        <f>AG16/40.3</f>
        <v>1.1761786600496278</v>
      </c>
      <c r="CE16" s="19">
        <f>AH16/56.08</f>
        <v>5.3495007132667617E-3</v>
      </c>
      <c r="CF16" s="19">
        <f>2*AI16/61.98</f>
        <v>0</v>
      </c>
      <c r="CG16" s="19">
        <f>2*AJ16/94.2</f>
        <v>0</v>
      </c>
      <c r="CH16" s="19">
        <f>SUM(BY16:CG16)</f>
        <v>2.0324270737844032</v>
      </c>
      <c r="CI16" s="19">
        <f t="shared" ref="CI16:CI25" si="11">BY16/$CH16</f>
        <v>0.33167300667125349</v>
      </c>
      <c r="CJ16" s="19">
        <f t="shared" ref="CJ16:CJ25" si="12">BZ16/$CH16</f>
        <v>1.2315959295297458E-4</v>
      </c>
      <c r="CK16" s="19">
        <f t="shared" ref="CK16:CK25" si="13">CA16/$CH16</f>
        <v>7.7210290129012726E-4</v>
      </c>
      <c r="CL16" s="19">
        <f t="shared" ref="CL16:CL25" si="14">CB16/$CH16</f>
        <v>8.4914125479533142E-2</v>
      </c>
      <c r="CM16" s="19">
        <f t="shared" ref="CM16:CM25" si="15">CC16/$CH16</f>
        <v>1.1790786235411996E-3</v>
      </c>
      <c r="CN16" s="19">
        <f t="shared" ref="CN16:CN25" si="16">CD16/$CH16</f>
        <v>0.57870645162169054</v>
      </c>
      <c r="CO16" s="19">
        <f t="shared" ref="CO16:CO25" si="17">CE16/$CH16</f>
        <v>2.6320751097385887E-3</v>
      </c>
      <c r="CP16" s="19">
        <f t="shared" ref="CP16:CP25" si="18">CF16/$CH16</f>
        <v>0</v>
      </c>
      <c r="CQ16" s="19">
        <f t="shared" ref="CQ16:CQ25" si="19">CG16/$CH16</f>
        <v>0</v>
      </c>
      <c r="CR16" s="19">
        <f>BT16+BR16+BU16+BS16</f>
        <v>0.17038972949439252</v>
      </c>
      <c r="CS16" s="19">
        <f>BO16</f>
        <v>0.55748821511062385</v>
      </c>
      <c r="CT16" s="19">
        <f>(7/2)*LN(1-BQ16)+7*LN(1-BP16)</f>
        <v>-0.76180815937016921</v>
      </c>
      <c r="CV16" s="22">
        <f>(CW16/CX16)-273.15</f>
        <v>1129.3810525940003</v>
      </c>
      <c r="CW16" s="19">
        <f>113.1*1000/8.3144+(DF16*10^9-10^5)*4.11*(10^-6)/8.3144</f>
        <v>13701.720991562681</v>
      </c>
      <c r="CX16" s="19">
        <f>52.05/8.3144+2*LN(AU16)+2*LN(1.5*CR16)+2*LN(3*CS16)-CT16</f>
        <v>9.7692817326369799</v>
      </c>
      <c r="CY16" s="19">
        <f>DA16/DB16</f>
        <v>1392.4161646948767</v>
      </c>
      <c r="CZ16" s="22">
        <f>CY16-273.15</f>
        <v>1119.2661646948768</v>
      </c>
      <c r="DA16" s="19">
        <f>113.1*1000/8.3144+(0.0001*10^9-10^5)*4.11*(10^-6)/8.3144</f>
        <v>13602.905801982104</v>
      </c>
      <c r="DB16" s="19">
        <f t="shared" ref="DB16:DB25" si="20">52.05/8.3144+2*LN(AU16)+2*LN(1.5*CR16)+2*LN(3*CS16)-CT16</f>
        <v>9.7692817326369799</v>
      </c>
      <c r="DC16" s="19">
        <f>DA16/DB16</f>
        <v>1392.4161646948767</v>
      </c>
      <c r="DE16" s="19">
        <v>1300</v>
      </c>
      <c r="DF16" s="19">
        <f>C16</f>
        <v>0.20000000298023199</v>
      </c>
      <c r="DG16" s="19">
        <f>IF(AR16&gt;0,1,0)</f>
        <v>1</v>
      </c>
      <c r="DH16" s="19">
        <f>(7/2)*LN(1-BQ16)+7*LN(1-BP16)</f>
        <v>-0.76180815937016921</v>
      </c>
      <c r="DI16" s="19">
        <f>BT16+BR16+BS16+BU16</f>
        <v>0.17038972949439252</v>
      </c>
      <c r="DJ16" s="19">
        <f>BO16</f>
        <v>0.55748821511062385</v>
      </c>
      <c r="DK16" s="19">
        <f>(0.666-(-0.049*BS16+0.027*BR16))/(BT16+0.259*BS16+0.299*BR16)</f>
        <v>9.2398775211691664</v>
      </c>
      <c r="DL16" s="19">
        <f>13603+4.943*10^-7*(C16*10^9-10^-5)</f>
        <v>13701.860001473124</v>
      </c>
      <c r="DM16" s="19">
        <f>6.26+2*LN(DK16)+2*LN(1.5*DI16)+2*LN(3*DJ16)-DH16</f>
        <v>9.7690585054648444</v>
      </c>
      <c r="DN16" s="19">
        <f>(DL16/DM16)-273.15</f>
        <v>1129.4273306412542</v>
      </c>
      <c r="DO16" s="19">
        <f>(13603+4.943*10^-7*(0.0001*10^9-10^-5))/(6.26+2*LN(DK16)+2*LN(1.5*DI16)+2*LN(3*DJ16)-DH16)-273.15</f>
        <v>1119.3126843406048</v>
      </c>
      <c r="DP16" s="19">
        <f t="shared" ref="DP16:DP25" si="21">DO16+54*DF16-2*DF16^2</f>
        <v>1130.0326844991532</v>
      </c>
      <c r="DQ16" s="25">
        <f>CN16/BT16</f>
        <v>9.4722212321654471</v>
      </c>
      <c r="DR16" s="19">
        <f t="shared" ref="DR16:DR25" si="22">LN(DQ16)+2.158+6.213*10^-2*R16-5.115*10^-2*(N16+O16)</f>
        <v>4.5238063965375108</v>
      </c>
      <c r="DS16" s="19">
        <f>55.09*DF16+4430</f>
        <v>4441.0180001641811</v>
      </c>
      <c r="DT16" s="19">
        <f>DS16/DR16</f>
        <v>981.69939446641763</v>
      </c>
      <c r="DV16" s="19">
        <f>CN16/(BT16*BO16^0.5)</f>
        <v>12.686271082884666</v>
      </c>
      <c r="DW16" s="19">
        <f>(4129+0.0146*(DF16*10*1000-1))/(LOG(DV16)+2.082)-273.15</f>
        <v>1032.2658267459078</v>
      </c>
      <c r="DX16" s="19">
        <f>DE16</f>
        <v>1300</v>
      </c>
      <c r="DZ16" s="19">
        <f>G16/60.08</f>
        <v>0.94912785505962716</v>
      </c>
      <c r="EA16" s="19">
        <f>H16/79.9</f>
        <v>7.7985732516597864E-3</v>
      </c>
      <c r="EB16" s="19">
        <f>I16/101.96</f>
        <v>0.16018928102812771</v>
      </c>
      <c r="EC16" s="19">
        <f>J16/71.85</f>
        <v>6.0706195021638001E-2</v>
      </c>
      <c r="ED16" s="19">
        <f>K16/70.94</f>
        <v>1.463927234062715E-3</v>
      </c>
      <c r="EE16" s="19">
        <f>L16/40.3</f>
        <v>0.10401489125292011</v>
      </c>
      <c r="EF16" s="19">
        <f>M16/56.08</f>
        <v>0.12390477511069918</v>
      </c>
      <c r="EG16" s="19">
        <f>N16/61.98</f>
        <v>5.8035171197360125E-2</v>
      </c>
      <c r="EH16" s="19">
        <f>O16/94.2</f>
        <v>9.5211782526311885E-3</v>
      </c>
      <c r="EI16" s="19">
        <f t="shared" ref="EI16:EI25" si="23">SUM(DZ16:EH16)</f>
        <v>1.4747618474087261</v>
      </c>
      <c r="EJ16" s="19">
        <f>DZ16/$EI16</f>
        <v>0.64358042400359106</v>
      </c>
      <c r="EK16" s="19">
        <f t="shared" ref="EK16:ER25" si="24">EA16/$EI16</f>
        <v>5.2880221070015472E-3</v>
      </c>
      <c r="EL16" s="19">
        <f t="shared" si="24"/>
        <v>0.10862044018130319</v>
      </c>
      <c r="EM16" s="19">
        <f t="shared" si="24"/>
        <v>4.1163388602914845E-2</v>
      </c>
      <c r="EN16" s="19">
        <f t="shared" si="24"/>
        <v>9.9265331323491438E-4</v>
      </c>
      <c r="EO16" s="19">
        <f t="shared" si="24"/>
        <v>7.0529958064539405E-2</v>
      </c>
      <c r="EP16" s="19">
        <f t="shared" si="24"/>
        <v>8.4016802664382551E-2</v>
      </c>
      <c r="EQ16" s="19">
        <f t="shared" si="24"/>
        <v>3.9352232565096894E-2</v>
      </c>
      <c r="ER16" s="19">
        <f t="shared" si="24"/>
        <v>6.4560784979355527E-3</v>
      </c>
      <c r="ES16" s="19">
        <f t="shared" ref="ES16:ES25" si="25">SUM(EJ16:ER16)</f>
        <v>0.99999999999999989</v>
      </c>
    </row>
    <row r="17" spans="1:149" ht="16.2">
      <c r="A17" s="19" t="s">
        <v>217</v>
      </c>
      <c r="B17" s="19" t="s">
        <v>220</v>
      </c>
      <c r="C17" s="185">
        <v>0.20000000298023199</v>
      </c>
      <c r="D17" s="177">
        <f t="shared" ref="D17:D25" si="26">AX17</f>
        <v>951.52631025091091</v>
      </c>
      <c r="F17" s="179">
        <f t="shared" ref="F17:F25" si="27">5.5976-24505/(D17+273.15)+0.8099*LOG(D17+273.15)+0.0937*(C17*10*1000-1)/(273.15+D17)+$F$14</f>
        <v>-11.757836856560477</v>
      </c>
      <c r="G17" s="185">
        <v>57.658599853515597</v>
      </c>
      <c r="H17" s="185">
        <v>0.65415000915527299</v>
      </c>
      <c r="I17" s="185">
        <v>17.194799423217798</v>
      </c>
      <c r="J17" s="185">
        <v>3.90620994567871</v>
      </c>
      <c r="K17" s="185">
        <v>8.4104999899864197E-2</v>
      </c>
      <c r="L17" s="185">
        <v>2.8689200878143302</v>
      </c>
      <c r="M17" s="185">
        <v>5.9153800010681197</v>
      </c>
      <c r="N17" s="185">
        <v>3.8594799041747998</v>
      </c>
      <c r="O17" s="185">
        <v>1.01859998703003</v>
      </c>
      <c r="P17" s="185">
        <v>0</v>
      </c>
      <c r="Q17" s="185">
        <v>0.21493500471115101</v>
      </c>
      <c r="R17" s="185">
        <v>6.5500001907348597</v>
      </c>
      <c r="S17" s="19">
        <f t="shared" ref="S17:S25" si="28">SUM(G17:Q17)</f>
        <v>93.375179216265678</v>
      </c>
      <c r="U17" s="40">
        <f t="shared" ref="U17:U25" si="29">26.3*L17+994.4</f>
        <v>1069.8525983095169</v>
      </c>
      <c r="V17" s="40">
        <f t="shared" ref="V17:V25" si="30">754+190.6*AO17/100+25.52*L17+9.585*J17+14.87*(N17+O17)-9.176*R17</f>
        <v>985.15917070420483</v>
      </c>
      <c r="W17" s="40">
        <f t="shared" ref="W17:W25" si="31">815.3+265.5*AO17/100+15.37*L17+8.61*J17+6.646*(N17+O17)+39.16*C17-12.83*R17</f>
        <v>999.77990011520455</v>
      </c>
      <c r="X17" s="40">
        <f t="shared" si="0"/>
        <v>987.20183441887127</v>
      </c>
      <c r="Y17" s="40">
        <f t="shared" ref="Y17:Y25" si="32">20.1*L17+1014</f>
        <v>1071.6652937650681</v>
      </c>
      <c r="Z17" s="40">
        <f t="shared" ref="Z17:Z25" si="33">16.6*M17+968</f>
        <v>1066.1953080177309</v>
      </c>
      <c r="AB17" s="39">
        <v>41.3</v>
      </c>
      <c r="AC17" s="39">
        <v>0.03</v>
      </c>
      <c r="AD17" s="39">
        <v>0.11</v>
      </c>
      <c r="AE17" s="39">
        <v>9.59</v>
      </c>
      <c r="AF17" s="39">
        <v>0.14000000000000001</v>
      </c>
      <c r="AG17" s="39">
        <v>50.2</v>
      </c>
      <c r="AH17" s="39">
        <v>0.31</v>
      </c>
      <c r="AI17" s="39">
        <v>0</v>
      </c>
      <c r="AJ17" s="39">
        <v>0</v>
      </c>
      <c r="AK17" s="39">
        <v>0</v>
      </c>
      <c r="AL17" s="39">
        <v>0</v>
      </c>
      <c r="AM17" s="39">
        <v>0</v>
      </c>
      <c r="AO17" s="41">
        <f t="shared" ref="AO17:AO25" si="34">100*(L17/40.3)/(L17/40.3+J17/71.85)</f>
        <v>56.699402676715607</v>
      </c>
      <c r="AP17" s="41">
        <f t="shared" ref="AP17:AP25" si="35">100*CD17/(CD17+CB17)</f>
        <v>90.321978029958331</v>
      </c>
      <c r="AQ17" s="44"/>
      <c r="AR17" s="42">
        <f t="shared" si="1"/>
        <v>0.14030648993237677</v>
      </c>
      <c r="AS17" s="181">
        <f t="shared" ref="AS17:AS25" si="36">0.0583+0.00252*G17+0.028*C17-0.0091*(N17+O17)-0.013383*F17</f>
        <v>0.3221642753556907</v>
      </c>
      <c r="AT17" s="41">
        <f t="shared" ref="AT17:AT25" si="37">CN17/BT17</f>
        <v>14.18613813488729</v>
      </c>
      <c r="AU17" s="41">
        <f t="shared" ref="AU17:AU25" si="38">(0.666-(-0.049*BS17+0.027*BR17))/(1*BT17+0.259*BS17+0.299*BR17)</f>
        <v>12.761463201214864</v>
      </c>
      <c r="AV17" s="42">
        <f t="shared" ref="AV17:AV25" si="39">(CW17/CX17)-273.15</f>
        <v>1084.5554740322241</v>
      </c>
      <c r="AW17" s="42">
        <f t="shared" ref="AW17:AW25" si="40">(DC17-273.15)+54*DF17+2*DF17^2</f>
        <v>1085.6438630618959</v>
      </c>
      <c r="AX17" s="42">
        <f t="shared" ref="AX17:AX25" si="41">(15294.6+1318.8*DF17+2.4834*DF17^2)/(8.048+2.8352*LN(DQ17)+2.097*LN(1.5*DI17)+2.575*LN(3*DJ17)-1.41*DH17+0.222*R17+0.5*DF17)</f>
        <v>951.52631025091091</v>
      </c>
      <c r="AY17" s="42">
        <f t="shared" ref="AY17:AY25" si="42">1/((LN(AT17)+2.158-5.115*10^-2*(N17+O17)+6.213*10^-2*R17)/(55.09*C17+4430))</f>
        <v>893.97815797700298</v>
      </c>
      <c r="AZ17" s="42">
        <f t="shared" ref="AZ17:AZ25" si="43">DW17</f>
        <v>965.91306144649809</v>
      </c>
      <c r="BA17" s="19">
        <f t="shared" ref="BA17:BA25" si="44">((13603+(4.943*10^-7)*(C17-10^-5))/(6.26+2*LN(AU17)+2*LN(1.5*CR17)+2*LN(3*CS17)-CT17))-273.15</f>
        <v>1074.8030132011054</v>
      </c>
      <c r="BB17" s="162">
        <f t="shared" ref="BB17:BB25" si="45">AV17-BA17</f>
        <v>9.7524608311186967</v>
      </c>
      <c r="BC17" s="19" t="s">
        <v>67</v>
      </c>
      <c r="BE17" s="19">
        <f t="shared" ref="BE17:BE25" si="46">G17/60.08</f>
        <v>0.95969706813441413</v>
      </c>
      <c r="BF17" s="19">
        <f t="shared" ref="BF17:BF25" si="47">H17/79.9</f>
        <v>8.1871090006917762E-3</v>
      </c>
      <c r="BG17" s="19">
        <f t="shared" ref="BG17:BG25" si="48">I17*2/101.96</f>
        <v>0.33728519857233819</v>
      </c>
      <c r="BH17" s="19">
        <f t="shared" ref="BH17:BH25" si="49">J17/71.85</f>
        <v>5.4366178784672377E-2</v>
      </c>
      <c r="BI17" s="19">
        <f t="shared" ref="BI17:BI25" si="50">K17/70.94</f>
        <v>1.1855793614302819E-3</v>
      </c>
      <c r="BJ17" s="19">
        <f t="shared" ref="BJ17:BJ25" si="51">L17/40.3</f>
        <v>7.1189084064871719E-2</v>
      </c>
      <c r="BK17" s="19">
        <f t="shared" ref="BK17:BK25" si="52">M17/56.08</f>
        <v>0.10548109844985948</v>
      </c>
      <c r="BL17" s="19">
        <f t="shared" ref="BL17:BL25" si="53">N17*2/61.98</f>
        <v>0.12453952578815101</v>
      </c>
      <c r="BM17" s="19">
        <f t="shared" ref="BM17:BM25" si="54">O17*2/94.2</f>
        <v>2.1626326688535667E-2</v>
      </c>
      <c r="BN17" s="19">
        <f t="shared" ref="BN17:BN25" si="55">SUM(BE17:BM17)</f>
        <v>1.6835571688449646</v>
      </c>
      <c r="BO17" s="19">
        <f t="shared" si="2"/>
        <v>0.57004127088409595</v>
      </c>
      <c r="BP17" s="19">
        <f t="shared" si="3"/>
        <v>4.8629824708053679E-3</v>
      </c>
      <c r="BQ17" s="19">
        <f t="shared" si="4"/>
        <v>0.20034080506083371</v>
      </c>
      <c r="BR17" s="184">
        <f t="shared" si="5"/>
        <v>3.2292445894172572E-2</v>
      </c>
      <c r="BS17" s="19">
        <f t="shared" si="6"/>
        <v>7.0421093109874643E-4</v>
      </c>
      <c r="BT17" s="184">
        <f t="shared" si="7"/>
        <v>4.2284922295636865E-2</v>
      </c>
      <c r="BU17" s="19">
        <f t="shared" si="8"/>
        <v>6.2653707519909604E-2</v>
      </c>
      <c r="BV17" s="19">
        <f t="shared" si="9"/>
        <v>7.3974040260001178E-2</v>
      </c>
      <c r="BW17" s="19">
        <f t="shared" si="10"/>
        <v>1.2845614683446008E-2</v>
      </c>
      <c r="BX17" s="19">
        <f t="shared" ref="BX17:BX25" si="56">SUM(BO17:BW17)</f>
        <v>1</v>
      </c>
      <c r="BY17" s="19">
        <f t="shared" ref="BY17:BY25" si="57">AB17/60.08</f>
        <v>0.68741677762982689</v>
      </c>
      <c r="BZ17" s="19">
        <f t="shared" ref="BZ17:BZ25" si="58">AC17/79.9</f>
        <v>3.7546933667083853E-4</v>
      </c>
      <c r="CA17" s="19">
        <f t="shared" ref="CA17:CA25" si="59">AD17*2/101.96</f>
        <v>2.1577089054531191E-3</v>
      </c>
      <c r="CB17" s="19">
        <f t="shared" ref="CB17:CB25" si="60">AE17/71.85</f>
        <v>0.13347251217814893</v>
      </c>
      <c r="CC17" s="19">
        <f t="shared" ref="CC17:CC25" si="61">AF17/70.94</f>
        <v>1.9734987313222443E-3</v>
      </c>
      <c r="CD17" s="19">
        <f t="shared" ref="CD17:CD25" si="62">AG17/40.3</f>
        <v>1.2456575682382136</v>
      </c>
      <c r="CE17" s="19">
        <f t="shared" ref="CE17:CE25" si="63">AH17/56.08</f>
        <v>5.5278174037089872E-3</v>
      </c>
      <c r="CF17" s="19">
        <f t="shared" ref="CF17:CF25" si="64">2*AI17/61.98</f>
        <v>0</v>
      </c>
      <c r="CG17" s="19">
        <f t="shared" ref="CG17:CG25" si="65">2*AJ17/94.2</f>
        <v>0</v>
      </c>
      <c r="CH17" s="19">
        <f t="shared" ref="CH17:CH25" si="66">SUM(BY17:CG17)</f>
        <v>2.0765813524233447</v>
      </c>
      <c r="CI17" s="19">
        <f t="shared" si="11"/>
        <v>0.33103291466410406</v>
      </c>
      <c r="CJ17" s="19">
        <f t="shared" si="12"/>
        <v>1.8081128207795492E-4</v>
      </c>
      <c r="CK17" s="19">
        <f t="shared" si="13"/>
        <v>1.0390678424108449E-3</v>
      </c>
      <c r="CL17" s="19">
        <f t="shared" si="14"/>
        <v>6.4275118344093843E-2</v>
      </c>
      <c r="CM17" s="19">
        <f t="shared" si="15"/>
        <v>9.5035945931961469E-4</v>
      </c>
      <c r="CN17" s="19">
        <f t="shared" si="16"/>
        <v>0.59985974870887993</v>
      </c>
      <c r="CO17" s="19">
        <f t="shared" si="17"/>
        <v>2.6619796991136863E-3</v>
      </c>
      <c r="CP17" s="19">
        <f t="shared" si="18"/>
        <v>0</v>
      </c>
      <c r="CQ17" s="19">
        <f t="shared" si="19"/>
        <v>0</v>
      </c>
      <c r="CR17" s="19">
        <f t="shared" ref="CR17:CR25" si="67">BT17+BR17+BU17+BS17</f>
        <v>0.13793528664081778</v>
      </c>
      <c r="CS17" s="19">
        <f t="shared" ref="CS17:CS25" si="68">BO17</f>
        <v>0.57004127088409595</v>
      </c>
      <c r="CT17" s="19">
        <f t="shared" ref="CT17:CT25" si="69">(7/2)*LN(1-BQ17)+7*LN(1-BP17)</f>
        <v>-0.81661768613616947</v>
      </c>
      <c r="CW17" s="19">
        <f t="shared" ref="CW17:CW25" si="70">113.1*1000/8.3144+(DF17*10^9-10^5)*4.11*(10^-6)/8.3144</f>
        <v>13701.720991562681</v>
      </c>
      <c r="CX17" s="19">
        <f t="shared" ref="CX17:CX25" si="71">52.05/8.3144+2*LN(AU17)+2*LN(1.5*CR17)+2*LN(3*CS17)-CT17</f>
        <v>10.091821277607577</v>
      </c>
      <c r="CY17" s="19">
        <f t="shared" ref="CY17:CY25" si="72">CW17/CX17</f>
        <v>1357.7054740322242</v>
      </c>
      <c r="DA17" s="19">
        <f t="shared" ref="DA17:DA25" si="73">113.1*1000/8.3144+(0.0001*10^9-10^5)*4.11*(10^-6)/8.3144</f>
        <v>13602.905801982104</v>
      </c>
      <c r="DB17" s="19">
        <f t="shared" si="20"/>
        <v>10.091821277607577</v>
      </c>
      <c r="DC17" s="19">
        <f t="shared" ref="DC17:DC25" si="74">DA17/DB17</f>
        <v>1347.9138628985793</v>
      </c>
      <c r="DE17" s="19">
        <v>1330</v>
      </c>
      <c r="DF17" s="19">
        <f t="shared" ref="DF17:DF25" si="75">C17</f>
        <v>0.20000000298023199</v>
      </c>
      <c r="DG17" s="19">
        <f t="shared" ref="DG17:DG25" si="76">IF(AR17&gt;0,1,0)</f>
        <v>1</v>
      </c>
      <c r="DH17" s="19">
        <f t="shared" ref="DH17:DH25" si="77">(7/2)*LN(1-BQ17)+7*LN(1-BP17)</f>
        <v>-0.81661768613616947</v>
      </c>
      <c r="DI17" s="19">
        <f t="shared" ref="DI17:DI25" si="78">BT17+BR17+BS17+BU17</f>
        <v>0.13793528664081778</v>
      </c>
      <c r="DJ17" s="19">
        <f t="shared" ref="DJ17:DJ25" si="79">BO17</f>
        <v>0.57004127088409595</v>
      </c>
      <c r="DK17" s="19">
        <f t="shared" ref="DK17:DK25" si="80">(0.666-(-0.049*BS17+0.027*BR17))/(BT17+0.259*BS17+0.299*BR17)</f>
        <v>12.761463201214864</v>
      </c>
      <c r="DL17" s="19">
        <f t="shared" ref="DL17:DL25" si="81">13603+4.943*10^-7*(C17*10^9-10^-5)</f>
        <v>13701.860001473124</v>
      </c>
      <c r="DM17" s="19">
        <f t="shared" ref="DM17:DM25" si="82">6.26+2*LN(DK17)+2*LN(1.5*DI17)+2*LN(3*DJ17)-DH17</f>
        <v>10.091598050435442</v>
      </c>
      <c r="DN17" s="19">
        <f t="shared" ref="DN17:DN25" si="83">(DL17/DM17)-273.15</f>
        <v>1084.5992814313886</v>
      </c>
      <c r="DO17" s="19">
        <f t="shared" ref="DO17:DO25" si="84">(13603+4.943*10^-7*(0.0001*10^9-10^-5))/(6.26+2*LN(DK17)+2*LN(1.5*DI17)+2*LN(3*DJ17)-DH17)-273.15</f>
        <v>1074.8079113253561</v>
      </c>
      <c r="DP17" s="19">
        <f t="shared" si="21"/>
        <v>1085.5279114839045</v>
      </c>
      <c r="DQ17" s="25">
        <f t="shared" ref="DQ17:DQ25" si="85">CN17/BT17</f>
        <v>14.18613813488729</v>
      </c>
      <c r="DR17" s="19">
        <f t="shared" si="22"/>
        <v>4.9677030255569434</v>
      </c>
      <c r="DS17" s="19">
        <f t="shared" ref="DS17:DS25" si="86">55.09*DF17+4430</f>
        <v>4441.0180001641811</v>
      </c>
      <c r="DT17" s="19">
        <f t="shared" ref="DT17:DT25" si="87">DS17/DR17</f>
        <v>893.97815797700298</v>
      </c>
      <c r="DV17" s="19">
        <f t="shared" ref="DV17:DV25" si="88">CN17/(BT17*BO17^0.5)</f>
        <v>18.789318772890137</v>
      </c>
      <c r="DW17" s="19">
        <f t="shared" ref="DW17:DW25" si="89">(4129+0.0146*(DF17*10*1000-1))/(LOG(DV17)+2.082)-273.15</f>
        <v>965.91306144649809</v>
      </c>
      <c r="DX17" s="19">
        <f t="shared" ref="DX17:DX25" si="90">DE17</f>
        <v>1330</v>
      </c>
      <c r="DZ17" s="19">
        <f t="shared" ref="DZ17:DZ25" si="91">G17/60.08</f>
        <v>0.95969706813441413</v>
      </c>
      <c r="EA17" s="19">
        <f t="shared" ref="EA17:EA25" si="92">H17/79.9</f>
        <v>8.1871090006917762E-3</v>
      </c>
      <c r="EB17" s="19">
        <f t="shared" ref="EB17:EB25" si="93">I17/101.96</f>
        <v>0.16864259928616909</v>
      </c>
      <c r="EC17" s="19">
        <f t="shared" ref="EC17:EC25" si="94">J17/71.85</f>
        <v>5.4366178784672377E-2</v>
      </c>
      <c r="ED17" s="19">
        <f t="shared" ref="ED17:ED25" si="95">K17/70.94</f>
        <v>1.1855793614302819E-3</v>
      </c>
      <c r="EE17" s="19">
        <f t="shared" ref="EE17:EE25" si="96">L17/40.3</f>
        <v>7.1189084064871719E-2</v>
      </c>
      <c r="EF17" s="19">
        <f t="shared" ref="EF17:EF25" si="97">M17/56.08</f>
        <v>0.10548109844985948</v>
      </c>
      <c r="EG17" s="19">
        <f t="shared" ref="EG17:EG25" si="98">N17/61.98</f>
        <v>6.2269762894075507E-2</v>
      </c>
      <c r="EH17" s="19">
        <f t="shared" ref="EH17:EH25" si="99">O17/94.2</f>
        <v>1.0813163344267834E-2</v>
      </c>
      <c r="EI17" s="19">
        <f t="shared" si="23"/>
        <v>1.4418316433204523</v>
      </c>
      <c r="EJ17" s="19">
        <f t="shared" ref="EJ17:EJ25" si="100">DZ17/$EI17</f>
        <v>0.66560965878394029</v>
      </c>
      <c r="EK17" s="19">
        <f t="shared" si="24"/>
        <v>5.6782697471095527E-3</v>
      </c>
      <c r="EL17" s="19">
        <f t="shared" si="24"/>
        <v>0.11696414076319982</v>
      </c>
      <c r="EM17" s="19">
        <f t="shared" si="24"/>
        <v>3.7706329332230712E-2</v>
      </c>
      <c r="EN17" s="19">
        <f t="shared" si="24"/>
        <v>8.2227309056691485E-4</v>
      </c>
      <c r="EO17" s="19">
        <f t="shared" si="24"/>
        <v>4.9374061385507879E-2</v>
      </c>
      <c r="EP17" s="19">
        <f t="shared" si="24"/>
        <v>7.3157708071202268E-2</v>
      </c>
      <c r="EQ17" s="19">
        <f t="shared" si="24"/>
        <v>4.3187956917544103E-2</v>
      </c>
      <c r="ER17" s="19">
        <f t="shared" si="24"/>
        <v>7.4996019086984132E-3</v>
      </c>
      <c r="ES17" s="19">
        <f t="shared" si="25"/>
        <v>0.99999999999999989</v>
      </c>
    </row>
    <row r="18" spans="1:149" ht="16.2">
      <c r="A18" s="19" t="s">
        <v>217</v>
      </c>
      <c r="B18" s="19" t="s">
        <v>68</v>
      </c>
      <c r="C18" s="185">
        <v>0.20000000298023199</v>
      </c>
      <c r="D18" s="177">
        <f t="shared" si="26"/>
        <v>997.06519141564013</v>
      </c>
      <c r="F18" s="179">
        <f t="shared" si="27"/>
        <v>-11.033116194113415</v>
      </c>
      <c r="G18" s="185">
        <v>60.731201171875</v>
      </c>
      <c r="H18" s="185">
        <v>0.86205399036407504</v>
      </c>
      <c r="I18" s="185">
        <v>17.144199371337901</v>
      </c>
      <c r="J18" s="185">
        <v>4.0778098106384304</v>
      </c>
      <c r="K18" s="185">
        <v>7.7487997710704803E-2</v>
      </c>
      <c r="L18" s="185">
        <v>2.5086700916290301</v>
      </c>
      <c r="M18" s="185">
        <v>5.2207498550415004</v>
      </c>
      <c r="N18" s="185">
        <v>4.4555602073669398</v>
      </c>
      <c r="O18" s="185">
        <v>1.4141600131988501</v>
      </c>
      <c r="P18" s="185">
        <v>0</v>
      </c>
      <c r="Q18" s="185">
        <v>0.31963801383972201</v>
      </c>
      <c r="R18" s="185">
        <v>3.1400001049041801</v>
      </c>
      <c r="S18" s="19">
        <f t="shared" si="28"/>
        <v>96.811530523002162</v>
      </c>
      <c r="U18" s="40">
        <f t="shared" si="29"/>
        <v>1060.3780234098435</v>
      </c>
      <c r="V18" s="40">
        <f t="shared" si="30"/>
        <v>1015.2779369354315</v>
      </c>
      <c r="W18" s="40">
        <f t="shared" si="31"/>
        <v>1034.4043004478995</v>
      </c>
      <c r="X18" s="40">
        <f t="shared" si="0"/>
        <v>992.92499135700507</v>
      </c>
      <c r="Y18" s="40">
        <f t="shared" si="32"/>
        <v>1064.4242688417435</v>
      </c>
      <c r="Z18" s="40">
        <f t="shared" si="33"/>
        <v>1054.6644475936889</v>
      </c>
      <c r="AB18" s="39">
        <v>39.700000000000003</v>
      </c>
      <c r="AC18" s="39">
        <v>0.05</v>
      </c>
      <c r="AD18" s="39">
        <v>0.11</v>
      </c>
      <c r="AE18" s="39">
        <v>15.6</v>
      </c>
      <c r="AF18" s="39">
        <v>0.18</v>
      </c>
      <c r="AG18" s="39">
        <v>44.5</v>
      </c>
      <c r="AH18" s="39">
        <v>0.31</v>
      </c>
      <c r="AI18" s="39">
        <v>0</v>
      </c>
      <c r="AJ18" s="39">
        <v>0</v>
      </c>
      <c r="AK18" s="39">
        <v>0.03</v>
      </c>
      <c r="AL18" s="39">
        <v>0</v>
      </c>
      <c r="AM18" s="39">
        <v>0</v>
      </c>
      <c r="AO18" s="41">
        <f t="shared" si="34"/>
        <v>52.308903696157898</v>
      </c>
      <c r="AP18" s="41">
        <f t="shared" si="35"/>
        <v>83.568238933299867</v>
      </c>
      <c r="AQ18" s="44"/>
      <c r="AR18" s="42">
        <f t="shared" si="1"/>
        <v>0.21566574659657547</v>
      </c>
      <c r="AS18" s="181">
        <f t="shared" si="36"/>
        <v>0.31118436705524266</v>
      </c>
      <c r="AT18" s="41">
        <f t="shared" si="37"/>
        <v>15.530612189941591</v>
      </c>
      <c r="AU18" s="41">
        <f t="shared" si="38"/>
        <v>14.598705299239796</v>
      </c>
      <c r="AV18" s="42">
        <f t="shared" si="39"/>
        <v>1079.8915758422645</v>
      </c>
      <c r="AW18" s="42">
        <f t="shared" si="40"/>
        <v>1081.0136003535017</v>
      </c>
      <c r="AX18" s="42">
        <f t="shared" si="41"/>
        <v>997.06519141564013</v>
      </c>
      <c r="AY18" s="42">
        <f t="shared" si="42"/>
        <v>926.04840666467794</v>
      </c>
      <c r="AZ18" s="42">
        <f t="shared" si="43"/>
        <v>952.82619126167117</v>
      </c>
      <c r="BA18" s="19">
        <f t="shared" si="44"/>
        <v>1070.1725139332302</v>
      </c>
      <c r="BB18" s="162">
        <f t="shared" si="45"/>
        <v>9.7190619090342807</v>
      </c>
      <c r="BC18" s="19" t="s">
        <v>69</v>
      </c>
      <c r="BE18" s="19">
        <f t="shared" si="46"/>
        <v>1.0108389009965879</v>
      </c>
      <c r="BF18" s="19">
        <f t="shared" si="47"/>
        <v>1.0789161331214957E-2</v>
      </c>
      <c r="BG18" s="19">
        <f t="shared" si="48"/>
        <v>0.33629265145817777</v>
      </c>
      <c r="BH18" s="19">
        <f t="shared" si="49"/>
        <v>5.6754485882232857E-2</v>
      </c>
      <c r="BI18" s="19">
        <f t="shared" si="50"/>
        <v>1.0923033226769778E-3</v>
      </c>
      <c r="BJ18" s="19">
        <f t="shared" si="51"/>
        <v>6.2249878204194302E-2</v>
      </c>
      <c r="BK18" s="19">
        <f t="shared" si="52"/>
        <v>9.3094683577772827E-2</v>
      </c>
      <c r="BL18" s="19">
        <f t="shared" si="53"/>
        <v>0.14377412737550629</v>
      </c>
      <c r="BM18" s="19">
        <f t="shared" si="54"/>
        <v>3.0024628730336518E-2</v>
      </c>
      <c r="BN18" s="19">
        <f t="shared" si="55"/>
        <v>1.7449108208787003</v>
      </c>
      <c r="BO18" s="19">
        <f t="shared" si="2"/>
        <v>0.57930691293870862</v>
      </c>
      <c r="BP18" s="19">
        <f t="shared" si="3"/>
        <v>6.1832164727947314E-3</v>
      </c>
      <c r="BQ18" s="19">
        <f t="shared" si="4"/>
        <v>0.19272770128666397</v>
      </c>
      <c r="BR18" s="184">
        <f t="shared" si="5"/>
        <v>3.2525722921273703E-2</v>
      </c>
      <c r="BS18" s="19">
        <f t="shared" si="6"/>
        <v>6.2599378123342532E-4</v>
      </c>
      <c r="BT18" s="184">
        <f t="shared" si="7"/>
        <v>3.5675105833114486E-2</v>
      </c>
      <c r="BU18" s="19">
        <f t="shared" si="8"/>
        <v>5.3352115457048002E-2</v>
      </c>
      <c r="BV18" s="19">
        <f t="shared" si="9"/>
        <v>8.2396260975162436E-2</v>
      </c>
      <c r="BW18" s="19">
        <f t="shared" si="10"/>
        <v>1.7206970334000649E-2</v>
      </c>
      <c r="BX18" s="19">
        <f t="shared" si="56"/>
        <v>0.99999999999999989</v>
      </c>
      <c r="BY18" s="19">
        <f t="shared" si="57"/>
        <v>0.66078561917443412</v>
      </c>
      <c r="BZ18" s="19">
        <f t="shared" si="58"/>
        <v>6.2578222778473093E-4</v>
      </c>
      <c r="CA18" s="19">
        <f t="shared" si="59"/>
        <v>2.1577089054531191E-3</v>
      </c>
      <c r="CB18" s="19">
        <f t="shared" si="60"/>
        <v>0.21711899791231734</v>
      </c>
      <c r="CC18" s="19">
        <f t="shared" si="61"/>
        <v>2.5373555117000281E-3</v>
      </c>
      <c r="CD18" s="19">
        <f t="shared" si="62"/>
        <v>1.1042183622828785</v>
      </c>
      <c r="CE18" s="19">
        <f t="shared" si="63"/>
        <v>5.5278174037089872E-3</v>
      </c>
      <c r="CF18" s="19">
        <f t="shared" si="64"/>
        <v>0</v>
      </c>
      <c r="CG18" s="19">
        <f t="shared" si="65"/>
        <v>0</v>
      </c>
      <c r="CH18" s="19">
        <f t="shared" si="66"/>
        <v>1.9929716434182767</v>
      </c>
      <c r="CI18" s="19">
        <f t="shared" si="11"/>
        <v>0.33155796338430449</v>
      </c>
      <c r="CJ18" s="19">
        <f t="shared" si="12"/>
        <v>3.1399454671186925E-4</v>
      </c>
      <c r="CK18" s="19">
        <f t="shared" si="13"/>
        <v>1.0826591098668573E-3</v>
      </c>
      <c r="CL18" s="19">
        <f t="shared" si="14"/>
        <v>0.10894234176855737</v>
      </c>
      <c r="CM18" s="19">
        <f t="shared" si="15"/>
        <v>1.2731518384014951E-3</v>
      </c>
      <c r="CN18" s="19">
        <f t="shared" si="16"/>
        <v>0.55405623352922417</v>
      </c>
      <c r="CO18" s="19">
        <f t="shared" si="17"/>
        <v>2.7736558229337696E-3</v>
      </c>
      <c r="CP18" s="19">
        <f t="shared" si="18"/>
        <v>0</v>
      </c>
      <c r="CQ18" s="19">
        <f t="shared" si="19"/>
        <v>0</v>
      </c>
      <c r="CR18" s="19">
        <f t="shared" si="67"/>
        <v>0.12217893799266961</v>
      </c>
      <c r="CS18" s="19">
        <f t="shared" si="68"/>
        <v>0.57930691293870862</v>
      </c>
      <c r="CT18" s="19">
        <f t="shared" si="69"/>
        <v>-0.79274674539228052</v>
      </c>
      <c r="CW18" s="19">
        <f t="shared" si="70"/>
        <v>13701.720991562681</v>
      </c>
      <c r="CX18" s="19">
        <f t="shared" si="71"/>
        <v>10.126607516131497</v>
      </c>
      <c r="CY18" s="19">
        <f t="shared" si="72"/>
        <v>1353.0415758422646</v>
      </c>
      <c r="DA18" s="19">
        <f t="shared" si="73"/>
        <v>13602.905801982104</v>
      </c>
      <c r="DB18" s="19">
        <f t="shared" si="20"/>
        <v>10.126607516131497</v>
      </c>
      <c r="DC18" s="19">
        <f t="shared" si="74"/>
        <v>1343.2836001901851</v>
      </c>
      <c r="DE18" s="19">
        <v>1325</v>
      </c>
      <c r="DF18" s="19">
        <f t="shared" si="75"/>
        <v>0.20000000298023199</v>
      </c>
      <c r="DG18" s="19">
        <f t="shared" si="76"/>
        <v>1</v>
      </c>
      <c r="DH18" s="19">
        <f t="shared" si="77"/>
        <v>-0.79274674539228052</v>
      </c>
      <c r="DI18" s="19">
        <f t="shared" si="78"/>
        <v>0.12217893799266961</v>
      </c>
      <c r="DJ18" s="19">
        <f t="shared" si="79"/>
        <v>0.57930691293870862</v>
      </c>
      <c r="DK18" s="19">
        <f t="shared" si="80"/>
        <v>14.598705299239796</v>
      </c>
      <c r="DL18" s="19">
        <f t="shared" si="81"/>
        <v>13701.860001473124</v>
      </c>
      <c r="DM18" s="19">
        <f t="shared" si="82"/>
        <v>10.126384288959361</v>
      </c>
      <c r="DN18" s="19">
        <f t="shared" si="83"/>
        <v>1079.935129942387</v>
      </c>
      <c r="DO18" s="19">
        <f t="shared" si="84"/>
        <v>1070.1773952314043</v>
      </c>
      <c r="DP18" s="19">
        <f t="shared" si="21"/>
        <v>1080.8973953899526</v>
      </c>
      <c r="DQ18" s="25">
        <f t="shared" si="85"/>
        <v>15.530612189941591</v>
      </c>
      <c r="DR18" s="19">
        <f t="shared" si="22"/>
        <v>4.795665073448232</v>
      </c>
      <c r="DS18" s="19">
        <f t="shared" si="86"/>
        <v>4441.0180001641811</v>
      </c>
      <c r="DT18" s="19">
        <f t="shared" si="87"/>
        <v>926.04840666467794</v>
      </c>
      <c r="DV18" s="19">
        <f t="shared" si="88"/>
        <v>20.404888205373044</v>
      </c>
      <c r="DW18" s="19">
        <f t="shared" si="89"/>
        <v>952.82619126167117</v>
      </c>
      <c r="DX18" s="19">
        <f t="shared" si="90"/>
        <v>1325</v>
      </c>
      <c r="DZ18" s="19">
        <f t="shared" si="91"/>
        <v>1.0108389009965879</v>
      </c>
      <c r="EA18" s="19">
        <f t="shared" si="92"/>
        <v>1.0789161331214957E-2</v>
      </c>
      <c r="EB18" s="19">
        <f t="shared" si="93"/>
        <v>0.16814632572908889</v>
      </c>
      <c r="EC18" s="19">
        <f t="shared" si="94"/>
        <v>5.6754485882232857E-2</v>
      </c>
      <c r="ED18" s="19">
        <f t="shared" si="95"/>
        <v>1.0923033226769778E-3</v>
      </c>
      <c r="EE18" s="19">
        <f t="shared" si="96"/>
        <v>6.2249878204194302E-2</v>
      </c>
      <c r="EF18" s="19">
        <f t="shared" si="97"/>
        <v>9.3094683577772827E-2</v>
      </c>
      <c r="EG18" s="19">
        <f t="shared" si="98"/>
        <v>7.1887063687753147E-2</v>
      </c>
      <c r="EH18" s="19">
        <f t="shared" si="99"/>
        <v>1.5012314365168259E-2</v>
      </c>
      <c r="EI18" s="19">
        <f t="shared" si="23"/>
        <v>1.4898651170966903</v>
      </c>
      <c r="EJ18" s="19">
        <f t="shared" si="100"/>
        <v>0.67847678920519738</v>
      </c>
      <c r="EK18" s="19">
        <f t="shared" si="24"/>
        <v>7.2417034316769992E-3</v>
      </c>
      <c r="EL18" s="19">
        <f t="shared" si="24"/>
        <v>0.11286009974967177</v>
      </c>
      <c r="EM18" s="19">
        <f t="shared" si="24"/>
        <v>3.8093707430932197E-2</v>
      </c>
      <c r="EN18" s="19">
        <f t="shared" si="24"/>
        <v>7.3315584756125857E-4</v>
      </c>
      <c r="EO18" s="19">
        <f t="shared" si="24"/>
        <v>4.1782224101938194E-2</v>
      </c>
      <c r="EP18" s="19">
        <f t="shared" si="24"/>
        <v>6.2485309917979036E-2</v>
      </c>
      <c r="EQ18" s="19">
        <f t="shared" si="24"/>
        <v>4.8250719385819249E-2</v>
      </c>
      <c r="ER18" s="19">
        <f t="shared" si="24"/>
        <v>1.0076290929223748E-2</v>
      </c>
      <c r="ES18" s="19">
        <f t="shared" si="25"/>
        <v>1</v>
      </c>
    </row>
    <row r="19" spans="1:149" ht="16.2">
      <c r="A19" s="19" t="s">
        <v>217</v>
      </c>
      <c r="B19" s="19" t="s">
        <v>70</v>
      </c>
      <c r="C19" s="185">
        <v>0.20000000298023199</v>
      </c>
      <c r="D19" s="177">
        <f t="shared" si="26"/>
        <v>910.04456647771838</v>
      </c>
      <c r="F19" s="179">
        <f t="shared" si="27"/>
        <v>-12.466105652852884</v>
      </c>
      <c r="G19" s="185">
        <v>61.532798767089801</v>
      </c>
      <c r="H19" s="185">
        <v>0.44086000323295599</v>
      </c>
      <c r="I19" s="185">
        <v>16.5088005065918</v>
      </c>
      <c r="J19" s="185">
        <v>3.3299000263214098</v>
      </c>
      <c r="K19" s="185">
        <v>3.7519998848438298E-2</v>
      </c>
      <c r="L19" s="185">
        <v>1.6414999961853001</v>
      </c>
      <c r="M19" s="185">
        <v>4.3429398536682102</v>
      </c>
      <c r="N19" s="185">
        <v>4.4085998535156197</v>
      </c>
      <c r="O19" s="185">
        <v>1.40699994564056</v>
      </c>
      <c r="P19" s="185">
        <v>0</v>
      </c>
      <c r="Q19" s="185">
        <v>0.21573999524116499</v>
      </c>
      <c r="R19" s="185">
        <v>6.1999998092651403</v>
      </c>
      <c r="S19" s="19">
        <f t="shared" si="28"/>
        <v>93.865658946335273</v>
      </c>
      <c r="U19" s="40">
        <f t="shared" si="29"/>
        <v>1037.5714498996733</v>
      </c>
      <c r="V19" s="40">
        <f t="shared" si="30"/>
        <v>946.55172990951564</v>
      </c>
      <c r="W19" s="40">
        <f t="shared" si="31"/>
        <v>960.32946491121197</v>
      </c>
      <c r="X19" s="40">
        <f t="shared" si="0"/>
        <v>966.12455215986745</v>
      </c>
      <c r="Y19" s="40">
        <f t="shared" si="32"/>
        <v>1046.9941499233246</v>
      </c>
      <c r="Z19" s="40">
        <f t="shared" si="33"/>
        <v>1040.0928015708923</v>
      </c>
      <c r="AB19" s="39">
        <v>40.5</v>
      </c>
      <c r="AC19" s="39">
        <v>0.05</v>
      </c>
      <c r="AD19" s="39">
        <v>0.1</v>
      </c>
      <c r="AE19" s="39">
        <v>13.2</v>
      </c>
      <c r="AF19" s="39">
        <v>0.18</v>
      </c>
      <c r="AG19" s="39">
        <v>46.8</v>
      </c>
      <c r="AH19" s="39">
        <v>0.28999999999999998</v>
      </c>
      <c r="AI19" s="39">
        <v>0</v>
      </c>
      <c r="AJ19" s="39">
        <v>0</v>
      </c>
      <c r="AK19" s="39">
        <v>0.02</v>
      </c>
      <c r="AL19" s="39">
        <v>0</v>
      </c>
      <c r="AM19" s="39">
        <v>0</v>
      </c>
      <c r="AO19" s="41">
        <f t="shared" si="34"/>
        <v>46.776908442256399</v>
      </c>
      <c r="AP19" s="41">
        <f t="shared" si="35"/>
        <v>86.340877228119368</v>
      </c>
      <c r="AQ19" s="44"/>
      <c r="AR19" s="42">
        <f t="shared" si="1"/>
        <v>0.13903936296931632</v>
      </c>
      <c r="AS19" s="181">
        <f t="shared" si="36"/>
        <v>0.3328745867563217</v>
      </c>
      <c r="AT19" s="41">
        <f t="shared" si="37"/>
        <v>23.752259164290301</v>
      </c>
      <c r="AU19" s="41">
        <f t="shared" si="38"/>
        <v>20.552961915690851</v>
      </c>
      <c r="AV19" s="42">
        <f t="shared" si="39"/>
        <v>1041.0891283525416</v>
      </c>
      <c r="AW19" s="42">
        <f t="shared" si="40"/>
        <v>1042.4909915210724</v>
      </c>
      <c r="AX19" s="42">
        <f t="shared" si="41"/>
        <v>910.04456647771838</v>
      </c>
      <c r="AY19" s="42">
        <f t="shared" si="42"/>
        <v>820.37261508488643</v>
      </c>
      <c r="AZ19" s="42">
        <f t="shared" si="43"/>
        <v>892.73427227822469</v>
      </c>
      <c r="BA19" s="19">
        <f t="shared" si="44"/>
        <v>1031.6479642677973</v>
      </c>
      <c r="BB19" s="162">
        <f t="shared" si="45"/>
        <v>9.4411640847442868</v>
      </c>
      <c r="BC19" s="19" t="s">
        <v>69</v>
      </c>
      <c r="BE19" s="19">
        <f t="shared" si="46"/>
        <v>1.0241810713563548</v>
      </c>
      <c r="BF19" s="19">
        <f t="shared" si="47"/>
        <v>5.5176470992860573E-3</v>
      </c>
      <c r="BG19" s="19">
        <f t="shared" si="48"/>
        <v>0.32382896246747356</v>
      </c>
      <c r="BH19" s="19">
        <f t="shared" si="49"/>
        <v>4.6345163901481003E-2</v>
      </c>
      <c r="BI19" s="19">
        <f t="shared" si="50"/>
        <v>5.2889764376146456E-4</v>
      </c>
      <c r="BJ19" s="19">
        <f t="shared" si="51"/>
        <v>4.0732009830900751E-2</v>
      </c>
      <c r="BK19" s="19">
        <f t="shared" si="52"/>
        <v>7.7441866149575794E-2</v>
      </c>
      <c r="BL19" s="19">
        <f t="shared" si="53"/>
        <v>0.1422587884322562</v>
      </c>
      <c r="BM19" s="19">
        <f t="shared" si="54"/>
        <v>2.9872610310839914E-2</v>
      </c>
      <c r="BN19" s="19">
        <f t="shared" si="55"/>
        <v>1.6907070171919294</v>
      </c>
      <c r="BO19" s="19">
        <f t="shared" si="2"/>
        <v>0.60577087629138859</v>
      </c>
      <c r="BP19" s="19">
        <f t="shared" si="3"/>
        <v>3.2635146380655808E-3</v>
      </c>
      <c r="BQ19" s="19">
        <f t="shared" si="4"/>
        <v>0.1915346415284396</v>
      </c>
      <c r="BR19" s="184">
        <f t="shared" si="5"/>
        <v>2.7411706126620927E-2</v>
      </c>
      <c r="BS19" s="19">
        <f t="shared" si="6"/>
        <v>3.1282631371572759E-4</v>
      </c>
      <c r="BT19" s="184">
        <f t="shared" si="7"/>
        <v>2.4091702120307014E-2</v>
      </c>
      <c r="BU19" s="19">
        <f t="shared" si="8"/>
        <v>4.580442700131325E-2</v>
      </c>
      <c r="BV19" s="19">
        <f t="shared" si="9"/>
        <v>8.4141596968427892E-2</v>
      </c>
      <c r="BW19" s="19">
        <f t="shared" si="10"/>
        <v>1.7668709011721555E-2</v>
      </c>
      <c r="BX19" s="19">
        <f t="shared" si="56"/>
        <v>1.0000000000000002</v>
      </c>
      <c r="BY19" s="19">
        <f t="shared" si="57"/>
        <v>0.67410119840213056</v>
      </c>
      <c r="BZ19" s="19">
        <f t="shared" si="58"/>
        <v>6.2578222778473093E-4</v>
      </c>
      <c r="CA19" s="19">
        <f t="shared" si="59"/>
        <v>1.9615535504119265E-3</v>
      </c>
      <c r="CB19" s="19">
        <f t="shared" si="60"/>
        <v>0.1837160751565762</v>
      </c>
      <c r="CC19" s="19">
        <f t="shared" si="61"/>
        <v>2.5373555117000281E-3</v>
      </c>
      <c r="CD19" s="19">
        <f t="shared" si="62"/>
        <v>1.1612903225806452</v>
      </c>
      <c r="CE19" s="19">
        <f t="shared" si="63"/>
        <v>5.1711840228245362E-3</v>
      </c>
      <c r="CF19" s="19">
        <f t="shared" si="64"/>
        <v>0</v>
      </c>
      <c r="CG19" s="19">
        <f t="shared" si="65"/>
        <v>0</v>
      </c>
      <c r="CH19" s="19">
        <f t="shared" si="66"/>
        <v>2.0294034714520732</v>
      </c>
      <c r="CI19" s="19">
        <f t="shared" si="11"/>
        <v>0.33216716531966878</v>
      </c>
      <c r="CJ19" s="19">
        <f t="shared" si="12"/>
        <v>3.0835772018117862E-4</v>
      </c>
      <c r="CK19" s="19">
        <f t="shared" si="13"/>
        <v>9.6656656894767259E-4</v>
      </c>
      <c r="CL19" s="19">
        <f t="shared" si="14"/>
        <v>9.0527131613273623E-2</v>
      </c>
      <c r="CM19" s="19">
        <f t="shared" si="15"/>
        <v>1.2502962310813957E-3</v>
      </c>
      <c r="CN19" s="19">
        <f t="shared" si="16"/>
        <v>0.57223235247041437</v>
      </c>
      <c r="CO19" s="19">
        <f t="shared" si="17"/>
        <v>2.548130076432985E-3</v>
      </c>
      <c r="CP19" s="19">
        <f t="shared" si="18"/>
        <v>0</v>
      </c>
      <c r="CQ19" s="19">
        <f t="shared" si="19"/>
        <v>0</v>
      </c>
      <c r="CR19" s="19">
        <f t="shared" si="67"/>
        <v>9.7620661561956909E-2</v>
      </c>
      <c r="CS19" s="19">
        <f t="shared" si="68"/>
        <v>0.60577087629138859</v>
      </c>
      <c r="CT19" s="19">
        <f t="shared" si="69"/>
        <v>-0.7670430270319194</v>
      </c>
      <c r="CW19" s="19">
        <f t="shared" si="70"/>
        <v>13701.720991562681</v>
      </c>
      <c r="CX19" s="19">
        <f t="shared" si="71"/>
        <v>10.425592037225682</v>
      </c>
      <c r="CY19" s="19">
        <f t="shared" si="72"/>
        <v>1314.2391283525417</v>
      </c>
      <c r="DA19" s="19">
        <f t="shared" si="73"/>
        <v>13602.905801982104</v>
      </c>
      <c r="DB19" s="19">
        <f t="shared" si="20"/>
        <v>10.425592037225682</v>
      </c>
      <c r="DC19" s="19">
        <f t="shared" si="74"/>
        <v>1304.7609913577555</v>
      </c>
      <c r="DE19" s="19">
        <v>1340</v>
      </c>
      <c r="DF19" s="19">
        <f t="shared" si="75"/>
        <v>0.20000000298023199</v>
      </c>
      <c r="DG19" s="19">
        <f t="shared" si="76"/>
        <v>1</v>
      </c>
      <c r="DH19" s="19">
        <f t="shared" si="77"/>
        <v>-0.7670430270319194</v>
      </c>
      <c r="DI19" s="19">
        <f t="shared" si="78"/>
        <v>9.7620661561956923E-2</v>
      </c>
      <c r="DJ19" s="19">
        <f t="shared" si="79"/>
        <v>0.60577087629138859</v>
      </c>
      <c r="DK19" s="19">
        <f t="shared" si="80"/>
        <v>20.552961915690851</v>
      </c>
      <c r="DL19" s="19">
        <f t="shared" si="81"/>
        <v>13701.860001473124</v>
      </c>
      <c r="DM19" s="19">
        <f t="shared" si="82"/>
        <v>10.425368810053547</v>
      </c>
      <c r="DN19" s="19">
        <f t="shared" si="83"/>
        <v>1041.130602549038</v>
      </c>
      <c r="DO19" s="19">
        <f t="shared" si="84"/>
        <v>1031.6527055773895</v>
      </c>
      <c r="DP19" s="19">
        <f t="shared" si="21"/>
        <v>1042.3727057359379</v>
      </c>
      <c r="DQ19" s="25">
        <f t="shared" si="85"/>
        <v>23.752259164290301</v>
      </c>
      <c r="DR19" s="19">
        <f t="shared" si="22"/>
        <v>5.4134157070865365</v>
      </c>
      <c r="DS19" s="19">
        <f t="shared" si="86"/>
        <v>4441.0180001641811</v>
      </c>
      <c r="DT19" s="19">
        <f t="shared" si="87"/>
        <v>820.37261508488632</v>
      </c>
      <c r="DV19" s="19">
        <f t="shared" si="88"/>
        <v>30.51762473351452</v>
      </c>
      <c r="DW19" s="19">
        <f t="shared" si="89"/>
        <v>892.73427227822469</v>
      </c>
      <c r="DX19" s="19">
        <f t="shared" si="90"/>
        <v>1340</v>
      </c>
      <c r="DZ19" s="19">
        <f t="shared" si="91"/>
        <v>1.0241810713563548</v>
      </c>
      <c r="EA19" s="19">
        <f t="shared" si="92"/>
        <v>5.5176470992860573E-3</v>
      </c>
      <c r="EB19" s="19">
        <f t="shared" si="93"/>
        <v>0.16191448123373678</v>
      </c>
      <c r="EC19" s="19">
        <f t="shared" si="94"/>
        <v>4.6345163901481003E-2</v>
      </c>
      <c r="ED19" s="19">
        <f t="shared" si="95"/>
        <v>5.2889764376146456E-4</v>
      </c>
      <c r="EE19" s="19">
        <f t="shared" si="96"/>
        <v>4.0732009830900751E-2</v>
      </c>
      <c r="EF19" s="19">
        <f t="shared" si="97"/>
        <v>7.7441866149575794E-2</v>
      </c>
      <c r="EG19" s="19">
        <f t="shared" si="98"/>
        <v>7.11293942161281E-2</v>
      </c>
      <c r="EH19" s="19">
        <f t="shared" si="99"/>
        <v>1.4936305155419957E-2</v>
      </c>
      <c r="EI19" s="19">
        <f t="shared" si="23"/>
        <v>1.4427268365866446</v>
      </c>
      <c r="EJ19" s="19">
        <f t="shared" si="100"/>
        <v>0.70989257660131322</v>
      </c>
      <c r="EK19" s="19">
        <f t="shared" si="24"/>
        <v>3.8244572426061533E-3</v>
      </c>
      <c r="EL19" s="19">
        <f t="shared" si="24"/>
        <v>0.11222809275303365</v>
      </c>
      <c r="EM19" s="19">
        <f t="shared" si="24"/>
        <v>3.212331172207851E-2</v>
      </c>
      <c r="EN19" s="19">
        <f t="shared" si="24"/>
        <v>3.6659583113653475E-4</v>
      </c>
      <c r="EO19" s="19">
        <f t="shared" si="24"/>
        <v>2.8232655550560658E-2</v>
      </c>
      <c r="EP19" s="19">
        <f t="shared" si="24"/>
        <v>5.3677428176768328E-2</v>
      </c>
      <c r="EQ19" s="19">
        <f t="shared" si="24"/>
        <v>4.9302052483069854E-2</v>
      </c>
      <c r="ER19" s="19">
        <f t="shared" si="24"/>
        <v>1.0352829639433231E-2</v>
      </c>
      <c r="ES19" s="19">
        <f t="shared" si="25"/>
        <v>1.0000000000000002</v>
      </c>
    </row>
    <row r="20" spans="1:149" ht="16.2">
      <c r="A20" s="19" t="s">
        <v>217</v>
      </c>
      <c r="B20" s="19" t="s">
        <v>71</v>
      </c>
      <c r="C20" s="185">
        <v>0.20000000298023199</v>
      </c>
      <c r="D20" s="177">
        <f t="shared" si="26"/>
        <v>970.54874921598423</v>
      </c>
      <c r="F20" s="179">
        <f t="shared" si="27"/>
        <v>-11.448710394219223</v>
      </c>
      <c r="G20" s="185">
        <v>52.969100952148402</v>
      </c>
      <c r="H20" s="185">
        <v>0.80341202020645097</v>
      </c>
      <c r="I20" s="185">
        <v>17.5629997253418</v>
      </c>
      <c r="J20" s="185">
        <v>5.9321699142456099</v>
      </c>
      <c r="K20" s="185">
        <v>0.14947199821472201</v>
      </c>
      <c r="L20" s="185">
        <v>3.7835099697113002</v>
      </c>
      <c r="M20" s="185">
        <v>7.6511001586914098</v>
      </c>
      <c r="N20" s="185">
        <v>3.8021900653839098</v>
      </c>
      <c r="O20" s="185">
        <v>0.551177978515625</v>
      </c>
      <c r="P20" s="185">
        <v>3.7367999553680399E-2</v>
      </c>
      <c r="Q20" s="185">
        <v>0.19618199765682201</v>
      </c>
      <c r="R20" s="185">
        <v>6.57999992370606</v>
      </c>
      <c r="S20" s="19">
        <f t="shared" si="28"/>
        <v>93.438682779669733</v>
      </c>
      <c r="U20" s="40">
        <f t="shared" si="29"/>
        <v>1093.9063122034072</v>
      </c>
      <c r="V20" s="40">
        <f t="shared" si="30"/>
        <v>1013.1857233185201</v>
      </c>
      <c r="W20" s="40">
        <f t="shared" si="31"/>
        <v>1018.1385063286398</v>
      </c>
      <c r="X20" s="40">
        <f t="shared" si="0"/>
        <v>1030.7411116800226</v>
      </c>
      <c r="Y20" s="40">
        <f t="shared" si="32"/>
        <v>1090.0485503911971</v>
      </c>
      <c r="Z20" s="40">
        <f t="shared" si="33"/>
        <v>1095.0082626342773</v>
      </c>
      <c r="AB20" s="39">
        <v>40.5</v>
      </c>
      <c r="AC20" s="39">
        <v>0</v>
      </c>
      <c r="AD20" s="39">
        <v>0.1</v>
      </c>
      <c r="AE20" s="39">
        <v>9.41</v>
      </c>
      <c r="AF20" s="39">
        <v>0.1</v>
      </c>
      <c r="AG20" s="39">
        <v>49.3</v>
      </c>
      <c r="AH20" s="39">
        <v>0.31</v>
      </c>
      <c r="AI20" s="39">
        <v>0</v>
      </c>
      <c r="AJ20" s="39">
        <v>0</v>
      </c>
      <c r="AK20" s="39">
        <v>0</v>
      </c>
      <c r="AL20" s="39">
        <v>0</v>
      </c>
      <c r="AM20" s="39">
        <v>0</v>
      </c>
      <c r="AO20" s="41">
        <f t="shared" si="34"/>
        <v>53.207868179739876</v>
      </c>
      <c r="AP20" s="41">
        <f t="shared" si="35"/>
        <v>90.3294667146764</v>
      </c>
      <c r="AQ20" s="44"/>
      <c r="AR20" s="42">
        <f t="shared" si="1"/>
        <v>0.12173739517281908</v>
      </c>
      <c r="AS20" s="181">
        <f t="shared" si="36"/>
        <v>0.31098457648921057</v>
      </c>
      <c r="AT20" s="41">
        <f t="shared" si="37"/>
        <v>10.780755582850478</v>
      </c>
      <c r="AU20" s="41">
        <f t="shared" si="38"/>
        <v>9.4065929046238193</v>
      </c>
      <c r="AV20" s="42">
        <f t="shared" si="39"/>
        <v>1104.9490941188869</v>
      </c>
      <c r="AW20" s="42">
        <f t="shared" si="40"/>
        <v>1105.8904067749891</v>
      </c>
      <c r="AX20" s="42">
        <f t="shared" si="41"/>
        <v>970.54874921598423</v>
      </c>
      <c r="AY20" s="42">
        <f t="shared" si="42"/>
        <v>940.51439482164096</v>
      </c>
      <c r="AZ20" s="42">
        <f t="shared" si="43"/>
        <v>1004.1779224805902</v>
      </c>
      <c r="BA20" s="19">
        <f t="shared" si="44"/>
        <v>1095.0505995732665</v>
      </c>
      <c r="BB20" s="162">
        <f t="shared" si="45"/>
        <v>9.8984945456204514</v>
      </c>
      <c r="BC20" s="19" t="s">
        <v>72</v>
      </c>
      <c r="BE20" s="19">
        <f t="shared" si="46"/>
        <v>0.88164282543522643</v>
      </c>
      <c r="BF20" s="19">
        <f t="shared" si="47"/>
        <v>1.0055219276676483E-2</v>
      </c>
      <c r="BG20" s="19">
        <f t="shared" si="48"/>
        <v>0.34450764467127898</v>
      </c>
      <c r="BH20" s="19">
        <f t="shared" si="49"/>
        <v>8.2563255591449003E-2</v>
      </c>
      <c r="BI20" s="19">
        <f t="shared" si="50"/>
        <v>2.1070199917496762E-3</v>
      </c>
      <c r="BJ20" s="19">
        <f t="shared" si="51"/>
        <v>9.388362207720348E-2</v>
      </c>
      <c r="BK20" s="19">
        <f t="shared" si="52"/>
        <v>0.13643188585398378</v>
      </c>
      <c r="BL20" s="19">
        <f t="shared" si="53"/>
        <v>0.12269087013178154</v>
      </c>
      <c r="BM20" s="19">
        <f t="shared" si="54"/>
        <v>1.170229253748673E-2</v>
      </c>
      <c r="BN20" s="19">
        <f t="shared" si="55"/>
        <v>1.685584635566836</v>
      </c>
      <c r="BO20" s="19">
        <f t="shared" si="2"/>
        <v>0.52304868401861271</v>
      </c>
      <c r="BP20" s="19">
        <f t="shared" si="3"/>
        <v>5.965419394852913E-3</v>
      </c>
      <c r="BQ20" s="19">
        <f t="shared" si="4"/>
        <v>0.20438466120416812</v>
      </c>
      <c r="BR20" s="184">
        <f t="shared" si="5"/>
        <v>4.8981969726891977E-2</v>
      </c>
      <c r="BS20" s="19">
        <f t="shared" si="6"/>
        <v>1.2500232544188552E-3</v>
      </c>
      <c r="BT20" s="184">
        <f t="shared" si="7"/>
        <v>5.5697957905051665E-2</v>
      </c>
      <c r="BU20" s="19">
        <f t="shared" si="8"/>
        <v>8.0940394789552561E-2</v>
      </c>
      <c r="BV20" s="19">
        <f t="shared" si="9"/>
        <v>7.2788317799611701E-2</v>
      </c>
      <c r="BW20" s="19">
        <f t="shared" si="10"/>
        <v>6.9425719068395694E-3</v>
      </c>
      <c r="BX20" s="19">
        <f t="shared" si="56"/>
        <v>1</v>
      </c>
      <c r="BY20" s="19">
        <f t="shared" si="57"/>
        <v>0.67410119840213056</v>
      </c>
      <c r="BZ20" s="19">
        <f t="shared" si="58"/>
        <v>0</v>
      </c>
      <c r="CA20" s="19">
        <f t="shared" si="59"/>
        <v>1.9615535504119265E-3</v>
      </c>
      <c r="CB20" s="19">
        <f t="shared" si="60"/>
        <v>0.13096729297146834</v>
      </c>
      <c r="CC20" s="19">
        <f t="shared" si="61"/>
        <v>1.4096419509444602E-3</v>
      </c>
      <c r="CD20" s="19">
        <f t="shared" si="62"/>
        <v>1.2233250620347396</v>
      </c>
      <c r="CE20" s="19">
        <f t="shared" si="63"/>
        <v>5.5278174037089872E-3</v>
      </c>
      <c r="CF20" s="19">
        <f t="shared" si="64"/>
        <v>0</v>
      </c>
      <c r="CG20" s="19">
        <f t="shared" si="65"/>
        <v>0</v>
      </c>
      <c r="CH20" s="19">
        <f t="shared" si="66"/>
        <v>2.0372925663134041</v>
      </c>
      <c r="CI20" s="19">
        <f t="shared" si="11"/>
        <v>0.33088090024397171</v>
      </c>
      <c r="CJ20" s="19">
        <f t="shared" si="12"/>
        <v>0</v>
      </c>
      <c r="CK20" s="19">
        <f t="shared" si="13"/>
        <v>9.6282369201467638E-4</v>
      </c>
      <c r="CL20" s="19">
        <f t="shared" si="14"/>
        <v>6.428497071898763E-2</v>
      </c>
      <c r="CM20" s="19">
        <f t="shared" si="15"/>
        <v>6.919192531563039E-4</v>
      </c>
      <c r="CN20" s="19">
        <f t="shared" si="16"/>
        <v>0.60046607063825663</v>
      </c>
      <c r="CO20" s="19">
        <f t="shared" si="17"/>
        <v>2.713315453612971E-3</v>
      </c>
      <c r="CP20" s="19">
        <f t="shared" si="18"/>
        <v>0</v>
      </c>
      <c r="CQ20" s="19">
        <f t="shared" si="19"/>
        <v>0</v>
      </c>
      <c r="CR20" s="19">
        <f t="shared" si="67"/>
        <v>0.18687034567591507</v>
      </c>
      <c r="CS20" s="19">
        <f t="shared" si="68"/>
        <v>0.52304868401861271</v>
      </c>
      <c r="CT20" s="19">
        <f t="shared" si="69"/>
        <v>-0.84212106942235454</v>
      </c>
      <c r="CW20" s="19">
        <f t="shared" si="70"/>
        <v>13701.720991562681</v>
      </c>
      <c r="CX20" s="19">
        <f t="shared" si="71"/>
        <v>9.942478773867224</v>
      </c>
      <c r="CY20" s="19">
        <f t="shared" si="72"/>
        <v>1378.0990941188868</v>
      </c>
      <c r="DA20" s="19">
        <f t="shared" si="73"/>
        <v>13602.905801982104</v>
      </c>
      <c r="DB20" s="19">
        <f t="shared" si="20"/>
        <v>9.942478773867224</v>
      </c>
      <c r="DC20" s="19">
        <f t="shared" si="74"/>
        <v>1368.1604066116724</v>
      </c>
      <c r="DE20" s="19">
        <v>1360</v>
      </c>
      <c r="DF20" s="19">
        <f t="shared" si="75"/>
        <v>0.20000000298023199</v>
      </c>
      <c r="DG20" s="19">
        <f t="shared" si="76"/>
        <v>1</v>
      </c>
      <c r="DH20" s="19">
        <f t="shared" si="77"/>
        <v>-0.84212106942235454</v>
      </c>
      <c r="DI20" s="19">
        <f t="shared" si="78"/>
        <v>0.18687034567591504</v>
      </c>
      <c r="DJ20" s="19">
        <f t="shared" si="79"/>
        <v>0.52304868401861271</v>
      </c>
      <c r="DK20" s="19">
        <f t="shared" si="80"/>
        <v>9.4065929046238193</v>
      </c>
      <c r="DL20" s="19">
        <f t="shared" si="81"/>
        <v>13701.860001473124</v>
      </c>
      <c r="DM20" s="19">
        <f t="shared" si="82"/>
        <v>9.9422555466950886</v>
      </c>
      <c r="DN20" s="19">
        <f t="shared" si="83"/>
        <v>1104.9940174335256</v>
      </c>
      <c r="DO20" s="19">
        <f t="shared" si="84"/>
        <v>1095.0555712721844</v>
      </c>
      <c r="DP20" s="19">
        <f t="shared" si="21"/>
        <v>1105.7755714307327</v>
      </c>
      <c r="DQ20" s="25">
        <f t="shared" si="85"/>
        <v>10.780755582850478</v>
      </c>
      <c r="DR20" s="19">
        <f t="shared" si="22"/>
        <v>4.7219032740124893</v>
      </c>
      <c r="DS20" s="19">
        <f t="shared" si="86"/>
        <v>4441.0180001641811</v>
      </c>
      <c r="DT20" s="19">
        <f t="shared" si="87"/>
        <v>940.51439482164085</v>
      </c>
      <c r="DV20" s="19">
        <f t="shared" si="88"/>
        <v>14.906584391116125</v>
      </c>
      <c r="DW20" s="19">
        <f t="shared" si="89"/>
        <v>1004.1779224805902</v>
      </c>
      <c r="DX20" s="19">
        <f t="shared" si="90"/>
        <v>1360</v>
      </c>
      <c r="DZ20" s="19">
        <f t="shared" si="91"/>
        <v>0.88164282543522643</v>
      </c>
      <c r="EA20" s="19">
        <f t="shared" si="92"/>
        <v>1.0055219276676483E-2</v>
      </c>
      <c r="EB20" s="19">
        <f t="shared" si="93"/>
        <v>0.17225382233563949</v>
      </c>
      <c r="EC20" s="19">
        <f t="shared" si="94"/>
        <v>8.2563255591449003E-2</v>
      </c>
      <c r="ED20" s="19">
        <f t="shared" si="95"/>
        <v>2.1070199917496762E-3</v>
      </c>
      <c r="EE20" s="19">
        <f t="shared" si="96"/>
        <v>9.388362207720348E-2</v>
      </c>
      <c r="EF20" s="19">
        <f t="shared" si="97"/>
        <v>0.13643188585398378</v>
      </c>
      <c r="EG20" s="19">
        <f t="shared" si="98"/>
        <v>6.1345435065890769E-2</v>
      </c>
      <c r="EH20" s="19">
        <f t="shared" si="99"/>
        <v>5.851146268743365E-3</v>
      </c>
      <c r="EI20" s="19">
        <f t="shared" si="23"/>
        <v>1.4461342318965626</v>
      </c>
      <c r="EJ20" s="19">
        <f t="shared" si="100"/>
        <v>0.60965490338955441</v>
      </c>
      <c r="EK20" s="19">
        <f t="shared" si="24"/>
        <v>6.9531714656179307E-3</v>
      </c>
      <c r="EL20" s="19">
        <f t="shared" si="24"/>
        <v>0.11911330119731255</v>
      </c>
      <c r="EM20" s="19">
        <f t="shared" si="24"/>
        <v>5.7092387255897895E-2</v>
      </c>
      <c r="EN20" s="19">
        <f t="shared" si="24"/>
        <v>1.4570016705754772E-3</v>
      </c>
      <c r="EO20" s="19">
        <f t="shared" si="24"/>
        <v>6.4920406423183738E-2</v>
      </c>
      <c r="EP20" s="19">
        <f t="shared" si="24"/>
        <v>9.4342477236748185E-2</v>
      </c>
      <c r="EQ20" s="19">
        <f t="shared" si="24"/>
        <v>4.2420291085591706E-2</v>
      </c>
      <c r="ER20" s="19">
        <f t="shared" si="24"/>
        <v>4.0460602755179632E-3</v>
      </c>
      <c r="ES20" s="19">
        <f t="shared" si="25"/>
        <v>1</v>
      </c>
    </row>
    <row r="21" spans="1:149" ht="16.2">
      <c r="A21" s="19" t="s">
        <v>217</v>
      </c>
      <c r="B21" s="19" t="s">
        <v>73</v>
      </c>
      <c r="C21" s="185">
        <v>0.20000000298023199</v>
      </c>
      <c r="D21" s="177">
        <f t="shared" si="26"/>
        <v>956.40007082397381</v>
      </c>
      <c r="F21" s="179">
        <f t="shared" si="27"/>
        <v>-11.677731829178812</v>
      </c>
      <c r="G21" s="185">
        <v>54.050201416015597</v>
      </c>
      <c r="H21" s="185">
        <v>0.85734802484512296</v>
      </c>
      <c r="I21" s="185">
        <v>17.333299636840799</v>
      </c>
      <c r="J21" s="185">
        <v>5.6007199287414604</v>
      </c>
      <c r="K21" s="185">
        <v>0.18637999892234799</v>
      </c>
      <c r="L21" s="185">
        <v>3.2709701061248802</v>
      </c>
      <c r="M21" s="185">
        <v>6.8121900558471697</v>
      </c>
      <c r="N21" s="185">
        <v>4.30537986755371</v>
      </c>
      <c r="O21" s="185">
        <v>0.596415996551514</v>
      </c>
      <c r="P21" s="185">
        <v>2.79569998383522E-2</v>
      </c>
      <c r="Q21" s="185">
        <v>0.19569900631904599</v>
      </c>
      <c r="R21" s="185">
        <v>6.8099999427795401</v>
      </c>
      <c r="S21" s="19">
        <f t="shared" si="28"/>
        <v>93.236561037599984</v>
      </c>
      <c r="U21" s="40">
        <f t="shared" si="29"/>
        <v>1080.4265137910843</v>
      </c>
      <c r="V21" s="40">
        <f t="shared" si="30"/>
        <v>998.78498227849332</v>
      </c>
      <c r="W21" s="40">
        <f t="shared" si="31"/>
        <v>1002.2665977024499</v>
      </c>
      <c r="X21" s="40">
        <f t="shared" si="0"/>
        <v>1013.9390131759936</v>
      </c>
      <c r="Y21" s="40">
        <f t="shared" si="32"/>
        <v>1079.7464991331101</v>
      </c>
      <c r="Z21" s="40">
        <f t="shared" si="33"/>
        <v>1081.0823549270631</v>
      </c>
      <c r="AB21" s="39">
        <v>40.5</v>
      </c>
      <c r="AC21" s="39">
        <v>0.02</v>
      </c>
      <c r="AD21" s="39">
        <v>0.1</v>
      </c>
      <c r="AE21" s="39">
        <v>10.6</v>
      </c>
      <c r="AF21" s="39">
        <v>0.15</v>
      </c>
      <c r="AG21" s="39">
        <v>48.5</v>
      </c>
      <c r="AH21" s="39">
        <v>0.34</v>
      </c>
      <c r="AI21" s="39">
        <v>0</v>
      </c>
      <c r="AJ21" s="39">
        <v>0</v>
      </c>
      <c r="AK21" s="39">
        <v>0.02</v>
      </c>
      <c r="AL21" s="39">
        <v>0</v>
      </c>
      <c r="AM21" s="39">
        <v>0</v>
      </c>
      <c r="AO21" s="41">
        <f t="shared" si="34"/>
        <v>51.010377559758531</v>
      </c>
      <c r="AP21" s="41">
        <f t="shared" si="35"/>
        <v>89.080000664637808</v>
      </c>
      <c r="AQ21" s="44"/>
      <c r="AR21" s="42">
        <f t="shared" si="1"/>
        <v>0.12764295388112387</v>
      </c>
      <c r="AS21" s="181">
        <f t="shared" si="36"/>
        <v>0.31178325035834831</v>
      </c>
      <c r="AT21" s="41">
        <f t="shared" si="37"/>
        <v>12.275540152401117</v>
      </c>
      <c r="AU21" s="41">
        <f t="shared" si="38"/>
        <v>10.654478271346287</v>
      </c>
      <c r="AV21" s="42">
        <f t="shared" si="39"/>
        <v>1095.425495795525</v>
      </c>
      <c r="AW21" s="42">
        <f t="shared" si="40"/>
        <v>1096.4354915151926</v>
      </c>
      <c r="AX21" s="42">
        <f t="shared" si="41"/>
        <v>956.40007082397381</v>
      </c>
      <c r="AY21" s="42">
        <f t="shared" si="42"/>
        <v>917.94746340184281</v>
      </c>
      <c r="AZ21" s="42">
        <f t="shared" si="43"/>
        <v>984.11371073189036</v>
      </c>
      <c r="BA21" s="19">
        <f t="shared" si="44"/>
        <v>1085.595195728522</v>
      </c>
      <c r="BB21" s="162">
        <f t="shared" si="45"/>
        <v>9.8303000670030087</v>
      </c>
      <c r="BC21" s="19" t="s">
        <v>67</v>
      </c>
      <c r="BE21" s="19">
        <f t="shared" si="46"/>
        <v>0.89963717403488008</v>
      </c>
      <c r="BF21" s="19">
        <f t="shared" si="47"/>
        <v>1.0730263139488397E-2</v>
      </c>
      <c r="BG21" s="19">
        <f t="shared" si="48"/>
        <v>0.34000195442998821</v>
      </c>
      <c r="BH21" s="19">
        <f t="shared" si="49"/>
        <v>7.7950172981787899E-2</v>
      </c>
      <c r="BI21" s="19">
        <f t="shared" si="50"/>
        <v>2.6272906529792501E-3</v>
      </c>
      <c r="BJ21" s="19">
        <f t="shared" si="51"/>
        <v>8.1165511318235239E-2</v>
      </c>
      <c r="BK21" s="19">
        <f t="shared" si="52"/>
        <v>0.12147271854221059</v>
      </c>
      <c r="BL21" s="19">
        <f t="shared" si="53"/>
        <v>0.13892803702980672</v>
      </c>
      <c r="BM21" s="19">
        <f t="shared" si="54"/>
        <v>1.2662760011709427E-2</v>
      </c>
      <c r="BN21" s="19">
        <f t="shared" si="55"/>
        <v>1.685175882141086</v>
      </c>
      <c r="BO21" s="19">
        <f t="shared" si="2"/>
        <v>0.53385357787808696</v>
      </c>
      <c r="BP21" s="19">
        <f t="shared" si="3"/>
        <v>6.3674440473567373E-3</v>
      </c>
      <c r="BQ21" s="19">
        <f t="shared" si="4"/>
        <v>0.20176051534632788</v>
      </c>
      <c r="BR21" s="184">
        <f t="shared" si="5"/>
        <v>4.6256401962475845E-2</v>
      </c>
      <c r="BS21" s="19">
        <f t="shared" si="6"/>
        <v>1.5590602030460868E-3</v>
      </c>
      <c r="BT21" s="184">
        <f t="shared" si="7"/>
        <v>4.816441546452177E-2</v>
      </c>
      <c r="BU21" s="19">
        <f t="shared" si="8"/>
        <v>7.2083110035893974E-2</v>
      </c>
      <c r="BV21" s="19">
        <f t="shared" si="9"/>
        <v>8.2441268298530879E-2</v>
      </c>
      <c r="BW21" s="19">
        <f t="shared" si="10"/>
        <v>7.5142067637597948E-3</v>
      </c>
      <c r="BX21" s="19">
        <f t="shared" si="56"/>
        <v>0.99999999999999989</v>
      </c>
      <c r="BY21" s="19">
        <f t="shared" si="57"/>
        <v>0.67410119840213056</v>
      </c>
      <c r="BZ21" s="19">
        <f t="shared" si="58"/>
        <v>2.5031289111389235E-4</v>
      </c>
      <c r="CA21" s="19">
        <f t="shared" si="59"/>
        <v>1.9615535504119265E-3</v>
      </c>
      <c r="CB21" s="19">
        <f t="shared" si="60"/>
        <v>0.14752957550452331</v>
      </c>
      <c r="CC21" s="19">
        <f t="shared" si="61"/>
        <v>2.11446292641669E-3</v>
      </c>
      <c r="CD21" s="19">
        <f t="shared" si="62"/>
        <v>1.2034739454094294</v>
      </c>
      <c r="CE21" s="19">
        <f t="shared" si="63"/>
        <v>6.0627674750356637E-3</v>
      </c>
      <c r="CF21" s="19">
        <f t="shared" si="64"/>
        <v>0</v>
      </c>
      <c r="CG21" s="19">
        <f t="shared" si="65"/>
        <v>0</v>
      </c>
      <c r="CH21" s="19">
        <f t="shared" si="66"/>
        <v>2.0354938161590614</v>
      </c>
      <c r="CI21" s="19">
        <f t="shared" si="11"/>
        <v>0.33117329713835575</v>
      </c>
      <c r="CJ21" s="19">
        <f t="shared" si="12"/>
        <v>1.2297403663265755E-4</v>
      </c>
      <c r="CK21" s="19">
        <f t="shared" si="13"/>
        <v>9.6367453187027664E-4</v>
      </c>
      <c r="CL21" s="19">
        <f t="shared" si="14"/>
        <v>7.2478518152862215E-2</v>
      </c>
      <c r="CM21" s="19">
        <f t="shared" si="15"/>
        <v>1.0387960452793916E-3</v>
      </c>
      <c r="CN21" s="19">
        <f t="shared" si="16"/>
        <v>0.59124421595166632</v>
      </c>
      <c r="CO21" s="19">
        <f t="shared" si="17"/>
        <v>2.9785241433334304E-3</v>
      </c>
      <c r="CP21" s="19">
        <f t="shared" si="18"/>
        <v>0</v>
      </c>
      <c r="CQ21" s="19">
        <f t="shared" si="19"/>
        <v>0</v>
      </c>
      <c r="CR21" s="19">
        <f t="shared" si="67"/>
        <v>0.16806298766593769</v>
      </c>
      <c r="CS21" s="19">
        <f t="shared" si="68"/>
        <v>0.53385357787808696</v>
      </c>
      <c r="CT21" s="19">
        <f t="shared" si="69"/>
        <v>-0.83342779046317939</v>
      </c>
      <c r="CW21" s="19">
        <f t="shared" si="70"/>
        <v>13701.720991562681</v>
      </c>
      <c r="CX21" s="19">
        <f t="shared" si="71"/>
        <v>10.011666169426883</v>
      </c>
      <c r="CY21" s="19">
        <f t="shared" si="72"/>
        <v>1368.5754957955251</v>
      </c>
      <c r="DA21" s="19">
        <f t="shared" si="73"/>
        <v>13602.905801982104</v>
      </c>
      <c r="DB21" s="19">
        <f t="shared" si="20"/>
        <v>10.011666169426883</v>
      </c>
      <c r="DC21" s="19">
        <f t="shared" si="74"/>
        <v>1358.7054913518757</v>
      </c>
      <c r="DE21" s="19">
        <v>1345</v>
      </c>
      <c r="DF21" s="19">
        <f t="shared" si="75"/>
        <v>0.20000000298023199</v>
      </c>
      <c r="DG21" s="19">
        <f t="shared" si="76"/>
        <v>1</v>
      </c>
      <c r="DH21" s="19">
        <f t="shared" si="77"/>
        <v>-0.83342779046317939</v>
      </c>
      <c r="DI21" s="19">
        <f t="shared" si="78"/>
        <v>0.16806298766593769</v>
      </c>
      <c r="DJ21" s="19">
        <f t="shared" si="79"/>
        <v>0.53385357787808696</v>
      </c>
      <c r="DK21" s="19">
        <f t="shared" si="80"/>
        <v>10.654478271346287</v>
      </c>
      <c r="DL21" s="19">
        <f t="shared" si="81"/>
        <v>13701.860001473124</v>
      </c>
      <c r="DM21" s="19">
        <f t="shared" si="82"/>
        <v>10.011442942254748</v>
      </c>
      <c r="DN21" s="19">
        <f t="shared" si="83"/>
        <v>1095.4698963031028</v>
      </c>
      <c r="DO21" s="19">
        <f t="shared" si="84"/>
        <v>1085.6001330688659</v>
      </c>
      <c r="DP21" s="19">
        <f t="shared" si="21"/>
        <v>1096.3201332274143</v>
      </c>
      <c r="DQ21" s="25">
        <f t="shared" si="85"/>
        <v>12.275540152401117</v>
      </c>
      <c r="DR21" s="19">
        <f t="shared" si="22"/>
        <v>4.837987114977266</v>
      </c>
      <c r="DS21" s="19">
        <f t="shared" si="86"/>
        <v>4441.0180001641811</v>
      </c>
      <c r="DT21" s="19">
        <f t="shared" si="87"/>
        <v>917.94746340184281</v>
      </c>
      <c r="DV21" s="19">
        <f t="shared" si="88"/>
        <v>16.800783381228161</v>
      </c>
      <c r="DW21" s="19">
        <f t="shared" si="89"/>
        <v>984.11371073189036</v>
      </c>
      <c r="DX21" s="19">
        <f t="shared" si="90"/>
        <v>1345</v>
      </c>
      <c r="DZ21" s="19">
        <f t="shared" si="91"/>
        <v>0.89963717403488008</v>
      </c>
      <c r="EA21" s="19">
        <f t="shared" si="92"/>
        <v>1.0730263139488397E-2</v>
      </c>
      <c r="EB21" s="19">
        <f t="shared" si="93"/>
        <v>0.1700009772149941</v>
      </c>
      <c r="EC21" s="19">
        <f t="shared" si="94"/>
        <v>7.7950172981787899E-2</v>
      </c>
      <c r="ED21" s="19">
        <f t="shared" si="95"/>
        <v>2.6272906529792501E-3</v>
      </c>
      <c r="EE21" s="19">
        <f t="shared" si="96"/>
        <v>8.1165511318235239E-2</v>
      </c>
      <c r="EF21" s="19">
        <f t="shared" si="97"/>
        <v>0.12147271854221059</v>
      </c>
      <c r="EG21" s="19">
        <f t="shared" si="98"/>
        <v>6.9464018514903358E-2</v>
      </c>
      <c r="EH21" s="19">
        <f t="shared" si="99"/>
        <v>6.3313800058547136E-3</v>
      </c>
      <c r="EI21" s="19">
        <f t="shared" si="23"/>
        <v>1.4393795064053336</v>
      </c>
      <c r="EJ21" s="19">
        <f t="shared" si="100"/>
        <v>0.62501735645910994</v>
      </c>
      <c r="EK21" s="19">
        <f t="shared" si="24"/>
        <v>7.4547838785657423E-3</v>
      </c>
      <c r="EL21" s="19">
        <f t="shared" si="24"/>
        <v>0.1181071263405367</v>
      </c>
      <c r="EM21" s="19">
        <f t="shared" si="24"/>
        <v>5.4155400042104597E-2</v>
      </c>
      <c r="EN21" s="19">
        <f t="shared" si="24"/>
        <v>1.8252939140008828E-3</v>
      </c>
      <c r="EO21" s="19">
        <f t="shared" si="24"/>
        <v>5.6389236443233605E-2</v>
      </c>
      <c r="EP21" s="19">
        <f t="shared" si="24"/>
        <v>8.4392419095623492E-2</v>
      </c>
      <c r="EQ21" s="19">
        <f t="shared" si="24"/>
        <v>4.8259696769186934E-2</v>
      </c>
      <c r="ER21" s="19">
        <f t="shared" si="24"/>
        <v>4.3986870576381391E-3</v>
      </c>
      <c r="ES21" s="19">
        <f t="shared" si="25"/>
        <v>1</v>
      </c>
    </row>
    <row r="22" spans="1:149" ht="16.2">
      <c r="A22" s="19" t="s">
        <v>217</v>
      </c>
      <c r="B22" s="19" t="s">
        <v>74</v>
      </c>
      <c r="C22" s="185">
        <v>0.20000000298023199</v>
      </c>
      <c r="D22" s="177">
        <f t="shared" si="26"/>
        <v>952.79276487884761</v>
      </c>
      <c r="F22" s="179">
        <f t="shared" si="27"/>
        <v>-11.736960720031977</v>
      </c>
      <c r="G22" s="185">
        <v>55.656299591064403</v>
      </c>
      <c r="H22" s="185">
        <v>0.89798402786254905</v>
      </c>
      <c r="I22" s="185">
        <v>17.117799758911101</v>
      </c>
      <c r="J22" s="185">
        <v>5.3130698204040501</v>
      </c>
      <c r="K22" s="185">
        <v>0.13095599412918099</v>
      </c>
      <c r="L22" s="185">
        <v>2.6752400398254399</v>
      </c>
      <c r="M22" s="185">
        <v>5.8649601936340297</v>
      </c>
      <c r="N22" s="185">
        <v>4.8640799522399902</v>
      </c>
      <c r="O22" s="185">
        <v>0.70155000686645497</v>
      </c>
      <c r="P22" s="185">
        <v>6.5477997064590496E-2</v>
      </c>
      <c r="Q22" s="185">
        <v>0.215141996741295</v>
      </c>
      <c r="R22" s="185">
        <v>6.46000003814697</v>
      </c>
      <c r="S22" s="19">
        <f t="shared" si="28"/>
        <v>93.502559378743086</v>
      </c>
      <c r="U22" s="40">
        <f t="shared" si="29"/>
        <v>1064.7588130474091</v>
      </c>
      <c r="V22" s="40">
        <f t="shared" si="30"/>
        <v>986.84533170883117</v>
      </c>
      <c r="W22" s="40">
        <f t="shared" si="31"/>
        <v>989.69832321609715</v>
      </c>
      <c r="X22" s="40">
        <f t="shared" si="0"/>
        <v>995.43904432277748</v>
      </c>
      <c r="Y22" s="40">
        <f t="shared" si="32"/>
        <v>1067.7723248004913</v>
      </c>
      <c r="Z22" s="40">
        <f t="shared" si="33"/>
        <v>1065.3583392143248</v>
      </c>
      <c r="AB22" s="39">
        <v>40.200000000000003</v>
      </c>
      <c r="AC22" s="39">
        <v>0.04</v>
      </c>
      <c r="AD22" s="39">
        <v>0.22</v>
      </c>
      <c r="AE22" s="39">
        <v>15.3</v>
      </c>
      <c r="AF22" s="39">
        <v>0.15</v>
      </c>
      <c r="AG22" s="39">
        <v>44.6</v>
      </c>
      <c r="AH22" s="39">
        <v>0.41</v>
      </c>
      <c r="AI22" s="39">
        <v>0</v>
      </c>
      <c r="AJ22" s="39">
        <v>0</v>
      </c>
      <c r="AK22" s="39">
        <v>0.02</v>
      </c>
      <c r="AL22" s="39">
        <v>0</v>
      </c>
      <c r="AM22" s="39">
        <v>0</v>
      </c>
      <c r="AO22" s="41">
        <f t="shared" si="34"/>
        <v>47.305075824783266</v>
      </c>
      <c r="AP22" s="41">
        <f t="shared" si="35"/>
        <v>83.863547146109752</v>
      </c>
      <c r="AQ22" s="44"/>
      <c r="AR22" s="42">
        <f t="shared" si="1"/>
        <v>0.17273239900760587</v>
      </c>
      <c r="AS22" s="181">
        <f t="shared" si="36"/>
        <v>0.31058238774124808</v>
      </c>
      <c r="AT22" s="41">
        <f t="shared" si="37"/>
        <v>14.082871361707479</v>
      </c>
      <c r="AU22" s="41">
        <f t="shared" si="38"/>
        <v>12.644088154138238</v>
      </c>
      <c r="AV22" s="42">
        <f t="shared" si="39"/>
        <v>1082.335770802204</v>
      </c>
      <c r="AW22" s="42">
        <f t="shared" si="40"/>
        <v>1083.4401680687702</v>
      </c>
      <c r="AX22" s="42">
        <f t="shared" si="41"/>
        <v>952.79276487884761</v>
      </c>
      <c r="AY22" s="42">
        <f t="shared" si="42"/>
        <v>902.71252071224239</v>
      </c>
      <c r="AZ22" s="42">
        <f t="shared" si="43"/>
        <v>963.8535886445369</v>
      </c>
      <c r="BA22" s="19">
        <f t="shared" si="44"/>
        <v>1072.5992055337483</v>
      </c>
      <c r="BB22" s="162">
        <f t="shared" si="45"/>
        <v>9.7365652684557062</v>
      </c>
      <c r="BC22" s="19" t="s">
        <v>69</v>
      </c>
      <c r="BE22" s="19">
        <f t="shared" si="46"/>
        <v>0.92636983340653134</v>
      </c>
      <c r="BF22" s="19">
        <f t="shared" si="47"/>
        <v>1.1238848909418635E-2</v>
      </c>
      <c r="BG22" s="19">
        <f t="shared" si="48"/>
        <v>0.3357748089233249</v>
      </c>
      <c r="BH22" s="19">
        <f t="shared" si="49"/>
        <v>7.3946692002839945E-2</v>
      </c>
      <c r="BI22" s="19">
        <f t="shared" si="50"/>
        <v>1.8460106305212996E-3</v>
      </c>
      <c r="BJ22" s="19">
        <f t="shared" si="51"/>
        <v>6.6383127539092812E-2</v>
      </c>
      <c r="BK22" s="19">
        <f t="shared" si="52"/>
        <v>0.10458202913042136</v>
      </c>
      <c r="BL22" s="19">
        <f t="shared" si="53"/>
        <v>0.15695643601936077</v>
      </c>
      <c r="BM22" s="19">
        <f t="shared" si="54"/>
        <v>1.4894904604383332E-2</v>
      </c>
      <c r="BN22" s="19">
        <f t="shared" si="55"/>
        <v>1.6919926911658947</v>
      </c>
      <c r="BO22" s="19">
        <f t="shared" si="2"/>
        <v>0.5475022665542375</v>
      </c>
      <c r="BP22" s="19">
        <f t="shared" si="3"/>
        <v>6.6423743838245107E-3</v>
      </c>
      <c r="BQ22" s="19">
        <f t="shared" si="4"/>
        <v>0.19844932586083092</v>
      </c>
      <c r="BR22" s="184">
        <f t="shared" si="5"/>
        <v>4.370390746303153E-2</v>
      </c>
      <c r="BS22" s="19">
        <f t="shared" si="6"/>
        <v>1.0910275441256643E-3</v>
      </c>
      <c r="BT22" s="184">
        <f t="shared" si="7"/>
        <v>3.9233696389876518E-2</v>
      </c>
      <c r="BU22" s="19">
        <f t="shared" si="8"/>
        <v>6.1809976884922263E-2</v>
      </c>
      <c r="BV22" s="19">
        <f t="shared" si="9"/>
        <v>9.2764251783621729E-2</v>
      </c>
      <c r="BW22" s="19">
        <f t="shared" si="10"/>
        <v>8.8031731355291843E-3</v>
      </c>
      <c r="BX22" s="19">
        <f t="shared" si="56"/>
        <v>0.99999999999999989</v>
      </c>
      <c r="BY22" s="19">
        <f t="shared" si="57"/>
        <v>0.6691078561917444</v>
      </c>
      <c r="BZ22" s="19">
        <f t="shared" si="58"/>
        <v>5.006257822277847E-4</v>
      </c>
      <c r="CA22" s="19">
        <f t="shared" si="59"/>
        <v>4.3154178109062382E-3</v>
      </c>
      <c r="CB22" s="19">
        <f t="shared" si="60"/>
        <v>0.21294363256784971</v>
      </c>
      <c r="CC22" s="19">
        <f t="shared" si="61"/>
        <v>2.11446292641669E-3</v>
      </c>
      <c r="CD22" s="19">
        <f t="shared" si="62"/>
        <v>1.1066997518610422</v>
      </c>
      <c r="CE22" s="19">
        <f t="shared" si="63"/>
        <v>7.3109843081312405E-3</v>
      </c>
      <c r="CF22" s="19">
        <f t="shared" si="64"/>
        <v>0</v>
      </c>
      <c r="CG22" s="19">
        <f t="shared" si="65"/>
        <v>0</v>
      </c>
      <c r="CH22" s="19">
        <f t="shared" si="66"/>
        <v>2.0029927314483182</v>
      </c>
      <c r="CI22" s="19">
        <f t="shared" si="11"/>
        <v>0.33405406104890245</v>
      </c>
      <c r="CJ22" s="19">
        <f t="shared" si="12"/>
        <v>2.4993889112407991E-4</v>
      </c>
      <c r="CK22" s="19">
        <f t="shared" si="13"/>
        <v>2.1544850079340317E-3</v>
      </c>
      <c r="CL22" s="19">
        <f t="shared" si="14"/>
        <v>0.10631273355339389</v>
      </c>
      <c r="CM22" s="19">
        <f t="shared" si="15"/>
        <v>1.0556518220052502E-3</v>
      </c>
      <c r="CN22" s="19">
        <f t="shared" si="16"/>
        <v>0.5525230993029181</v>
      </c>
      <c r="CO22" s="19">
        <f t="shared" si="17"/>
        <v>3.6500303737222427E-3</v>
      </c>
      <c r="CP22" s="19">
        <f t="shared" si="18"/>
        <v>0</v>
      </c>
      <c r="CQ22" s="19">
        <f t="shared" si="19"/>
        <v>0</v>
      </c>
      <c r="CR22" s="19">
        <f t="shared" si="67"/>
        <v>0.14583860828195597</v>
      </c>
      <c r="CS22" s="19">
        <f t="shared" si="68"/>
        <v>0.5475022665542375</v>
      </c>
      <c r="CT22" s="19">
        <f t="shared" si="69"/>
        <v>-0.82087652872897521</v>
      </c>
      <c r="CW22" s="19">
        <f t="shared" si="70"/>
        <v>13701.720991562681</v>
      </c>
      <c r="CX22" s="19">
        <f t="shared" si="71"/>
        <v>10.108347344327873</v>
      </c>
      <c r="CY22" s="19">
        <f t="shared" si="72"/>
        <v>1355.4857708022041</v>
      </c>
      <c r="DA22" s="19">
        <f t="shared" si="73"/>
        <v>13602.905801982104</v>
      </c>
      <c r="DB22" s="19">
        <f t="shared" si="20"/>
        <v>10.108347344327873</v>
      </c>
      <c r="DC22" s="19">
        <f t="shared" si="74"/>
        <v>1345.7101679054533</v>
      </c>
      <c r="DE22" s="19">
        <v>1320</v>
      </c>
      <c r="DF22" s="19">
        <f t="shared" si="75"/>
        <v>0.20000000298023199</v>
      </c>
      <c r="DG22" s="19">
        <f t="shared" si="76"/>
        <v>1</v>
      </c>
      <c r="DH22" s="19">
        <f t="shared" si="77"/>
        <v>-0.82087652872897521</v>
      </c>
      <c r="DI22" s="19">
        <f t="shared" si="78"/>
        <v>0.14583860828195599</v>
      </c>
      <c r="DJ22" s="19">
        <f t="shared" si="79"/>
        <v>0.5475022665542375</v>
      </c>
      <c r="DK22" s="19">
        <f t="shared" si="80"/>
        <v>12.644088154138238</v>
      </c>
      <c r="DL22" s="19">
        <f t="shared" si="81"/>
        <v>13701.860001473124</v>
      </c>
      <c r="DM22" s="19">
        <f t="shared" si="82"/>
        <v>10.108124117155738</v>
      </c>
      <c r="DN22" s="19">
        <f t="shared" si="83"/>
        <v>1082.3794575595898</v>
      </c>
      <c r="DO22" s="19">
        <f t="shared" si="84"/>
        <v>1072.6040956499132</v>
      </c>
      <c r="DP22" s="19">
        <f t="shared" si="21"/>
        <v>1083.3240958084616</v>
      </c>
      <c r="DQ22" s="25">
        <f t="shared" si="85"/>
        <v>14.082871361707479</v>
      </c>
      <c r="DR22" s="19">
        <f t="shared" si="22"/>
        <v>4.9196370918398333</v>
      </c>
      <c r="DS22" s="19">
        <f t="shared" si="86"/>
        <v>4441.0180001641811</v>
      </c>
      <c r="DT22" s="19">
        <f t="shared" si="87"/>
        <v>902.71252071224228</v>
      </c>
      <c r="DV22" s="19">
        <f t="shared" si="88"/>
        <v>19.03260575280617</v>
      </c>
      <c r="DW22" s="19">
        <f t="shared" si="89"/>
        <v>963.8535886445369</v>
      </c>
      <c r="DX22" s="19">
        <f t="shared" si="90"/>
        <v>1320</v>
      </c>
      <c r="DZ22" s="19">
        <f t="shared" si="91"/>
        <v>0.92636983340653134</v>
      </c>
      <c r="EA22" s="19">
        <f t="shared" si="92"/>
        <v>1.1238848909418635E-2</v>
      </c>
      <c r="EB22" s="19">
        <f t="shared" si="93"/>
        <v>0.16788740446166245</v>
      </c>
      <c r="EC22" s="19">
        <f t="shared" si="94"/>
        <v>7.3946692002839945E-2</v>
      </c>
      <c r="ED22" s="19">
        <f t="shared" si="95"/>
        <v>1.8460106305212996E-3</v>
      </c>
      <c r="EE22" s="19">
        <f t="shared" si="96"/>
        <v>6.6383127539092812E-2</v>
      </c>
      <c r="EF22" s="19">
        <f t="shared" si="97"/>
        <v>0.10458202913042136</v>
      </c>
      <c r="EG22" s="19">
        <f t="shared" si="98"/>
        <v>7.8478218009680384E-2</v>
      </c>
      <c r="EH22" s="19">
        <f t="shared" si="99"/>
        <v>7.447452302191666E-3</v>
      </c>
      <c r="EI22" s="19">
        <f t="shared" si="23"/>
        <v>1.4381796163923599</v>
      </c>
      <c r="EJ22" s="19">
        <f t="shared" si="100"/>
        <v>0.64412666043084976</v>
      </c>
      <c r="EK22" s="19">
        <f t="shared" si="24"/>
        <v>7.8146350993424773E-3</v>
      </c>
      <c r="EL22" s="19">
        <f t="shared" si="24"/>
        <v>0.11673604781216695</v>
      </c>
      <c r="EM22" s="19">
        <f t="shared" si="24"/>
        <v>5.1416868352183648E-2</v>
      </c>
      <c r="EN22" s="19">
        <f t="shared" si="24"/>
        <v>1.2835744641910406E-3</v>
      </c>
      <c r="EO22" s="19">
        <f t="shared" si="24"/>
        <v>4.6157744681163917E-2</v>
      </c>
      <c r="EP22" s="19">
        <f t="shared" si="24"/>
        <v>7.2718336387469426E-2</v>
      </c>
      <c r="EQ22" s="19">
        <f t="shared" si="24"/>
        <v>5.4567744609356351E-2</v>
      </c>
      <c r="ER22" s="19">
        <f t="shared" si="24"/>
        <v>5.178388163276453E-3</v>
      </c>
      <c r="ES22" s="19">
        <f t="shared" si="25"/>
        <v>0.99999999999999989</v>
      </c>
    </row>
    <row r="23" spans="1:149" ht="16.2">
      <c r="A23" s="19" t="s">
        <v>217</v>
      </c>
      <c r="B23" s="19" t="s">
        <v>75</v>
      </c>
      <c r="C23" s="185">
        <v>0.80000001192092896</v>
      </c>
      <c r="D23" s="177">
        <f t="shared" si="26"/>
        <v>941.29111740470933</v>
      </c>
      <c r="F23" s="179">
        <f t="shared" si="27"/>
        <v>-11.465207868506619</v>
      </c>
      <c r="G23" s="185">
        <v>49.054698944091797</v>
      </c>
      <c r="H23" s="185">
        <v>0.488831996917725</v>
      </c>
      <c r="I23" s="185">
        <v>14.664999961853001</v>
      </c>
      <c r="J23" s="185">
        <v>5.8316798210143999</v>
      </c>
      <c r="K23" s="185">
        <v>0.120063997805119</v>
      </c>
      <c r="L23" s="185">
        <v>4.2708501815795898</v>
      </c>
      <c r="M23" s="185">
        <v>7.5897598266601598</v>
      </c>
      <c r="N23" s="185">
        <v>1.0377000570297199</v>
      </c>
      <c r="O23" s="185">
        <v>0.24870400130748699</v>
      </c>
      <c r="P23" s="185">
        <v>8.5760001093149203E-3</v>
      </c>
      <c r="Q23" s="185">
        <v>0</v>
      </c>
      <c r="R23" s="185">
        <v>14.2399997711182</v>
      </c>
      <c r="S23" s="19">
        <f t="shared" si="28"/>
        <v>83.315864788368316</v>
      </c>
      <c r="U23" s="40">
        <f t="shared" si="29"/>
        <v>1106.7233597755433</v>
      </c>
      <c r="V23" s="40">
        <f t="shared" si="30"/>
        <v>915.28652849788375</v>
      </c>
      <c r="W23" s="40">
        <f t="shared" si="31"/>
        <v>938.68241096554812</v>
      </c>
      <c r="X23" s="40">
        <f t="shared" si="0"/>
        <v>1126.0700459443644</v>
      </c>
      <c r="Y23" s="40">
        <f t="shared" si="32"/>
        <v>1099.8440886497497</v>
      </c>
      <c r="Z23" s="40">
        <f t="shared" si="33"/>
        <v>1093.9900131225586</v>
      </c>
      <c r="AB23" s="39">
        <v>39.6</v>
      </c>
      <c r="AC23" s="39">
        <v>0.04</v>
      </c>
      <c r="AD23" s="39">
        <v>0.06</v>
      </c>
      <c r="AE23" s="39">
        <v>18.7</v>
      </c>
      <c r="AF23" s="39">
        <v>0.19</v>
      </c>
      <c r="AG23" s="39">
        <v>42.3</v>
      </c>
      <c r="AH23" s="39">
        <v>0.33</v>
      </c>
      <c r="AI23" s="39">
        <v>0</v>
      </c>
      <c r="AJ23" s="39">
        <v>0</v>
      </c>
      <c r="AK23" s="39">
        <v>0</v>
      </c>
      <c r="AL23" s="39">
        <v>0</v>
      </c>
      <c r="AM23" s="39">
        <v>0</v>
      </c>
      <c r="AO23" s="41">
        <f t="shared" si="34"/>
        <v>56.629165966346363</v>
      </c>
      <c r="AP23" s="41">
        <f t="shared" si="35"/>
        <v>80.130850953039456</v>
      </c>
      <c r="AQ23" s="44"/>
      <c r="AR23" s="42">
        <f t="shared" si="1"/>
        <v>0.3237590405633568</v>
      </c>
      <c r="AS23" s="181">
        <f t="shared" si="36"/>
        <v>0.34605044164625282</v>
      </c>
      <c r="AT23" s="41">
        <f t="shared" si="37"/>
        <v>7.3720485597044938</v>
      </c>
      <c r="AU23" s="41">
        <f t="shared" si="38"/>
        <v>7.4917697012395426</v>
      </c>
      <c r="AV23" s="42">
        <f t="shared" si="39"/>
        <v>1144.0788721673434</v>
      </c>
      <c r="AW23" s="42">
        <f t="shared" si="40"/>
        <v>1148.5265450200434</v>
      </c>
      <c r="AX23" s="42">
        <f t="shared" si="41"/>
        <v>941.29111740470933</v>
      </c>
      <c r="AY23" s="42">
        <f t="shared" si="42"/>
        <v>899.37834138803214</v>
      </c>
      <c r="AZ23" s="42">
        <f t="shared" si="43"/>
        <v>1106.3619074507178</v>
      </c>
      <c r="BA23" s="19">
        <f t="shared" si="44"/>
        <v>1104.0872070164646</v>
      </c>
      <c r="BB23" s="162">
        <f t="shared" si="45"/>
        <v>39.991665150878816</v>
      </c>
      <c r="BC23" s="19" t="s">
        <v>76</v>
      </c>
      <c r="BE23" s="19">
        <f t="shared" si="46"/>
        <v>0.81648966285106184</v>
      </c>
      <c r="BF23" s="19">
        <f t="shared" si="47"/>
        <v>6.1180475208726529E-3</v>
      </c>
      <c r="BG23" s="19">
        <f t="shared" si="48"/>
        <v>0.2876618274196352</v>
      </c>
      <c r="BH23" s="19">
        <f t="shared" si="49"/>
        <v>8.1164646082315939E-2</v>
      </c>
      <c r="BI23" s="19">
        <f t="shared" si="50"/>
        <v>1.6924724810419933E-3</v>
      </c>
      <c r="BJ23" s="19">
        <f t="shared" si="51"/>
        <v>0.10597643130470447</v>
      </c>
      <c r="BK23" s="19">
        <f t="shared" si="52"/>
        <v>0.1353380853541398</v>
      </c>
      <c r="BL23" s="19">
        <f t="shared" si="53"/>
        <v>3.3484996999990961E-2</v>
      </c>
      <c r="BM23" s="19">
        <f t="shared" si="54"/>
        <v>5.2803397305198931E-3</v>
      </c>
      <c r="BN23" s="19">
        <f t="shared" si="55"/>
        <v>1.4732065097442826</v>
      </c>
      <c r="BO23" s="19">
        <f t="shared" si="2"/>
        <v>0.55422621163463848</v>
      </c>
      <c r="BP23" s="19">
        <f t="shared" si="3"/>
        <v>4.1528784188814213E-3</v>
      </c>
      <c r="BQ23" s="19">
        <f t="shared" si="4"/>
        <v>0.19526239228305284</v>
      </c>
      <c r="BR23" s="184">
        <f t="shared" si="5"/>
        <v>5.5093868745125486E-2</v>
      </c>
      <c r="BS23" s="19">
        <f t="shared" si="6"/>
        <v>1.1488358691381093E-3</v>
      </c>
      <c r="BT23" s="184">
        <f t="shared" si="7"/>
        <v>7.1935896701338722E-2</v>
      </c>
      <c r="BU23" s="19">
        <f t="shared" si="8"/>
        <v>9.1866336768788526E-2</v>
      </c>
      <c r="BV23" s="19">
        <f t="shared" si="9"/>
        <v>2.2729330055569225E-2</v>
      </c>
      <c r="BW23" s="19">
        <f t="shared" si="10"/>
        <v>3.5842495234673162E-3</v>
      </c>
      <c r="BX23" s="19">
        <f t="shared" si="56"/>
        <v>1</v>
      </c>
      <c r="BY23" s="19">
        <f t="shared" si="57"/>
        <v>0.65912117177097207</v>
      </c>
      <c r="BZ23" s="19">
        <f t="shared" si="58"/>
        <v>5.006257822277847E-4</v>
      </c>
      <c r="CA23" s="19">
        <f t="shared" si="59"/>
        <v>1.1769321302471558E-3</v>
      </c>
      <c r="CB23" s="19">
        <f t="shared" si="60"/>
        <v>0.26026443980514963</v>
      </c>
      <c r="CC23" s="19">
        <f t="shared" si="61"/>
        <v>2.6783197067944743E-3</v>
      </c>
      <c r="CD23" s="19">
        <f t="shared" si="62"/>
        <v>1.0496277915632755</v>
      </c>
      <c r="CE23" s="19">
        <f t="shared" si="63"/>
        <v>5.8844507845934382E-3</v>
      </c>
      <c r="CF23" s="19">
        <f t="shared" si="64"/>
        <v>0</v>
      </c>
      <c r="CG23" s="19">
        <f t="shared" si="65"/>
        <v>0</v>
      </c>
      <c r="CH23" s="19">
        <f t="shared" si="66"/>
        <v>1.9792537315432599</v>
      </c>
      <c r="CI23" s="19">
        <f t="shared" si="11"/>
        <v>0.33301499513002986</v>
      </c>
      <c r="CJ23" s="19">
        <f t="shared" si="12"/>
        <v>2.5293663679867753E-4</v>
      </c>
      <c r="CK23" s="19">
        <f t="shared" si="13"/>
        <v>5.9463428639312484E-4</v>
      </c>
      <c r="CL23" s="19">
        <f t="shared" si="14"/>
        <v>0.13149624813500629</v>
      </c>
      <c r="CM23" s="19">
        <f t="shared" si="15"/>
        <v>1.3531967448691584E-3</v>
      </c>
      <c r="CN23" s="19">
        <f t="shared" si="16"/>
        <v>0.53031492366815536</v>
      </c>
      <c r="CO23" s="19">
        <f t="shared" si="17"/>
        <v>2.9730653987476512E-3</v>
      </c>
      <c r="CP23" s="19">
        <f t="shared" si="18"/>
        <v>0</v>
      </c>
      <c r="CQ23" s="19">
        <f t="shared" si="19"/>
        <v>0</v>
      </c>
      <c r="CR23" s="19">
        <f t="shared" si="67"/>
        <v>0.22004493808439085</v>
      </c>
      <c r="CS23" s="19">
        <f t="shared" si="68"/>
        <v>0.55422621163463848</v>
      </c>
      <c r="CT23" s="19">
        <f t="shared" si="69"/>
        <v>-0.78946720642569179</v>
      </c>
      <c r="CW23" s="19">
        <f t="shared" si="70"/>
        <v>13998.31485723504</v>
      </c>
      <c r="CX23" s="19">
        <f t="shared" si="71"/>
        <v>9.8772436351989228</v>
      </c>
      <c r="CY23" s="19">
        <f t="shared" si="72"/>
        <v>1417.2288721673433</v>
      </c>
      <c r="DA23" s="19">
        <f t="shared" si="73"/>
        <v>13602.905801982104</v>
      </c>
      <c r="DB23" s="19">
        <f t="shared" si="20"/>
        <v>9.8772436351989228</v>
      </c>
      <c r="DC23" s="19">
        <f t="shared" si="74"/>
        <v>1377.1965443381664</v>
      </c>
      <c r="DE23" s="19">
        <v>1280</v>
      </c>
      <c r="DF23" s="19">
        <f t="shared" si="75"/>
        <v>0.80000001192092896</v>
      </c>
      <c r="DG23" s="19">
        <f t="shared" si="76"/>
        <v>1</v>
      </c>
      <c r="DH23" s="19">
        <f t="shared" si="77"/>
        <v>-0.78946720642569179</v>
      </c>
      <c r="DI23" s="19">
        <f t="shared" si="78"/>
        <v>0.22004493808439085</v>
      </c>
      <c r="DJ23" s="19">
        <f t="shared" si="79"/>
        <v>0.55422621163463848</v>
      </c>
      <c r="DK23" s="19">
        <f t="shared" si="80"/>
        <v>7.4917697012395426</v>
      </c>
      <c r="DL23" s="19">
        <f t="shared" si="81"/>
        <v>13998.440005892509</v>
      </c>
      <c r="DM23" s="19">
        <f t="shared" si="82"/>
        <v>9.8770204080267874</v>
      </c>
      <c r="DN23" s="19">
        <f t="shared" si="83"/>
        <v>1144.123573163457</v>
      </c>
      <c r="DO23" s="19">
        <f t="shared" si="84"/>
        <v>1104.0922115221274</v>
      </c>
      <c r="DP23" s="19">
        <f t="shared" si="21"/>
        <v>1146.0122121277107</v>
      </c>
      <c r="DQ23" s="25">
        <f t="shared" si="85"/>
        <v>7.3720485597044938</v>
      </c>
      <c r="DR23" s="19">
        <f t="shared" si="22"/>
        <v>4.9746272450276949</v>
      </c>
      <c r="DS23" s="19">
        <f t="shared" si="86"/>
        <v>4474.0720006567244</v>
      </c>
      <c r="DT23" s="19">
        <f t="shared" si="87"/>
        <v>899.37834138803225</v>
      </c>
      <c r="DV23" s="19">
        <f t="shared" si="88"/>
        <v>9.9024955634954903</v>
      </c>
      <c r="DW23" s="19">
        <f t="shared" si="89"/>
        <v>1106.3619074507178</v>
      </c>
      <c r="DX23" s="19">
        <f t="shared" si="90"/>
        <v>1280</v>
      </c>
      <c r="DZ23" s="19">
        <f t="shared" si="91"/>
        <v>0.81648966285106184</v>
      </c>
      <c r="EA23" s="19">
        <f t="shared" si="92"/>
        <v>6.1180475208726529E-3</v>
      </c>
      <c r="EB23" s="19">
        <f t="shared" si="93"/>
        <v>0.1438309137098176</v>
      </c>
      <c r="EC23" s="19">
        <f t="shared" si="94"/>
        <v>8.1164646082315939E-2</v>
      </c>
      <c r="ED23" s="19">
        <f t="shared" si="95"/>
        <v>1.6924724810419933E-3</v>
      </c>
      <c r="EE23" s="19">
        <f t="shared" si="96"/>
        <v>0.10597643130470447</v>
      </c>
      <c r="EF23" s="19">
        <f t="shared" si="97"/>
        <v>0.1353380853541398</v>
      </c>
      <c r="EG23" s="19">
        <f t="shared" si="98"/>
        <v>1.6742498499995481E-2</v>
      </c>
      <c r="EH23" s="19">
        <f t="shared" si="99"/>
        <v>2.6401698652599465E-3</v>
      </c>
      <c r="EI23" s="19">
        <f t="shared" si="23"/>
        <v>1.3099929276692099</v>
      </c>
      <c r="EJ23" s="19">
        <f t="shared" si="100"/>
        <v>0.62327791670126942</v>
      </c>
      <c r="EK23" s="19">
        <f t="shared" si="24"/>
        <v>4.6702904967266656E-3</v>
      </c>
      <c r="EL23" s="19">
        <f t="shared" si="24"/>
        <v>0.1097951833722699</v>
      </c>
      <c r="EM23" s="19">
        <f t="shared" si="24"/>
        <v>6.1958079595686992E-2</v>
      </c>
      <c r="EN23" s="19">
        <f t="shared" si="24"/>
        <v>1.2919707009818029E-3</v>
      </c>
      <c r="EO23" s="19">
        <f t="shared" si="24"/>
        <v>8.0898475912585144E-2</v>
      </c>
      <c r="EP23" s="19">
        <f t="shared" si="24"/>
        <v>0.1033120732910662</v>
      </c>
      <c r="EQ23" s="19">
        <f t="shared" si="24"/>
        <v>1.2780602205070208E-2</v>
      </c>
      <c r="ER23" s="19">
        <f t="shared" si="24"/>
        <v>2.0154077243435494E-3</v>
      </c>
      <c r="ES23" s="19">
        <f t="shared" si="25"/>
        <v>0.99999999999999967</v>
      </c>
    </row>
    <row r="24" spans="1:149" ht="16.2">
      <c r="A24" s="19" t="s">
        <v>217</v>
      </c>
      <c r="B24" s="19" t="s">
        <v>77</v>
      </c>
      <c r="C24" s="185">
        <v>0.80000001192092896</v>
      </c>
      <c r="D24" s="177">
        <f t="shared" si="26"/>
        <v>904.10300216376118</v>
      </c>
      <c r="F24" s="179">
        <f t="shared" si="27"/>
        <v>-12.094052264501927</v>
      </c>
      <c r="G24" s="185">
        <v>50.625099182128899</v>
      </c>
      <c r="H24" s="185">
        <v>0.33407399058342002</v>
      </c>
      <c r="I24" s="185">
        <v>16.875</v>
      </c>
      <c r="J24" s="185">
        <v>5.0196800231933603</v>
      </c>
      <c r="K24" s="185">
        <v>0.119924001395702</v>
      </c>
      <c r="L24" s="185">
        <v>3.16085004806519</v>
      </c>
      <c r="M24" s="185">
        <v>7.0412502288818404</v>
      </c>
      <c r="N24" s="185">
        <v>1.91877996921539</v>
      </c>
      <c r="O24" s="185">
        <v>0.616752028465271</v>
      </c>
      <c r="P24" s="185">
        <v>3.4263998270034797E-2</v>
      </c>
      <c r="Q24" s="185">
        <v>0</v>
      </c>
      <c r="R24" s="185">
        <v>14.3400001525879</v>
      </c>
      <c r="S24" s="19">
        <f t="shared" si="28"/>
        <v>85.745673470199108</v>
      </c>
      <c r="U24" s="40">
        <f t="shared" si="29"/>
        <v>1077.5303562641145</v>
      </c>
      <c r="V24" s="40">
        <f t="shared" si="30"/>
        <v>889.70519619438164</v>
      </c>
      <c r="W24" s="40">
        <f t="shared" si="31"/>
        <v>911.71994752269688</v>
      </c>
      <c r="X24" s="40">
        <f t="shared" si="0"/>
        <v>1029.6266581215939</v>
      </c>
      <c r="Y24" s="40">
        <f t="shared" si="32"/>
        <v>1077.5330859661103</v>
      </c>
      <c r="Z24" s="40">
        <f t="shared" si="33"/>
        <v>1084.8847537994386</v>
      </c>
      <c r="AB24" s="39">
        <v>39.799999999999997</v>
      </c>
      <c r="AC24" s="39">
        <v>0.05</v>
      </c>
      <c r="AD24" s="39">
        <v>0.06</v>
      </c>
      <c r="AE24" s="39">
        <v>17.2</v>
      </c>
      <c r="AF24" s="39">
        <v>0.22</v>
      </c>
      <c r="AG24" s="39">
        <v>43.1</v>
      </c>
      <c r="AH24" s="39">
        <v>0.38</v>
      </c>
      <c r="AI24" s="39">
        <v>0</v>
      </c>
      <c r="AJ24" s="39">
        <v>0</v>
      </c>
      <c r="AK24" s="39">
        <v>0</v>
      </c>
      <c r="AL24" s="39">
        <v>0</v>
      </c>
      <c r="AM24" s="39">
        <v>0</v>
      </c>
      <c r="AO24" s="41">
        <f t="shared" si="34"/>
        <v>52.889375939184042</v>
      </c>
      <c r="AP24" s="41">
        <f t="shared" si="35"/>
        <v>81.710311235535556</v>
      </c>
      <c r="AQ24" s="44"/>
      <c r="AR24" s="42">
        <f t="shared" si="1"/>
        <v>0.25129221581313516</v>
      </c>
      <c r="AS24" s="181">
        <f t="shared" si="36"/>
        <v>0.34705661054968612</v>
      </c>
      <c r="AT24" s="41">
        <f t="shared" si="37"/>
        <v>10.509490769316102</v>
      </c>
      <c r="AU24" s="41">
        <f t="shared" si="38"/>
        <v>10.185397699355986</v>
      </c>
      <c r="AV24" s="42">
        <f t="shared" si="39"/>
        <v>1103.7616567588871</v>
      </c>
      <c r="AW24" s="42">
        <f t="shared" si="40"/>
        <v>1109.3481661228154</v>
      </c>
      <c r="AX24" s="42">
        <f t="shared" si="41"/>
        <v>904.10300216376118</v>
      </c>
      <c r="AY24" s="42">
        <f t="shared" si="42"/>
        <v>848.7235382697603</v>
      </c>
      <c r="AZ24" s="42">
        <f t="shared" si="43"/>
        <v>1040.1641202416695</v>
      </c>
      <c r="BA24" s="19">
        <f t="shared" si="44"/>
        <v>1064.9068110579451</v>
      </c>
      <c r="BB24" s="162">
        <f t="shared" si="45"/>
        <v>38.854845700941951</v>
      </c>
      <c r="BC24" s="19" t="s">
        <v>76</v>
      </c>
      <c r="BE24" s="19">
        <f t="shared" si="46"/>
        <v>0.8426281488370323</v>
      </c>
      <c r="BF24" s="19">
        <f t="shared" si="47"/>
        <v>4.181151321444556E-3</v>
      </c>
      <c r="BG24" s="19">
        <f t="shared" si="48"/>
        <v>0.33101216163201258</v>
      </c>
      <c r="BH24" s="19">
        <f t="shared" si="49"/>
        <v>6.9863326697193612E-2</v>
      </c>
      <c r="BI24" s="19">
        <f t="shared" si="50"/>
        <v>1.6904990329250353E-3</v>
      </c>
      <c r="BJ24" s="19">
        <f t="shared" si="51"/>
        <v>7.84330036740742E-2</v>
      </c>
      <c r="BK24" s="19">
        <f t="shared" si="52"/>
        <v>0.1255572437389772</v>
      </c>
      <c r="BL24" s="19">
        <f t="shared" si="53"/>
        <v>6.1916100975004516E-2</v>
      </c>
      <c r="BM24" s="19">
        <f t="shared" si="54"/>
        <v>1.3094522897351826E-2</v>
      </c>
      <c r="BN24" s="19">
        <f t="shared" si="55"/>
        <v>1.5283761588060154</v>
      </c>
      <c r="BO24" s="19">
        <f t="shared" si="2"/>
        <v>0.55132248954688146</v>
      </c>
      <c r="BP24" s="19">
        <f t="shared" si="3"/>
        <v>2.7356821142191321E-3</v>
      </c>
      <c r="BQ24" s="19">
        <f t="shared" si="4"/>
        <v>0.21657767933949126</v>
      </c>
      <c r="BR24" s="184">
        <f t="shared" si="5"/>
        <v>4.571081948292862E-2</v>
      </c>
      <c r="BS24" s="19">
        <f t="shared" si="6"/>
        <v>1.1060752440980707E-3</v>
      </c>
      <c r="BT24" s="184">
        <f t="shared" si="7"/>
        <v>5.1317866496521994E-2</v>
      </c>
      <c r="BU24" s="19">
        <f t="shared" si="8"/>
        <v>8.2150747390003734E-2</v>
      </c>
      <c r="BV24" s="19">
        <f t="shared" si="9"/>
        <v>4.0511035597005168E-2</v>
      </c>
      <c r="BW24" s="19">
        <f t="shared" si="10"/>
        <v>8.5676047888508106E-3</v>
      </c>
      <c r="BX24" s="19">
        <f t="shared" si="56"/>
        <v>1.0000000000000004</v>
      </c>
      <c r="BY24" s="19">
        <f t="shared" si="57"/>
        <v>0.66245006657789607</v>
      </c>
      <c r="BZ24" s="19">
        <f t="shared" si="58"/>
        <v>6.2578222778473093E-4</v>
      </c>
      <c r="CA24" s="19">
        <f t="shared" si="59"/>
        <v>1.1769321302471558E-3</v>
      </c>
      <c r="CB24" s="19">
        <f t="shared" si="60"/>
        <v>0.23938761308281142</v>
      </c>
      <c r="CC24" s="19">
        <f t="shared" si="61"/>
        <v>3.1012122920778123E-3</v>
      </c>
      <c r="CD24" s="19">
        <f t="shared" si="62"/>
        <v>1.0694789081885858</v>
      </c>
      <c r="CE24" s="19">
        <f t="shared" si="63"/>
        <v>6.7760342368045649E-3</v>
      </c>
      <c r="CF24" s="19">
        <f t="shared" si="64"/>
        <v>0</v>
      </c>
      <c r="CG24" s="19">
        <f t="shared" si="65"/>
        <v>0</v>
      </c>
      <c r="CH24" s="19">
        <f t="shared" si="66"/>
        <v>1.9829965487362078</v>
      </c>
      <c r="CI24" s="19">
        <f t="shared" si="11"/>
        <v>0.33406516365350458</v>
      </c>
      <c r="CJ24" s="19">
        <f t="shared" si="12"/>
        <v>3.1557403777810454E-4</v>
      </c>
      <c r="CK24" s="19">
        <f t="shared" si="13"/>
        <v>5.9351194080354381E-4</v>
      </c>
      <c r="CL24" s="19">
        <f t="shared" si="14"/>
        <v>0.12072013601605942</v>
      </c>
      <c r="CM24" s="19">
        <f t="shared" si="15"/>
        <v>1.5639020118589008E-3</v>
      </c>
      <c r="CN24" s="19">
        <f t="shared" si="16"/>
        <v>0.53932464424619397</v>
      </c>
      <c r="CO24" s="19">
        <f t="shared" si="17"/>
        <v>3.4170680938012872E-3</v>
      </c>
      <c r="CP24" s="19">
        <f t="shared" si="18"/>
        <v>0</v>
      </c>
      <c r="CQ24" s="19">
        <f t="shared" si="19"/>
        <v>0</v>
      </c>
      <c r="CR24" s="19">
        <f t="shared" si="67"/>
        <v>0.18028550861355241</v>
      </c>
      <c r="CS24" s="19">
        <f t="shared" si="68"/>
        <v>0.55132248954688146</v>
      </c>
      <c r="CT24" s="19">
        <f t="shared" si="69"/>
        <v>-0.87346779794124207</v>
      </c>
      <c r="CW24" s="19">
        <f t="shared" si="70"/>
        <v>13998.31485723504</v>
      </c>
      <c r="CX24" s="19">
        <f t="shared" si="71"/>
        <v>10.16645823900255</v>
      </c>
      <c r="CY24" s="19">
        <f t="shared" si="72"/>
        <v>1376.9116567588871</v>
      </c>
      <c r="DA24" s="19">
        <f t="shared" si="73"/>
        <v>13602.905801982104</v>
      </c>
      <c r="DB24" s="19">
        <f t="shared" si="20"/>
        <v>10.16645823900255</v>
      </c>
      <c r="DC24" s="19">
        <f t="shared" si="74"/>
        <v>1338.0181654409382</v>
      </c>
      <c r="DE24" s="19">
        <v>1280</v>
      </c>
      <c r="DF24" s="19">
        <f t="shared" si="75"/>
        <v>0.80000001192092896</v>
      </c>
      <c r="DG24" s="19">
        <f t="shared" si="76"/>
        <v>1</v>
      </c>
      <c r="DH24" s="19">
        <f t="shared" si="77"/>
        <v>-0.87346779794124207</v>
      </c>
      <c r="DI24" s="19">
        <f t="shared" si="78"/>
        <v>0.18028550861355241</v>
      </c>
      <c r="DJ24" s="19">
        <f t="shared" si="79"/>
        <v>0.55132248954688146</v>
      </c>
      <c r="DK24" s="19">
        <f t="shared" si="80"/>
        <v>10.185397699355986</v>
      </c>
      <c r="DL24" s="19">
        <f t="shared" si="81"/>
        <v>13998.440005892509</v>
      </c>
      <c r="DM24" s="19">
        <f t="shared" si="82"/>
        <v>10.166235011830414</v>
      </c>
      <c r="DN24" s="19">
        <f t="shared" si="83"/>
        <v>1103.8042008032048</v>
      </c>
      <c r="DO24" s="19">
        <f t="shared" si="84"/>
        <v>1064.9116731926983</v>
      </c>
      <c r="DP24" s="19">
        <f t="shared" si="21"/>
        <v>1106.8316737982816</v>
      </c>
      <c r="DQ24" s="25">
        <f t="shared" si="85"/>
        <v>10.509490769316102</v>
      </c>
      <c r="DR24" s="19">
        <f t="shared" si="22"/>
        <v>5.2715304794983489</v>
      </c>
      <c r="DS24" s="19">
        <f t="shared" si="86"/>
        <v>4474.0720006567244</v>
      </c>
      <c r="DT24" s="19">
        <f t="shared" si="87"/>
        <v>848.72353826976018</v>
      </c>
      <c r="DV24" s="19">
        <f t="shared" si="88"/>
        <v>14.153987860447476</v>
      </c>
      <c r="DW24" s="19">
        <f t="shared" si="89"/>
        <v>1040.1641202416695</v>
      </c>
      <c r="DX24" s="19">
        <f t="shared" si="90"/>
        <v>1280</v>
      </c>
      <c r="DZ24" s="19">
        <f t="shared" si="91"/>
        <v>0.8426281488370323</v>
      </c>
      <c r="EA24" s="19">
        <f t="shared" si="92"/>
        <v>4.181151321444556E-3</v>
      </c>
      <c r="EB24" s="19">
        <f t="shared" si="93"/>
        <v>0.16550608081600629</v>
      </c>
      <c r="EC24" s="19">
        <f t="shared" si="94"/>
        <v>6.9863326697193612E-2</v>
      </c>
      <c r="ED24" s="19">
        <f t="shared" si="95"/>
        <v>1.6904990329250353E-3</v>
      </c>
      <c r="EE24" s="19">
        <f t="shared" si="96"/>
        <v>7.84330036740742E-2</v>
      </c>
      <c r="EF24" s="19">
        <f t="shared" si="97"/>
        <v>0.1255572437389772</v>
      </c>
      <c r="EG24" s="19">
        <f t="shared" si="98"/>
        <v>3.0958050487502258E-2</v>
      </c>
      <c r="EH24" s="19">
        <f t="shared" si="99"/>
        <v>6.5472614486759128E-3</v>
      </c>
      <c r="EI24" s="19">
        <f t="shared" si="23"/>
        <v>1.325364766053831</v>
      </c>
      <c r="EJ24" s="19">
        <f t="shared" si="100"/>
        <v>0.63577074811328438</v>
      </c>
      <c r="EK24" s="19">
        <f t="shared" si="24"/>
        <v>3.1547174246178309E-3</v>
      </c>
      <c r="EL24" s="19">
        <f t="shared" si="24"/>
        <v>0.12487587195243434</v>
      </c>
      <c r="EM24" s="19">
        <f t="shared" si="24"/>
        <v>5.2712527514373386E-2</v>
      </c>
      <c r="EN24" s="19">
        <f t="shared" si="24"/>
        <v>1.2754971885651999E-3</v>
      </c>
      <c r="EO24" s="19">
        <f t="shared" si="24"/>
        <v>5.9178428220634141E-2</v>
      </c>
      <c r="EP24" s="19">
        <f t="shared" si="24"/>
        <v>9.4734104115966486E-2</v>
      </c>
      <c r="EQ24" s="19">
        <f t="shared" si="24"/>
        <v>2.3358136024452657E-2</v>
      </c>
      <c r="ER24" s="19">
        <f t="shared" si="24"/>
        <v>4.9399694456718256E-3</v>
      </c>
      <c r="ES24" s="19">
        <f t="shared" si="25"/>
        <v>1.0000000000000002</v>
      </c>
    </row>
    <row r="25" spans="1:149" ht="16.2">
      <c r="A25" s="19" t="s">
        <v>217</v>
      </c>
      <c r="B25" s="19" t="s">
        <v>78</v>
      </c>
      <c r="C25" s="185">
        <v>0.20000000298023199</v>
      </c>
      <c r="D25" s="177">
        <f t="shared" si="26"/>
        <v>1050.3787185791655</v>
      </c>
      <c r="F25" s="179">
        <f t="shared" si="27"/>
        <v>-10.247486338323707</v>
      </c>
      <c r="G25" s="185">
        <v>51.4033012390137</v>
      </c>
      <c r="H25" s="185">
        <v>0.66387999057769798</v>
      </c>
      <c r="I25" s="185">
        <v>18.019599914550799</v>
      </c>
      <c r="J25" s="185">
        <v>5.9843997955322301</v>
      </c>
      <c r="K25" s="185">
        <v>0.14226000010967299</v>
      </c>
      <c r="L25" s="185">
        <v>5.3489799499511701</v>
      </c>
      <c r="M25" s="185">
        <v>9.7685203552246094</v>
      </c>
      <c r="N25" s="185">
        <v>3.0728199481964098</v>
      </c>
      <c r="O25" s="185">
        <v>0.407811999320984</v>
      </c>
      <c r="P25" s="185">
        <v>9.4839995726942999E-3</v>
      </c>
      <c r="Q25" s="185">
        <v>0</v>
      </c>
      <c r="R25" s="185">
        <v>5.1599998474121103</v>
      </c>
      <c r="S25" s="19">
        <f t="shared" si="28"/>
        <v>94.821057192049963</v>
      </c>
      <c r="U25" s="40">
        <f t="shared" si="29"/>
        <v>1135.0781726837158</v>
      </c>
      <c r="V25" s="40">
        <f t="shared" si="30"/>
        <v>1069.3859404243469</v>
      </c>
      <c r="W25" s="40">
        <f t="shared" si="31"/>
        <v>1076.9325739758017</v>
      </c>
      <c r="X25" s="40">
        <f t="shared" si="0"/>
        <v>1084.54343233893</v>
      </c>
      <c r="Y25" s="40">
        <f t="shared" si="32"/>
        <v>1121.5144969940186</v>
      </c>
      <c r="Z25" s="40">
        <f t="shared" si="33"/>
        <v>1130.1574378967284</v>
      </c>
      <c r="AB25" s="39">
        <v>39.700000000000003</v>
      </c>
      <c r="AC25" s="39">
        <v>0.03</v>
      </c>
      <c r="AD25" s="39">
        <v>0.06</v>
      </c>
      <c r="AE25" s="39">
        <v>16.899999999999999</v>
      </c>
      <c r="AF25" s="39">
        <v>0.2</v>
      </c>
      <c r="AG25" s="39">
        <v>44</v>
      </c>
      <c r="AH25" s="39">
        <v>0.33</v>
      </c>
      <c r="AI25" s="39">
        <v>0</v>
      </c>
      <c r="AJ25" s="39">
        <v>0</v>
      </c>
      <c r="AK25" s="39">
        <v>0</v>
      </c>
      <c r="AL25" s="39">
        <v>0</v>
      </c>
      <c r="AM25" s="39">
        <v>0</v>
      </c>
      <c r="AO25" s="41">
        <f t="shared" si="34"/>
        <v>61.443159287348657</v>
      </c>
      <c r="AP25" s="41">
        <f t="shared" si="35"/>
        <v>82.275203189615013</v>
      </c>
      <c r="AQ25" s="44"/>
      <c r="AR25" s="42">
        <f t="shared" si="1"/>
        <v>0.34330837542298098</v>
      </c>
      <c r="AS25" s="181">
        <f t="shared" si="36"/>
        <v>0.2989046781491389</v>
      </c>
      <c r="AT25" s="41">
        <f t="shared" si="37"/>
        <v>7.0703138274582367</v>
      </c>
      <c r="AU25" s="41">
        <f t="shared" si="38"/>
        <v>7.2185235502824332</v>
      </c>
      <c r="AV25" s="42">
        <f t="shared" si="39"/>
        <v>1137.2003816273009</v>
      </c>
      <c r="AW25" s="42">
        <f t="shared" si="40"/>
        <v>1137.9091018162731</v>
      </c>
      <c r="AX25" s="42">
        <f t="shared" si="41"/>
        <v>1050.3787185791655</v>
      </c>
      <c r="AY25" s="42">
        <f t="shared" si="42"/>
        <v>1043.3591783760082</v>
      </c>
      <c r="AZ25" s="42">
        <f t="shared" si="43"/>
        <v>1075.7095823452178</v>
      </c>
      <c r="BA25" s="19">
        <f t="shared" si="44"/>
        <v>1127.0709709813864</v>
      </c>
      <c r="BB25" s="162">
        <f t="shared" si="45"/>
        <v>10.129410645914504</v>
      </c>
      <c r="BC25" s="19" t="s">
        <v>76</v>
      </c>
      <c r="BE25" s="19">
        <f t="shared" si="46"/>
        <v>0.85558091276653969</v>
      </c>
      <c r="BF25" s="19">
        <f t="shared" si="47"/>
        <v>8.3088859897083589E-3</v>
      </c>
      <c r="BG25" s="19">
        <f t="shared" si="48"/>
        <v>0.35346410189389565</v>
      </c>
      <c r="BH25" s="19">
        <f t="shared" si="49"/>
        <v>8.3290185045681711E-2</v>
      </c>
      <c r="BI25" s="19">
        <f t="shared" si="50"/>
        <v>2.0053566409595856E-3</v>
      </c>
      <c r="BJ25" s="19">
        <f t="shared" si="51"/>
        <v>0.13272903101615807</v>
      </c>
      <c r="BK25" s="19">
        <f t="shared" si="52"/>
        <v>0.17418902202611644</v>
      </c>
      <c r="BL25" s="19">
        <f t="shared" si="53"/>
        <v>9.9155209686879964E-2</v>
      </c>
      <c r="BM25" s="19">
        <f t="shared" si="54"/>
        <v>8.658428860318132E-3</v>
      </c>
      <c r="BN25" s="19">
        <f t="shared" si="55"/>
        <v>1.7173811339262577</v>
      </c>
      <c r="BO25" s="19">
        <f t="shared" si="2"/>
        <v>0.49818930455496507</v>
      </c>
      <c r="BP25" s="19">
        <f t="shared" si="3"/>
        <v>4.8381141643920799E-3</v>
      </c>
      <c r="BQ25" s="19">
        <f t="shared" si="4"/>
        <v>0.20581575918783382</v>
      </c>
      <c r="BR25" s="184">
        <f t="shared" si="5"/>
        <v>4.849836963986242E-2</v>
      </c>
      <c r="BS25" s="19">
        <f t="shared" si="6"/>
        <v>1.1676829338255052E-3</v>
      </c>
      <c r="BT25" s="184">
        <f t="shared" si="7"/>
        <v>7.7285716253744113E-2</v>
      </c>
      <c r="BU25" s="19">
        <f t="shared" si="8"/>
        <v>0.10142711980763841</v>
      </c>
      <c r="BV25" s="19">
        <f t="shared" si="9"/>
        <v>5.7736286796275925E-2</v>
      </c>
      <c r="BW25" s="19">
        <f t="shared" si="10"/>
        <v>5.0416466614625769E-3</v>
      </c>
      <c r="BX25" s="19">
        <f t="shared" si="56"/>
        <v>1</v>
      </c>
      <c r="BY25" s="19">
        <f t="shared" si="57"/>
        <v>0.66078561917443412</v>
      </c>
      <c r="BZ25" s="19">
        <f t="shared" si="58"/>
        <v>3.7546933667083853E-4</v>
      </c>
      <c r="CA25" s="19">
        <f t="shared" si="59"/>
        <v>1.1769321302471558E-3</v>
      </c>
      <c r="CB25" s="19">
        <f t="shared" si="60"/>
        <v>0.23521224773834376</v>
      </c>
      <c r="CC25" s="19">
        <f t="shared" si="61"/>
        <v>2.8192839018889204E-3</v>
      </c>
      <c r="CD25" s="19">
        <f t="shared" si="62"/>
        <v>1.0918114143920596</v>
      </c>
      <c r="CE25" s="19">
        <f t="shared" si="63"/>
        <v>5.8844507845934382E-3</v>
      </c>
      <c r="CF25" s="19">
        <f t="shared" si="64"/>
        <v>0</v>
      </c>
      <c r="CG25" s="19">
        <f t="shared" si="65"/>
        <v>0</v>
      </c>
      <c r="CH25" s="19">
        <f t="shared" si="66"/>
        <v>1.998065417458238</v>
      </c>
      <c r="CI25" s="19">
        <f t="shared" si="11"/>
        <v>0.33071270510002976</v>
      </c>
      <c r="CJ25" s="19">
        <f t="shared" si="12"/>
        <v>1.8791643826580884E-4</v>
      </c>
      <c r="CK25" s="19">
        <f t="shared" si="13"/>
        <v>5.890358343443754E-4</v>
      </c>
      <c r="CL25" s="19">
        <f t="shared" si="14"/>
        <v>0.11771999339118734</v>
      </c>
      <c r="CM25" s="19">
        <f t="shared" si="15"/>
        <v>1.4110068055105843E-3</v>
      </c>
      <c r="CN25" s="19">
        <f t="shared" si="16"/>
        <v>0.54643426829386077</v>
      </c>
      <c r="CO25" s="19">
        <f t="shared" si="17"/>
        <v>2.9450741368013443E-3</v>
      </c>
      <c r="CP25" s="19">
        <f t="shared" si="18"/>
        <v>0</v>
      </c>
      <c r="CQ25" s="19">
        <f t="shared" si="19"/>
        <v>0</v>
      </c>
      <c r="CR25" s="19">
        <f t="shared" si="67"/>
        <v>0.22837888863507044</v>
      </c>
      <c r="CS25" s="19">
        <f t="shared" si="68"/>
        <v>0.49818930455496507</v>
      </c>
      <c r="CT25" s="19">
        <f t="shared" si="69"/>
        <v>-0.84048830172310918</v>
      </c>
      <c r="CW25" s="19">
        <f t="shared" si="70"/>
        <v>13701.720991562681</v>
      </c>
      <c r="CX25" s="19">
        <f t="shared" si="71"/>
        <v>9.7151184344370218</v>
      </c>
      <c r="CY25" s="19">
        <f t="shared" si="72"/>
        <v>1410.350381627301</v>
      </c>
      <c r="DA25" s="19">
        <f t="shared" si="73"/>
        <v>13602.905801982104</v>
      </c>
      <c r="DB25" s="19">
        <f t="shared" si="20"/>
        <v>9.7151184344370218</v>
      </c>
      <c r="DC25" s="19">
        <f t="shared" si="74"/>
        <v>1400.1791016529562</v>
      </c>
      <c r="DE25" s="19">
        <v>1290</v>
      </c>
      <c r="DF25" s="19">
        <f t="shared" si="75"/>
        <v>0.20000000298023199</v>
      </c>
      <c r="DG25" s="19">
        <f t="shared" si="76"/>
        <v>1</v>
      </c>
      <c r="DH25" s="19">
        <f t="shared" si="77"/>
        <v>-0.84048830172310918</v>
      </c>
      <c r="DI25" s="19">
        <f t="shared" si="78"/>
        <v>0.22837888863507044</v>
      </c>
      <c r="DJ25" s="19">
        <f t="shared" si="79"/>
        <v>0.49818930455496507</v>
      </c>
      <c r="DK25" s="19">
        <f t="shared" si="80"/>
        <v>7.2185235502824332</v>
      </c>
      <c r="DL25" s="19">
        <f t="shared" si="81"/>
        <v>13701.860001473124</v>
      </c>
      <c r="DM25" s="19">
        <f t="shared" si="82"/>
        <v>9.7148952072648864</v>
      </c>
      <c r="DN25" s="19">
        <f t="shared" si="83"/>
        <v>1137.2470973589861</v>
      </c>
      <c r="DO25" s="19">
        <f t="shared" si="84"/>
        <v>1127.0760590343284</v>
      </c>
      <c r="DP25" s="19">
        <f t="shared" si="21"/>
        <v>1137.7960591928768</v>
      </c>
      <c r="DQ25" s="25">
        <f t="shared" si="85"/>
        <v>7.0703138274582367</v>
      </c>
      <c r="DR25" s="19">
        <f t="shared" si="22"/>
        <v>4.2564613339354898</v>
      </c>
      <c r="DS25" s="19">
        <f t="shared" si="86"/>
        <v>4441.0180001641811</v>
      </c>
      <c r="DT25" s="19">
        <f t="shared" si="87"/>
        <v>1043.3591783760085</v>
      </c>
      <c r="DV25" s="19">
        <f t="shared" si="88"/>
        <v>10.017088051636733</v>
      </c>
      <c r="DW25" s="19">
        <f t="shared" si="89"/>
        <v>1075.7095823452178</v>
      </c>
      <c r="DX25" s="19">
        <f t="shared" si="90"/>
        <v>1290</v>
      </c>
      <c r="DZ25" s="19">
        <f t="shared" si="91"/>
        <v>0.85558091276653969</v>
      </c>
      <c r="EA25" s="19">
        <f t="shared" si="92"/>
        <v>8.3088859897083589E-3</v>
      </c>
      <c r="EB25" s="19">
        <f t="shared" si="93"/>
        <v>0.17673205094694783</v>
      </c>
      <c r="EC25" s="19">
        <f t="shared" si="94"/>
        <v>8.3290185045681711E-2</v>
      </c>
      <c r="ED25" s="19">
        <f t="shared" si="95"/>
        <v>2.0053566409595856E-3</v>
      </c>
      <c r="EE25" s="19">
        <f t="shared" si="96"/>
        <v>0.13272903101615807</v>
      </c>
      <c r="EF25" s="19">
        <f t="shared" si="97"/>
        <v>0.17418902202611644</v>
      </c>
      <c r="EG25" s="19">
        <f t="shared" si="98"/>
        <v>4.9577604843439982E-2</v>
      </c>
      <c r="EH25" s="19">
        <f t="shared" si="99"/>
        <v>4.329214430159066E-3</v>
      </c>
      <c r="EI25" s="19">
        <f t="shared" si="23"/>
        <v>1.4867422637057106</v>
      </c>
      <c r="EJ25" s="19">
        <f t="shared" si="100"/>
        <v>0.57547359327365932</v>
      </c>
      <c r="EK25" s="19">
        <f t="shared" si="24"/>
        <v>5.5886525812472903E-3</v>
      </c>
      <c r="EL25" s="19">
        <f t="shared" si="24"/>
        <v>0.11887201652991457</v>
      </c>
      <c r="EM25" s="19">
        <f t="shared" si="24"/>
        <v>5.6021939430228221E-2</v>
      </c>
      <c r="EN25" s="19">
        <f t="shared" si="24"/>
        <v>1.3488260137041015E-3</v>
      </c>
      <c r="EO25" s="19">
        <f t="shared" si="24"/>
        <v>8.9275077635400282E-2</v>
      </c>
      <c r="EP25" s="19">
        <f t="shared" si="24"/>
        <v>0.11716154593732317</v>
      </c>
      <c r="EQ25" s="19">
        <f t="shared" si="24"/>
        <v>3.3346469024071207E-2</v>
      </c>
      <c r="ER25" s="19">
        <f t="shared" si="24"/>
        <v>2.9118795744519179E-3</v>
      </c>
      <c r="ES25" s="19">
        <f t="shared" si="25"/>
        <v>1.0000000000000002</v>
      </c>
    </row>
    <row r="26" spans="1:149" customFormat="1" ht="16.2"/>
    <row r="27" spans="1:149" customFormat="1" ht="16.2"/>
    <row r="28" spans="1:149" customFormat="1" ht="16.2">
      <c r="D28">
        <v>1100</v>
      </c>
      <c r="F28">
        <f>5.5976-24505/(D28+273.15)+0.8099*LOG(D28+273.15)+0.0937*(C16*10*1000-1)/(273.15+D28)+$F$14</f>
        <v>-9.5705848463335403</v>
      </c>
      <c r="G28">
        <f>0.0583+0.00252*G16+0.028*C16-0.0091*(N16+O16)-0.013383*F28</f>
        <v>0.29478798733241074</v>
      </c>
    </row>
    <row r="29" spans="1:149" customFormat="1" ht="16.2"/>
    <row r="30" spans="1:149" customFormat="1" ht="16.2"/>
    <row r="31" spans="1:149" customFormat="1" ht="16.2"/>
    <row r="32" spans="1:149" customFormat="1" ht="16.2"/>
    <row r="33" customFormat="1" ht="16.2"/>
    <row r="34" customFormat="1" ht="16.2"/>
    <row r="35" customFormat="1" ht="16.2"/>
    <row r="36" customFormat="1" ht="16.2"/>
    <row r="37" customFormat="1" ht="16.2"/>
    <row r="38" customFormat="1" ht="16.2"/>
    <row r="39" customFormat="1" ht="16.2"/>
    <row r="40" customFormat="1" ht="16.2"/>
    <row r="41" customFormat="1" ht="16.2"/>
    <row r="42" customFormat="1" ht="16.2"/>
    <row r="43" customFormat="1" ht="16.2"/>
  </sheetData>
  <phoneticPr fontId="4"/>
  <pageMargins left="0.75" right="0.75" top="1" bottom="1" header="0.5" footer="0.5"/>
  <pageSetup orientation="portrait" horizontalDpi="4294967292" verticalDpi="4294967292"/>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162"/>
  <sheetViews>
    <sheetView workbookViewId="0">
      <selection activeCell="B3" sqref="B3:D4"/>
    </sheetView>
  </sheetViews>
  <sheetFormatPr defaultColWidth="11.15234375" defaultRowHeight="16.2"/>
  <cols>
    <col min="1" max="2" width="11.15234375" customWidth="1"/>
    <col min="3" max="3" width="12.61328125" customWidth="1"/>
    <col min="4" max="4" width="11.15234375" customWidth="1"/>
    <col min="5" max="5" width="6.15234375" customWidth="1"/>
    <col min="6" max="9" width="11.15234375" customWidth="1"/>
    <col min="10" max="10" width="3.84375" customWidth="1"/>
  </cols>
  <sheetData>
    <row r="1" spans="1:14" ht="22.8">
      <c r="A1" s="17" t="s">
        <v>188</v>
      </c>
    </row>
    <row r="3" spans="1:14" ht="18" thickBot="1">
      <c r="B3" s="9" t="s">
        <v>19</v>
      </c>
      <c r="C3" s="10"/>
      <c r="D3" s="11"/>
    </row>
    <row r="4" spans="1:14" ht="18" thickBot="1">
      <c r="B4" s="12"/>
      <c r="C4" s="16">
        <v>0.3</v>
      </c>
      <c r="D4" s="13"/>
    </row>
    <row r="5" spans="1:14" ht="18" thickBot="1">
      <c r="B5" s="9" t="s">
        <v>180</v>
      </c>
      <c r="C5" s="15"/>
      <c r="D5" s="11"/>
      <c r="G5" s="7" t="s">
        <v>181</v>
      </c>
      <c r="L5" s="7" t="s">
        <v>182</v>
      </c>
    </row>
    <row r="6" spans="1:14" ht="18" thickBot="1">
      <c r="B6" s="14"/>
      <c r="C6" s="16">
        <v>0.03</v>
      </c>
      <c r="D6" s="13"/>
      <c r="G6" s="8">
        <f>C4-C6</f>
        <v>0.27</v>
      </c>
      <c r="L6" s="8">
        <f>C4+C6</f>
        <v>0.32999999999999996</v>
      </c>
    </row>
    <row r="7" spans="1:14">
      <c r="A7" s="7"/>
      <c r="B7" s="7"/>
    </row>
    <row r="8" spans="1:14">
      <c r="C8" t="s">
        <v>8</v>
      </c>
      <c r="D8" t="s">
        <v>8</v>
      </c>
      <c r="H8" t="s">
        <v>8</v>
      </c>
      <c r="I8" t="s">
        <v>8</v>
      </c>
      <c r="M8" t="s">
        <v>8</v>
      </c>
      <c r="N8" t="s">
        <v>8</v>
      </c>
    </row>
    <row r="9" spans="1:14">
      <c r="A9" s="2" t="s">
        <v>183</v>
      </c>
      <c r="B9" s="2" t="s">
        <v>184</v>
      </c>
      <c r="C9" s="2" t="s">
        <v>185</v>
      </c>
      <c r="D9" s="2" t="s">
        <v>186</v>
      </c>
      <c r="F9" s="2" t="s">
        <v>183</v>
      </c>
      <c r="G9" s="2" t="s">
        <v>184</v>
      </c>
      <c r="H9" s="2" t="s">
        <v>185</v>
      </c>
      <c r="I9" s="2" t="s">
        <v>186</v>
      </c>
      <c r="K9" s="2" t="s">
        <v>183</v>
      </c>
      <c r="L9" s="2" t="s">
        <v>184</v>
      </c>
      <c r="M9" s="2" t="s">
        <v>185</v>
      </c>
      <c r="N9" s="2" t="s">
        <v>186</v>
      </c>
    </row>
    <row r="10" spans="1:14">
      <c r="A10">
        <v>0</v>
      </c>
      <c r="B10">
        <f t="shared" ref="B10:B41" si="0">$C$4*A10</f>
        <v>0</v>
      </c>
      <c r="C10" s="7">
        <f>100*B10/(B10+1)</f>
        <v>0</v>
      </c>
      <c r="D10" s="7">
        <f>100*A10/(A10+1)</f>
        <v>0</v>
      </c>
      <c r="F10">
        <f>A10</f>
        <v>0</v>
      </c>
      <c r="G10">
        <f t="shared" ref="G10:G41" si="1">$G$6*A10</f>
        <v>0</v>
      </c>
      <c r="H10" s="7">
        <f t="shared" ref="H10:H40" si="2">100*G10/(G10+1)</f>
        <v>0</v>
      </c>
      <c r="I10" s="7">
        <f t="shared" ref="I10:I41" si="3">100*F10/(F10+1)</f>
        <v>0</v>
      </c>
      <c r="K10">
        <f>A10</f>
        <v>0</v>
      </c>
      <c r="L10">
        <f t="shared" ref="L10:L41" si="4">$L$6*K10</f>
        <v>0</v>
      </c>
      <c r="M10" s="7">
        <f>100*L10/(L10+1)</f>
        <v>0</v>
      </c>
      <c r="N10" s="7">
        <f>100*K10/(K10+1)</f>
        <v>0</v>
      </c>
    </row>
    <row r="11" spans="1:14">
      <c r="A11">
        <v>0.1</v>
      </c>
      <c r="B11">
        <f t="shared" si="0"/>
        <v>0.03</v>
      </c>
      <c r="C11" s="7">
        <f t="shared" ref="C11:C41" si="5">100*B11/(B11+1)</f>
        <v>2.912621359223301</v>
      </c>
      <c r="D11" s="7">
        <f t="shared" ref="D11:D41" si="6">100*A11/(A11+1)</f>
        <v>9.0909090909090899</v>
      </c>
      <c r="F11">
        <f t="shared" ref="F11:F41" si="7">A11</f>
        <v>0.1</v>
      </c>
      <c r="G11">
        <f t="shared" si="1"/>
        <v>2.7000000000000003E-2</v>
      </c>
      <c r="H11" s="7">
        <f t="shared" si="2"/>
        <v>2.6290165530671863</v>
      </c>
      <c r="I11" s="7">
        <f t="shared" si="3"/>
        <v>9.0909090909090899</v>
      </c>
      <c r="K11">
        <f t="shared" ref="K11:K41" si="8">A11</f>
        <v>0.1</v>
      </c>
      <c r="L11">
        <f t="shared" si="4"/>
        <v>3.2999999999999995E-2</v>
      </c>
      <c r="M11" s="7">
        <f t="shared" ref="M11:M41" si="9">100*L11/(L11+1)</f>
        <v>3.1945788964181991</v>
      </c>
      <c r="N11" s="7">
        <f t="shared" ref="N11:N41" si="10">100*K11/(K11+1)</f>
        <v>9.0909090909090899</v>
      </c>
    </row>
    <row r="12" spans="1:14">
      <c r="A12">
        <v>0.2</v>
      </c>
      <c r="B12">
        <f t="shared" si="0"/>
        <v>0.06</v>
      </c>
      <c r="C12" s="7">
        <f t="shared" si="5"/>
        <v>5.6603773584905657</v>
      </c>
      <c r="D12" s="7">
        <f t="shared" si="6"/>
        <v>16.666666666666668</v>
      </c>
      <c r="F12">
        <f t="shared" si="7"/>
        <v>0.2</v>
      </c>
      <c r="G12">
        <f t="shared" si="1"/>
        <v>5.4000000000000006E-2</v>
      </c>
      <c r="H12" s="7">
        <f t="shared" si="2"/>
        <v>5.1233396584440225</v>
      </c>
      <c r="I12" s="7">
        <f t="shared" si="3"/>
        <v>16.666666666666668</v>
      </c>
      <c r="K12">
        <f t="shared" si="8"/>
        <v>0.2</v>
      </c>
      <c r="L12">
        <f t="shared" si="4"/>
        <v>6.5999999999999989E-2</v>
      </c>
      <c r="M12" s="7">
        <f t="shared" si="9"/>
        <v>6.1913696060037511</v>
      </c>
      <c r="N12" s="7">
        <f t="shared" si="10"/>
        <v>16.666666666666668</v>
      </c>
    </row>
    <row r="13" spans="1:14">
      <c r="A13">
        <v>0.3</v>
      </c>
      <c r="B13">
        <f t="shared" si="0"/>
        <v>0.09</v>
      </c>
      <c r="C13" s="7">
        <f>100*B13/(B13+1)</f>
        <v>8.2568807339449535</v>
      </c>
      <c r="D13" s="7">
        <f t="shared" si="6"/>
        <v>23.076923076923077</v>
      </c>
      <c r="F13">
        <f t="shared" si="7"/>
        <v>0.3</v>
      </c>
      <c r="G13">
        <f t="shared" si="1"/>
        <v>8.1000000000000003E-2</v>
      </c>
      <c r="H13" s="7">
        <f t="shared" si="2"/>
        <v>7.4930619796484734</v>
      </c>
      <c r="I13" s="7">
        <f t="shared" si="3"/>
        <v>23.076923076923077</v>
      </c>
      <c r="K13">
        <f t="shared" si="8"/>
        <v>0.3</v>
      </c>
      <c r="L13">
        <f t="shared" si="4"/>
        <v>9.8999999999999991E-2</v>
      </c>
      <c r="M13" s="7">
        <f t="shared" si="9"/>
        <v>9.0081892629663312</v>
      </c>
      <c r="N13" s="7">
        <f t="shared" si="10"/>
        <v>23.076923076923077</v>
      </c>
    </row>
    <row r="14" spans="1:14">
      <c r="A14">
        <v>0.4</v>
      </c>
      <c r="B14">
        <f t="shared" si="0"/>
        <v>0.12</v>
      </c>
      <c r="C14" s="7">
        <f t="shared" si="5"/>
        <v>10.714285714285714</v>
      </c>
      <c r="D14" s="7">
        <f t="shared" si="6"/>
        <v>28.571428571428573</v>
      </c>
      <c r="F14">
        <f t="shared" si="7"/>
        <v>0.4</v>
      </c>
      <c r="G14">
        <f t="shared" si="1"/>
        <v>0.10800000000000001</v>
      </c>
      <c r="H14" s="7">
        <f t="shared" si="2"/>
        <v>9.7472924187725631</v>
      </c>
      <c r="I14" s="7">
        <f t="shared" si="3"/>
        <v>28.571428571428573</v>
      </c>
      <c r="K14">
        <f t="shared" si="8"/>
        <v>0.4</v>
      </c>
      <c r="L14">
        <f t="shared" si="4"/>
        <v>0.13199999999999998</v>
      </c>
      <c r="M14" s="7">
        <f t="shared" si="9"/>
        <v>11.66077738515901</v>
      </c>
      <c r="N14" s="7">
        <f t="shared" si="10"/>
        <v>28.571428571428573</v>
      </c>
    </row>
    <row r="15" spans="1:14">
      <c r="A15">
        <v>0.5</v>
      </c>
      <c r="B15">
        <f t="shared" si="0"/>
        <v>0.15</v>
      </c>
      <c r="C15" s="7">
        <f t="shared" si="5"/>
        <v>13.043478260869566</v>
      </c>
      <c r="D15" s="7">
        <f t="shared" si="6"/>
        <v>33.333333333333336</v>
      </c>
      <c r="F15">
        <f t="shared" si="7"/>
        <v>0.5</v>
      </c>
      <c r="G15">
        <f t="shared" si="1"/>
        <v>0.13500000000000001</v>
      </c>
      <c r="H15" s="7">
        <f t="shared" si="2"/>
        <v>11.894273127753303</v>
      </c>
      <c r="I15" s="7">
        <f t="shared" si="3"/>
        <v>33.333333333333336</v>
      </c>
      <c r="K15">
        <f t="shared" si="8"/>
        <v>0.5</v>
      </c>
      <c r="L15">
        <f t="shared" si="4"/>
        <v>0.16499999999999998</v>
      </c>
      <c r="M15" s="7">
        <f t="shared" si="9"/>
        <v>14.163090128755361</v>
      </c>
      <c r="N15" s="7">
        <f t="shared" si="10"/>
        <v>33.333333333333336</v>
      </c>
    </row>
    <row r="16" spans="1:14">
      <c r="A16">
        <v>0.6</v>
      </c>
      <c r="B16">
        <f t="shared" si="0"/>
        <v>0.18</v>
      </c>
      <c r="C16" s="7">
        <f t="shared" si="5"/>
        <v>15.254237288135593</v>
      </c>
      <c r="D16" s="7">
        <f t="shared" si="6"/>
        <v>37.5</v>
      </c>
      <c r="F16">
        <f t="shared" si="7"/>
        <v>0.6</v>
      </c>
      <c r="G16">
        <f t="shared" si="1"/>
        <v>0.16200000000000001</v>
      </c>
      <c r="H16" s="7">
        <f t="shared" si="2"/>
        <v>13.941480206540447</v>
      </c>
      <c r="I16" s="7">
        <f t="shared" si="3"/>
        <v>37.5</v>
      </c>
      <c r="K16">
        <f t="shared" si="8"/>
        <v>0.6</v>
      </c>
      <c r="L16">
        <f t="shared" si="4"/>
        <v>0.19799999999999998</v>
      </c>
      <c r="M16" s="7">
        <f t="shared" si="9"/>
        <v>16.527545909849749</v>
      </c>
      <c r="N16" s="7">
        <f t="shared" si="10"/>
        <v>37.5</v>
      </c>
    </row>
    <row r="17" spans="1:14">
      <c r="A17">
        <v>0.7</v>
      </c>
      <c r="B17">
        <f t="shared" si="0"/>
        <v>0.21</v>
      </c>
      <c r="C17" s="7">
        <f t="shared" si="5"/>
        <v>17.355371900826448</v>
      </c>
      <c r="D17" s="7">
        <f t="shared" si="6"/>
        <v>41.176470588235297</v>
      </c>
      <c r="F17">
        <f t="shared" si="7"/>
        <v>0.7</v>
      </c>
      <c r="G17">
        <f t="shared" si="1"/>
        <v>0.189</v>
      </c>
      <c r="H17" s="7">
        <f t="shared" si="2"/>
        <v>15.895710681244742</v>
      </c>
      <c r="I17" s="7">
        <f t="shared" si="3"/>
        <v>41.176470588235297</v>
      </c>
      <c r="K17">
        <f t="shared" si="8"/>
        <v>0.7</v>
      </c>
      <c r="L17">
        <f t="shared" si="4"/>
        <v>0.23099999999999996</v>
      </c>
      <c r="M17" s="7">
        <f t="shared" si="9"/>
        <v>18.765231519090168</v>
      </c>
      <c r="N17" s="7">
        <f t="shared" si="10"/>
        <v>41.176470588235297</v>
      </c>
    </row>
    <row r="18" spans="1:14">
      <c r="A18">
        <v>0.8</v>
      </c>
      <c r="B18">
        <f t="shared" si="0"/>
        <v>0.24</v>
      </c>
      <c r="C18" s="7">
        <f t="shared" si="5"/>
        <v>19.35483870967742</v>
      </c>
      <c r="D18" s="7">
        <f t="shared" si="6"/>
        <v>44.444444444444443</v>
      </c>
      <c r="F18">
        <f t="shared" si="7"/>
        <v>0.8</v>
      </c>
      <c r="G18">
        <f t="shared" si="1"/>
        <v>0.21600000000000003</v>
      </c>
      <c r="H18" s="7">
        <f t="shared" si="2"/>
        <v>17.763157894736842</v>
      </c>
      <c r="I18" s="7">
        <f t="shared" si="3"/>
        <v>44.444444444444443</v>
      </c>
      <c r="K18">
        <f t="shared" si="8"/>
        <v>0.8</v>
      </c>
      <c r="L18">
        <f t="shared" si="4"/>
        <v>0.26399999999999996</v>
      </c>
      <c r="M18" s="7">
        <f t="shared" si="9"/>
        <v>20.886075949367086</v>
      </c>
      <c r="N18" s="7">
        <f t="shared" si="10"/>
        <v>44.444444444444443</v>
      </c>
    </row>
    <row r="19" spans="1:14">
      <c r="A19">
        <v>0.9</v>
      </c>
      <c r="B19">
        <f t="shared" si="0"/>
        <v>0.27</v>
      </c>
      <c r="C19" s="7">
        <f t="shared" si="5"/>
        <v>21.259842519685041</v>
      </c>
      <c r="D19" s="7">
        <f t="shared" si="6"/>
        <v>47.368421052631582</v>
      </c>
      <c r="F19">
        <f t="shared" si="7"/>
        <v>0.9</v>
      </c>
      <c r="G19">
        <f t="shared" si="1"/>
        <v>0.24300000000000002</v>
      </c>
      <c r="H19" s="7">
        <f t="shared" si="2"/>
        <v>19.549477071600965</v>
      </c>
      <c r="I19" s="7">
        <f t="shared" si="3"/>
        <v>47.368421052631582</v>
      </c>
      <c r="K19">
        <f t="shared" si="8"/>
        <v>0.9</v>
      </c>
      <c r="L19">
        <f t="shared" si="4"/>
        <v>0.29699999999999999</v>
      </c>
      <c r="M19" s="7">
        <f t="shared" si="9"/>
        <v>22.898997686969931</v>
      </c>
      <c r="N19" s="7">
        <f t="shared" si="10"/>
        <v>47.368421052631582</v>
      </c>
    </row>
    <row r="20" spans="1:14">
      <c r="A20">
        <v>1</v>
      </c>
      <c r="B20">
        <f t="shared" si="0"/>
        <v>0.3</v>
      </c>
      <c r="C20" s="7">
        <f t="shared" si="5"/>
        <v>23.076923076923077</v>
      </c>
      <c r="D20" s="7">
        <f t="shared" si="6"/>
        <v>50</v>
      </c>
      <c r="F20">
        <f t="shared" si="7"/>
        <v>1</v>
      </c>
      <c r="G20">
        <f t="shared" si="1"/>
        <v>0.27</v>
      </c>
      <c r="H20" s="7">
        <f t="shared" si="2"/>
        <v>21.259842519685041</v>
      </c>
      <c r="I20" s="7">
        <f t="shared" si="3"/>
        <v>50</v>
      </c>
      <c r="K20">
        <f t="shared" si="8"/>
        <v>1</v>
      </c>
      <c r="L20">
        <f t="shared" si="4"/>
        <v>0.32999999999999996</v>
      </c>
      <c r="M20" s="7">
        <f t="shared" si="9"/>
        <v>24.812030075187963</v>
      </c>
      <c r="N20" s="7">
        <f t="shared" si="10"/>
        <v>50</v>
      </c>
    </row>
    <row r="21" spans="1:14">
      <c r="A21">
        <v>1.1000000000000001</v>
      </c>
      <c r="B21">
        <f t="shared" si="0"/>
        <v>0.33</v>
      </c>
      <c r="C21" s="7">
        <f t="shared" si="5"/>
        <v>24.81203007518797</v>
      </c>
      <c r="D21" s="7">
        <f t="shared" si="6"/>
        <v>52.380952380952387</v>
      </c>
      <c r="F21">
        <f t="shared" si="7"/>
        <v>1.1000000000000001</v>
      </c>
      <c r="G21">
        <f t="shared" si="1"/>
        <v>0.29700000000000004</v>
      </c>
      <c r="H21" s="7">
        <f t="shared" si="2"/>
        <v>22.898997686969931</v>
      </c>
      <c r="I21" s="7">
        <f t="shared" si="3"/>
        <v>52.380952380952387</v>
      </c>
      <c r="K21">
        <f t="shared" si="8"/>
        <v>1.1000000000000001</v>
      </c>
      <c r="L21">
        <f t="shared" si="4"/>
        <v>0.36299999999999999</v>
      </c>
      <c r="M21" s="7">
        <f t="shared" si="9"/>
        <v>26.632428466617753</v>
      </c>
      <c r="N21" s="7">
        <f t="shared" si="10"/>
        <v>52.380952380952387</v>
      </c>
    </row>
    <row r="22" spans="1:14">
      <c r="A22">
        <v>1.2</v>
      </c>
      <c r="B22">
        <f t="shared" si="0"/>
        <v>0.36</v>
      </c>
      <c r="C22" s="7">
        <f t="shared" si="5"/>
        <v>26.47058823529412</v>
      </c>
      <c r="D22" s="7">
        <f t="shared" si="6"/>
        <v>54.54545454545454</v>
      </c>
      <c r="F22">
        <f t="shared" si="7"/>
        <v>1.2</v>
      </c>
      <c r="G22">
        <f t="shared" si="1"/>
        <v>0.32400000000000001</v>
      </c>
      <c r="H22" s="7">
        <f t="shared" si="2"/>
        <v>24.471299093655588</v>
      </c>
      <c r="I22" s="7">
        <f t="shared" si="3"/>
        <v>54.54545454545454</v>
      </c>
      <c r="K22">
        <f t="shared" si="8"/>
        <v>1.2</v>
      </c>
      <c r="L22">
        <f t="shared" si="4"/>
        <v>0.39599999999999996</v>
      </c>
      <c r="M22" s="7">
        <f t="shared" si="9"/>
        <v>28.366762177650429</v>
      </c>
      <c r="N22" s="7">
        <f t="shared" si="10"/>
        <v>54.54545454545454</v>
      </c>
    </row>
    <row r="23" spans="1:14">
      <c r="A23">
        <v>1.3</v>
      </c>
      <c r="B23">
        <f t="shared" si="0"/>
        <v>0.39</v>
      </c>
      <c r="C23" s="7">
        <f t="shared" si="5"/>
        <v>28.057553956834528</v>
      </c>
      <c r="D23" s="7">
        <f t="shared" si="6"/>
        <v>56.521739130434788</v>
      </c>
      <c r="F23">
        <f t="shared" si="7"/>
        <v>1.3</v>
      </c>
      <c r="G23">
        <f t="shared" si="1"/>
        <v>0.35100000000000003</v>
      </c>
      <c r="H23" s="7">
        <f t="shared" si="2"/>
        <v>25.980754996299041</v>
      </c>
      <c r="I23" s="7">
        <f t="shared" si="3"/>
        <v>56.521739130434788</v>
      </c>
      <c r="K23">
        <f t="shared" si="8"/>
        <v>1.3</v>
      </c>
      <c r="L23">
        <f t="shared" si="4"/>
        <v>0.42899999999999994</v>
      </c>
      <c r="M23" s="7">
        <f t="shared" si="9"/>
        <v>30.020993701889431</v>
      </c>
      <c r="N23" s="7">
        <f t="shared" si="10"/>
        <v>56.521739130434788</v>
      </c>
    </row>
    <row r="24" spans="1:14">
      <c r="A24">
        <v>1.4</v>
      </c>
      <c r="B24">
        <f t="shared" si="0"/>
        <v>0.42</v>
      </c>
      <c r="C24" s="7">
        <f t="shared" si="5"/>
        <v>29.577464788732396</v>
      </c>
      <c r="D24" s="7">
        <f t="shared" si="6"/>
        <v>58.333333333333336</v>
      </c>
      <c r="F24">
        <f t="shared" si="7"/>
        <v>1.4</v>
      </c>
      <c r="G24">
        <f t="shared" si="1"/>
        <v>0.378</v>
      </c>
      <c r="H24" s="7">
        <f t="shared" si="2"/>
        <v>27.431059506531199</v>
      </c>
      <c r="I24" s="7">
        <f t="shared" si="3"/>
        <v>58.333333333333336</v>
      </c>
      <c r="K24">
        <f t="shared" si="8"/>
        <v>1.4</v>
      </c>
      <c r="L24">
        <f t="shared" si="4"/>
        <v>0.46199999999999991</v>
      </c>
      <c r="M24" s="7">
        <f t="shared" si="9"/>
        <v>31.600547195622429</v>
      </c>
      <c r="N24" s="7">
        <f t="shared" si="10"/>
        <v>58.333333333333336</v>
      </c>
    </row>
    <row r="25" spans="1:14">
      <c r="A25">
        <v>1.5</v>
      </c>
      <c r="B25">
        <f t="shared" si="0"/>
        <v>0.44999999999999996</v>
      </c>
      <c r="C25" s="7">
        <f t="shared" si="5"/>
        <v>31.034482758620687</v>
      </c>
      <c r="D25" s="7">
        <f t="shared" si="6"/>
        <v>60</v>
      </c>
      <c r="F25">
        <f t="shared" si="7"/>
        <v>1.5</v>
      </c>
      <c r="G25">
        <f t="shared" si="1"/>
        <v>0.40500000000000003</v>
      </c>
      <c r="H25" s="7">
        <f t="shared" si="2"/>
        <v>28.82562277580071</v>
      </c>
      <c r="I25" s="7">
        <f t="shared" si="3"/>
        <v>60</v>
      </c>
      <c r="K25">
        <f t="shared" si="8"/>
        <v>1.5</v>
      </c>
      <c r="L25">
        <f t="shared" si="4"/>
        <v>0.49499999999999994</v>
      </c>
      <c r="M25" s="7">
        <f t="shared" si="9"/>
        <v>33.110367892976583</v>
      </c>
      <c r="N25" s="7">
        <f t="shared" si="10"/>
        <v>60</v>
      </c>
    </row>
    <row r="26" spans="1:14">
      <c r="A26">
        <v>1.6</v>
      </c>
      <c r="B26">
        <f t="shared" si="0"/>
        <v>0.48</v>
      </c>
      <c r="C26" s="7">
        <f t="shared" si="5"/>
        <v>32.432432432432435</v>
      </c>
      <c r="D26" s="7">
        <f t="shared" si="6"/>
        <v>61.538461538461533</v>
      </c>
      <c r="F26">
        <f t="shared" si="7"/>
        <v>1.6</v>
      </c>
      <c r="G26">
        <f t="shared" si="1"/>
        <v>0.43200000000000005</v>
      </c>
      <c r="H26" s="7">
        <f t="shared" si="2"/>
        <v>30.16759776536313</v>
      </c>
      <c r="I26" s="7">
        <f t="shared" si="3"/>
        <v>61.538461538461533</v>
      </c>
      <c r="K26">
        <f t="shared" si="8"/>
        <v>1.6</v>
      </c>
      <c r="L26">
        <f t="shared" si="4"/>
        <v>0.52799999999999991</v>
      </c>
      <c r="M26" s="7">
        <f t="shared" si="9"/>
        <v>34.55497382198952</v>
      </c>
      <c r="N26" s="7">
        <f t="shared" si="10"/>
        <v>61.538461538461533</v>
      </c>
    </row>
    <row r="27" spans="1:14">
      <c r="A27">
        <v>1.7</v>
      </c>
      <c r="B27">
        <f t="shared" si="0"/>
        <v>0.51</v>
      </c>
      <c r="C27" s="7">
        <f t="shared" si="5"/>
        <v>33.774834437086092</v>
      </c>
      <c r="D27" s="7">
        <f t="shared" si="6"/>
        <v>62.962962962962962</v>
      </c>
      <c r="F27">
        <f t="shared" si="7"/>
        <v>1.7</v>
      </c>
      <c r="G27">
        <f t="shared" si="1"/>
        <v>0.45900000000000002</v>
      </c>
      <c r="H27" s="7">
        <f t="shared" si="2"/>
        <v>31.459904043865659</v>
      </c>
      <c r="I27" s="7">
        <f t="shared" si="3"/>
        <v>62.962962962962962</v>
      </c>
      <c r="K27">
        <f t="shared" si="8"/>
        <v>1.7</v>
      </c>
      <c r="L27">
        <f t="shared" si="4"/>
        <v>0.56099999999999994</v>
      </c>
      <c r="M27" s="7">
        <f t="shared" si="9"/>
        <v>35.938500960922482</v>
      </c>
      <c r="N27" s="7">
        <f t="shared" si="10"/>
        <v>62.962962962962962</v>
      </c>
    </row>
    <row r="28" spans="1:14">
      <c r="A28">
        <v>2.2000000000000002</v>
      </c>
      <c r="B28">
        <f t="shared" si="0"/>
        <v>0.66</v>
      </c>
      <c r="C28" s="7">
        <f t="shared" si="5"/>
        <v>39.75903614457831</v>
      </c>
      <c r="D28" s="7">
        <f t="shared" si="6"/>
        <v>68.75</v>
      </c>
      <c r="F28">
        <f t="shared" si="7"/>
        <v>2.2000000000000002</v>
      </c>
      <c r="G28">
        <f t="shared" si="1"/>
        <v>0.59400000000000008</v>
      </c>
      <c r="H28" s="7">
        <f t="shared" si="2"/>
        <v>37.264742785445421</v>
      </c>
      <c r="I28" s="7">
        <f t="shared" si="3"/>
        <v>68.75</v>
      </c>
      <c r="K28">
        <f t="shared" si="8"/>
        <v>2.2000000000000002</v>
      </c>
      <c r="L28">
        <f t="shared" si="4"/>
        <v>0.72599999999999998</v>
      </c>
      <c r="M28" s="7">
        <f t="shared" si="9"/>
        <v>42.062572421784473</v>
      </c>
      <c r="N28" s="7">
        <f t="shared" si="10"/>
        <v>68.75</v>
      </c>
    </row>
    <row r="29" spans="1:14">
      <c r="A29">
        <v>2.7</v>
      </c>
      <c r="B29">
        <f t="shared" si="0"/>
        <v>0.81</v>
      </c>
      <c r="C29" s="7">
        <f t="shared" si="5"/>
        <v>44.751381215469614</v>
      </c>
      <c r="D29" s="7">
        <f t="shared" si="6"/>
        <v>72.972972972972968</v>
      </c>
      <c r="F29">
        <f t="shared" si="7"/>
        <v>2.7</v>
      </c>
      <c r="G29">
        <f t="shared" si="1"/>
        <v>0.72900000000000009</v>
      </c>
      <c r="H29" s="7">
        <f t="shared" si="2"/>
        <v>42.1631000578369</v>
      </c>
      <c r="I29" s="7">
        <f t="shared" si="3"/>
        <v>72.972972972972968</v>
      </c>
      <c r="K29">
        <f t="shared" si="8"/>
        <v>2.7</v>
      </c>
      <c r="L29">
        <f t="shared" si="4"/>
        <v>0.8909999999999999</v>
      </c>
      <c r="M29" s="7">
        <f t="shared" si="9"/>
        <v>47.117927022739288</v>
      </c>
      <c r="N29" s="7">
        <f t="shared" si="10"/>
        <v>72.972972972972968</v>
      </c>
    </row>
    <row r="30" spans="1:14">
      <c r="A30">
        <v>3.2</v>
      </c>
      <c r="B30">
        <f t="shared" si="0"/>
        <v>0.96</v>
      </c>
      <c r="C30" s="7">
        <f t="shared" si="5"/>
        <v>48.979591836734691</v>
      </c>
      <c r="D30" s="7">
        <f t="shared" si="6"/>
        <v>76.19047619047619</v>
      </c>
      <c r="F30">
        <f t="shared" si="7"/>
        <v>3.2</v>
      </c>
      <c r="G30">
        <f t="shared" si="1"/>
        <v>0.8640000000000001</v>
      </c>
      <c r="H30" s="7">
        <f t="shared" si="2"/>
        <v>46.351931330472105</v>
      </c>
      <c r="I30" s="7">
        <f t="shared" si="3"/>
        <v>76.19047619047619</v>
      </c>
      <c r="K30">
        <f t="shared" si="8"/>
        <v>3.2</v>
      </c>
      <c r="L30">
        <f t="shared" si="4"/>
        <v>1.0559999999999998</v>
      </c>
      <c r="M30" s="7">
        <f t="shared" si="9"/>
        <v>51.361867704280144</v>
      </c>
      <c r="N30" s="7">
        <f t="shared" si="10"/>
        <v>76.19047619047619</v>
      </c>
    </row>
    <row r="31" spans="1:14">
      <c r="A31">
        <v>3.7</v>
      </c>
      <c r="B31">
        <f t="shared" si="0"/>
        <v>1.1100000000000001</v>
      </c>
      <c r="C31" s="7">
        <f t="shared" si="5"/>
        <v>52.606635071090047</v>
      </c>
      <c r="D31" s="7">
        <f t="shared" si="6"/>
        <v>78.723404255319153</v>
      </c>
      <c r="F31">
        <f t="shared" si="7"/>
        <v>3.7</v>
      </c>
      <c r="G31">
        <f t="shared" si="1"/>
        <v>0.99900000000000011</v>
      </c>
      <c r="H31" s="7">
        <f t="shared" si="2"/>
        <v>49.974987493746873</v>
      </c>
      <c r="I31" s="7">
        <f t="shared" si="3"/>
        <v>78.723404255319153</v>
      </c>
      <c r="K31">
        <f t="shared" si="8"/>
        <v>3.7</v>
      </c>
      <c r="L31">
        <f t="shared" si="4"/>
        <v>1.2209999999999999</v>
      </c>
      <c r="M31" s="7">
        <f t="shared" si="9"/>
        <v>54.975236380008994</v>
      </c>
      <c r="N31" s="7">
        <f t="shared" si="10"/>
        <v>78.723404255319153</v>
      </c>
    </row>
    <row r="32" spans="1:14">
      <c r="A32">
        <v>4.2</v>
      </c>
      <c r="B32">
        <f t="shared" si="0"/>
        <v>1.26</v>
      </c>
      <c r="C32" s="7">
        <f t="shared" si="5"/>
        <v>55.752212389380539</v>
      </c>
      <c r="D32" s="7">
        <f t="shared" si="6"/>
        <v>80.769230769230759</v>
      </c>
      <c r="F32">
        <f t="shared" si="7"/>
        <v>4.2</v>
      </c>
      <c r="G32">
        <f t="shared" si="1"/>
        <v>1.1340000000000001</v>
      </c>
      <c r="H32" s="7">
        <f t="shared" si="2"/>
        <v>53.139643861293337</v>
      </c>
      <c r="I32" s="7">
        <f t="shared" si="3"/>
        <v>80.769230769230759</v>
      </c>
      <c r="K32">
        <f t="shared" si="8"/>
        <v>4.2</v>
      </c>
      <c r="L32">
        <f t="shared" si="4"/>
        <v>1.3859999999999999</v>
      </c>
      <c r="M32" s="7">
        <f t="shared" si="9"/>
        <v>58.088851634534784</v>
      </c>
      <c r="N32" s="7">
        <f t="shared" si="10"/>
        <v>80.769230769230759</v>
      </c>
    </row>
    <row r="33" spans="1:14">
      <c r="A33">
        <v>5.2</v>
      </c>
      <c r="B33">
        <f t="shared" si="0"/>
        <v>1.56</v>
      </c>
      <c r="C33" s="7">
        <f t="shared" si="5"/>
        <v>60.9375</v>
      </c>
      <c r="D33" s="7">
        <f t="shared" si="6"/>
        <v>83.870967741935488</v>
      </c>
      <c r="F33">
        <f t="shared" si="7"/>
        <v>5.2</v>
      </c>
      <c r="G33">
        <f t="shared" si="1"/>
        <v>1.4040000000000001</v>
      </c>
      <c r="H33" s="7">
        <f t="shared" si="2"/>
        <v>58.402662229617306</v>
      </c>
      <c r="I33" s="7">
        <f t="shared" si="3"/>
        <v>83.870967741935488</v>
      </c>
      <c r="K33">
        <f t="shared" si="8"/>
        <v>5.2</v>
      </c>
      <c r="L33">
        <f t="shared" si="4"/>
        <v>1.7159999999999997</v>
      </c>
      <c r="M33" s="7">
        <f t="shared" si="9"/>
        <v>63.181148748159053</v>
      </c>
      <c r="N33" s="7">
        <f t="shared" si="10"/>
        <v>83.870967741935488</v>
      </c>
    </row>
    <row r="34" spans="1:14">
      <c r="A34">
        <v>6.2</v>
      </c>
      <c r="B34">
        <f t="shared" si="0"/>
        <v>1.8599999999999999</v>
      </c>
      <c r="C34" s="7">
        <f t="shared" si="5"/>
        <v>65.03496503496504</v>
      </c>
      <c r="D34" s="7">
        <f t="shared" si="6"/>
        <v>86.111111111111114</v>
      </c>
      <c r="F34">
        <f t="shared" si="7"/>
        <v>6.2</v>
      </c>
      <c r="G34">
        <f t="shared" si="1"/>
        <v>1.6740000000000002</v>
      </c>
      <c r="H34" s="7">
        <f t="shared" si="2"/>
        <v>62.602842183994007</v>
      </c>
      <c r="I34" s="7">
        <f t="shared" si="3"/>
        <v>86.111111111111114</v>
      </c>
      <c r="K34">
        <f t="shared" si="8"/>
        <v>6.2</v>
      </c>
      <c r="L34">
        <f t="shared" si="4"/>
        <v>2.0459999999999998</v>
      </c>
      <c r="M34" s="7">
        <f t="shared" si="9"/>
        <v>67.170059093893627</v>
      </c>
      <c r="N34" s="7">
        <f t="shared" si="10"/>
        <v>86.111111111111114</v>
      </c>
    </row>
    <row r="35" spans="1:14">
      <c r="A35">
        <v>7.2</v>
      </c>
      <c r="B35">
        <f t="shared" si="0"/>
        <v>2.16</v>
      </c>
      <c r="C35" s="7">
        <f t="shared" si="5"/>
        <v>68.35443037974683</v>
      </c>
      <c r="D35" s="7">
        <f t="shared" si="6"/>
        <v>87.804878048780495</v>
      </c>
      <c r="F35">
        <f t="shared" si="7"/>
        <v>7.2</v>
      </c>
      <c r="G35">
        <f t="shared" si="1"/>
        <v>1.9440000000000002</v>
      </c>
      <c r="H35" s="7">
        <f t="shared" si="2"/>
        <v>66.032608695652172</v>
      </c>
      <c r="I35" s="7">
        <f t="shared" si="3"/>
        <v>87.804878048780495</v>
      </c>
      <c r="K35">
        <f t="shared" si="8"/>
        <v>7.2</v>
      </c>
      <c r="L35">
        <f t="shared" si="4"/>
        <v>2.3759999999999999</v>
      </c>
      <c r="M35" s="7">
        <f t="shared" si="9"/>
        <v>70.379146919431278</v>
      </c>
      <c r="N35" s="7">
        <f t="shared" si="10"/>
        <v>87.804878048780495</v>
      </c>
    </row>
    <row r="36" spans="1:14">
      <c r="A36">
        <v>10</v>
      </c>
      <c r="B36">
        <f t="shared" si="0"/>
        <v>3</v>
      </c>
      <c r="C36" s="7">
        <f t="shared" si="5"/>
        <v>75</v>
      </c>
      <c r="D36" s="7">
        <f t="shared" si="6"/>
        <v>90.909090909090907</v>
      </c>
      <c r="F36">
        <f t="shared" si="7"/>
        <v>10</v>
      </c>
      <c r="G36">
        <f t="shared" si="1"/>
        <v>2.7</v>
      </c>
      <c r="H36" s="7">
        <f t="shared" si="2"/>
        <v>72.972972972972968</v>
      </c>
      <c r="I36" s="7">
        <f t="shared" si="3"/>
        <v>90.909090909090907</v>
      </c>
      <c r="K36">
        <f t="shared" si="8"/>
        <v>10</v>
      </c>
      <c r="L36">
        <f t="shared" si="4"/>
        <v>3.3</v>
      </c>
      <c r="M36" s="7">
        <f t="shared" si="9"/>
        <v>76.744186046511629</v>
      </c>
      <c r="N36" s="7">
        <f t="shared" si="10"/>
        <v>90.909090909090907</v>
      </c>
    </row>
    <row r="37" spans="1:14">
      <c r="A37">
        <v>20</v>
      </c>
      <c r="B37">
        <f t="shared" si="0"/>
        <v>6</v>
      </c>
      <c r="C37" s="7">
        <f t="shared" si="5"/>
        <v>85.714285714285708</v>
      </c>
      <c r="D37" s="7">
        <f t="shared" si="6"/>
        <v>95.238095238095241</v>
      </c>
      <c r="F37">
        <f t="shared" si="7"/>
        <v>20</v>
      </c>
      <c r="G37">
        <f t="shared" si="1"/>
        <v>5.4</v>
      </c>
      <c r="H37" s="7">
        <f t="shared" si="2"/>
        <v>84.375</v>
      </c>
      <c r="I37" s="7">
        <f t="shared" si="3"/>
        <v>95.238095238095241</v>
      </c>
      <c r="K37">
        <f t="shared" si="8"/>
        <v>20</v>
      </c>
      <c r="L37">
        <f t="shared" si="4"/>
        <v>6.6</v>
      </c>
      <c r="M37" s="7">
        <f t="shared" si="9"/>
        <v>86.842105263157904</v>
      </c>
      <c r="N37" s="7">
        <f t="shared" si="10"/>
        <v>95.238095238095241</v>
      </c>
    </row>
    <row r="38" spans="1:14">
      <c r="A38">
        <v>40</v>
      </c>
      <c r="B38">
        <f t="shared" si="0"/>
        <v>12</v>
      </c>
      <c r="C38" s="7">
        <f t="shared" si="5"/>
        <v>92.307692307692307</v>
      </c>
      <c r="D38" s="7">
        <f t="shared" si="6"/>
        <v>97.560975609756099</v>
      </c>
      <c r="F38">
        <f t="shared" si="7"/>
        <v>40</v>
      </c>
      <c r="G38">
        <f t="shared" si="1"/>
        <v>10.8</v>
      </c>
      <c r="H38" s="7">
        <f t="shared" si="2"/>
        <v>91.52542372881355</v>
      </c>
      <c r="I38" s="7">
        <f t="shared" si="3"/>
        <v>97.560975609756099</v>
      </c>
      <c r="K38">
        <f t="shared" si="8"/>
        <v>40</v>
      </c>
      <c r="L38">
        <f t="shared" si="4"/>
        <v>13.2</v>
      </c>
      <c r="M38" s="7">
        <f t="shared" si="9"/>
        <v>92.957746478873247</v>
      </c>
      <c r="N38" s="7">
        <f t="shared" si="10"/>
        <v>97.560975609756099</v>
      </c>
    </row>
    <row r="39" spans="1:14">
      <c r="A39">
        <v>80</v>
      </c>
      <c r="B39">
        <f t="shared" si="0"/>
        <v>24</v>
      </c>
      <c r="C39" s="7">
        <f t="shared" si="5"/>
        <v>96</v>
      </c>
      <c r="D39" s="7">
        <f t="shared" si="6"/>
        <v>98.76543209876543</v>
      </c>
      <c r="F39">
        <f t="shared" si="7"/>
        <v>80</v>
      </c>
      <c r="G39">
        <f t="shared" si="1"/>
        <v>21.6</v>
      </c>
      <c r="H39" s="7">
        <f t="shared" si="2"/>
        <v>95.575221238938042</v>
      </c>
      <c r="I39" s="7">
        <f t="shared" si="3"/>
        <v>98.76543209876543</v>
      </c>
      <c r="K39">
        <f t="shared" si="8"/>
        <v>80</v>
      </c>
      <c r="L39">
        <f t="shared" si="4"/>
        <v>26.4</v>
      </c>
      <c r="M39" s="7">
        <f t="shared" si="9"/>
        <v>96.350364963503651</v>
      </c>
      <c r="N39" s="7">
        <f t="shared" si="10"/>
        <v>98.76543209876543</v>
      </c>
    </row>
    <row r="40" spans="1:14">
      <c r="A40">
        <v>200</v>
      </c>
      <c r="B40">
        <f t="shared" si="0"/>
        <v>60</v>
      </c>
      <c r="C40" s="7">
        <f t="shared" si="5"/>
        <v>98.360655737704917</v>
      </c>
      <c r="D40" s="7">
        <f t="shared" si="6"/>
        <v>99.50248756218906</v>
      </c>
      <c r="F40">
        <f t="shared" si="7"/>
        <v>200</v>
      </c>
      <c r="G40">
        <f t="shared" si="1"/>
        <v>54</v>
      </c>
      <c r="H40" s="7">
        <f t="shared" si="2"/>
        <v>98.181818181818187</v>
      </c>
      <c r="I40" s="7">
        <f t="shared" si="3"/>
        <v>99.50248756218906</v>
      </c>
      <c r="K40">
        <f t="shared" si="8"/>
        <v>200</v>
      </c>
      <c r="L40">
        <f t="shared" si="4"/>
        <v>65.999999999999986</v>
      </c>
      <c r="M40" s="7">
        <f t="shared" si="9"/>
        <v>98.507462686567152</v>
      </c>
      <c r="N40" s="7">
        <f t="shared" si="10"/>
        <v>99.50248756218906</v>
      </c>
    </row>
    <row r="41" spans="1:14">
      <c r="A41">
        <v>1000</v>
      </c>
      <c r="B41">
        <f t="shared" si="0"/>
        <v>300</v>
      </c>
      <c r="C41" s="7">
        <f t="shared" si="5"/>
        <v>99.667774086378742</v>
      </c>
      <c r="D41" s="7">
        <f t="shared" si="6"/>
        <v>99.900099900099903</v>
      </c>
      <c r="F41">
        <f t="shared" si="7"/>
        <v>1000</v>
      </c>
      <c r="G41">
        <f t="shared" si="1"/>
        <v>270</v>
      </c>
      <c r="H41" s="7">
        <f>100*G41/(G41+1)</f>
        <v>99.630996309963095</v>
      </c>
      <c r="I41" s="7">
        <f t="shared" si="3"/>
        <v>99.900099900099903</v>
      </c>
      <c r="K41">
        <f t="shared" si="8"/>
        <v>1000</v>
      </c>
      <c r="L41">
        <f t="shared" si="4"/>
        <v>329.99999999999994</v>
      </c>
      <c r="M41" s="7">
        <f t="shared" si="9"/>
        <v>99.697885196374614</v>
      </c>
      <c r="N41" s="7">
        <f t="shared" si="10"/>
        <v>99.900099900099903</v>
      </c>
    </row>
    <row r="141" spans="1:72" s="2"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2"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2"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2"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honeticPr fontId="4"/>
  <pageMargins left="0.75" right="0.75" top="1" bottom="1" header="0.5" footer="0.5"/>
  <pageSetup paperSize="0"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K134"/>
  <sheetViews>
    <sheetView topLeftCell="A2" workbookViewId="0">
      <selection activeCell="A32" sqref="A32"/>
    </sheetView>
  </sheetViews>
  <sheetFormatPr defaultColWidth="11.15234375" defaultRowHeight="16.2"/>
  <cols>
    <col min="1" max="1" width="22.3828125" customWidth="1"/>
    <col min="2" max="2" width="17.61328125" customWidth="1"/>
    <col min="3" max="3" width="13.84375" customWidth="1"/>
    <col min="4" max="4" width="13" customWidth="1"/>
    <col min="5" max="5" width="5.765625" customWidth="1"/>
    <col min="6" max="6" width="8.61328125" customWidth="1"/>
    <col min="7" max="7" width="7.4609375" customWidth="1"/>
    <col min="8" max="8" width="10.4609375" customWidth="1"/>
    <col min="9" max="9" width="7.4609375" customWidth="1"/>
    <col min="10" max="10" width="6.4609375" customWidth="1"/>
    <col min="11" max="11" width="7.3828125" customWidth="1"/>
  </cols>
  <sheetData>
    <row r="1" spans="1:9" ht="19.8">
      <c r="A1" s="50" t="s">
        <v>148</v>
      </c>
    </row>
    <row r="2" spans="1:9" ht="19.8">
      <c r="A2" s="50" t="s">
        <v>147</v>
      </c>
    </row>
    <row r="3" spans="1:9" ht="19.8">
      <c r="A3" s="50"/>
    </row>
    <row r="4" spans="1:9" ht="16.8" thickBot="1"/>
    <row r="5" spans="1:9" ht="17.399999999999999">
      <c r="A5" s="80" t="s">
        <v>140</v>
      </c>
      <c r="B5" s="71"/>
      <c r="H5" s="51"/>
    </row>
    <row r="6" spans="1:9">
      <c r="A6" s="72" t="s">
        <v>136</v>
      </c>
      <c r="B6" s="73"/>
      <c r="H6" s="51"/>
    </row>
    <row r="7" spans="1:9">
      <c r="A7" s="74" t="s">
        <v>141</v>
      </c>
      <c r="B7" s="73"/>
      <c r="H7" s="51"/>
    </row>
    <row r="8" spans="1:9" ht="18.600000000000001">
      <c r="A8" s="72" t="s">
        <v>142</v>
      </c>
      <c r="B8" s="75">
        <v>9</v>
      </c>
      <c r="H8" s="51"/>
    </row>
    <row r="9" spans="1:9" ht="18.600000000000001">
      <c r="A9" s="72" t="s">
        <v>143</v>
      </c>
      <c r="B9" s="75">
        <v>1.6</v>
      </c>
      <c r="H9" s="51"/>
    </row>
    <row r="10" spans="1:9" ht="18.600000000000001">
      <c r="A10" s="72" t="s">
        <v>144</v>
      </c>
      <c r="B10" s="75">
        <v>0.27</v>
      </c>
      <c r="H10" s="51"/>
    </row>
    <row r="11" spans="1:9" ht="18.600000000000001">
      <c r="A11" s="72" t="s">
        <v>170</v>
      </c>
      <c r="B11" s="75">
        <v>0.34</v>
      </c>
      <c r="H11" s="51"/>
    </row>
    <row r="12" spans="1:9">
      <c r="B12" s="73"/>
      <c r="H12" s="51"/>
    </row>
    <row r="13" spans="1:9">
      <c r="A13" s="74" t="s">
        <v>145</v>
      </c>
      <c r="B13" s="73"/>
      <c r="H13" s="51"/>
    </row>
    <row r="14" spans="1:9" ht="16.8" thickBot="1">
      <c r="A14" s="76" t="s">
        <v>146</v>
      </c>
      <c r="B14" s="77">
        <v>30</v>
      </c>
    </row>
    <row r="15" spans="1:9" ht="16.8" thickBot="1"/>
    <row r="16" spans="1:9" ht="17.399999999999999">
      <c r="A16" s="80" t="s">
        <v>174</v>
      </c>
      <c r="B16" s="81"/>
      <c r="C16" s="82"/>
      <c r="I16" s="51"/>
    </row>
    <row r="17" spans="1:32" ht="17.399999999999999">
      <c r="A17" s="83" t="s">
        <v>159</v>
      </c>
      <c r="B17" s="78"/>
      <c r="C17" s="84">
        <v>1605</v>
      </c>
      <c r="I17" s="51"/>
    </row>
    <row r="18" spans="1:32" ht="16.8" thickBot="1">
      <c r="A18" s="85" t="s">
        <v>175</v>
      </c>
      <c r="B18" s="86"/>
      <c r="C18" s="87">
        <v>30</v>
      </c>
      <c r="I18" s="51"/>
    </row>
    <row r="19" spans="1:32" ht="17.399999999999999">
      <c r="A19" s="114" t="s">
        <v>176</v>
      </c>
      <c r="B19" s="88"/>
      <c r="C19" s="89"/>
      <c r="I19" s="51"/>
    </row>
    <row r="20" spans="1:32" ht="18.600000000000001">
      <c r="A20" s="90" t="s">
        <v>160</v>
      </c>
      <c r="B20" s="91"/>
      <c r="C20" s="92">
        <f>C17+C27-C18*C32</f>
        <v>1713.7045155925157</v>
      </c>
      <c r="I20" s="51"/>
    </row>
    <row r="21" spans="1:32">
      <c r="I21" s="51"/>
    </row>
    <row r="22" spans="1:32">
      <c r="B22" s="78"/>
      <c r="C22" s="78"/>
      <c r="E22" s="79"/>
      <c r="F22" s="78"/>
      <c r="G22" s="79"/>
      <c r="H22" s="51"/>
    </row>
    <row r="23" spans="1:32" ht="18.600000000000001">
      <c r="A23" s="96" t="s">
        <v>161</v>
      </c>
      <c r="B23" s="93"/>
      <c r="C23" s="94"/>
      <c r="D23" s="79" t="s">
        <v>162</v>
      </c>
      <c r="F23" s="78"/>
      <c r="G23" s="78"/>
      <c r="H23" s="78"/>
      <c r="I23" s="60"/>
      <c r="J23" s="60"/>
      <c r="AF23" t="e">
        <f>1545-#REF!</f>
        <v>#REF!</v>
      </c>
    </row>
    <row r="24" spans="1:32">
      <c r="A24" s="95" t="s">
        <v>164</v>
      </c>
      <c r="B24" s="60"/>
      <c r="C24" s="130">
        <v>130000</v>
      </c>
      <c r="D24" s="78" t="s">
        <v>172</v>
      </c>
      <c r="F24" s="78"/>
      <c r="G24" s="78"/>
      <c r="H24" s="78"/>
      <c r="I24" s="60"/>
      <c r="J24" s="60"/>
      <c r="AF24" t="e">
        <f>AF23+273</f>
        <v>#REF!</v>
      </c>
    </row>
    <row r="25" spans="1:32">
      <c r="A25" s="95" t="s">
        <v>165</v>
      </c>
      <c r="B25" s="60"/>
      <c r="C25" s="130">
        <f>0.6*190+0.2*128+0.2*264</f>
        <v>192.4</v>
      </c>
      <c r="D25" s="78" t="s">
        <v>173</v>
      </c>
      <c r="F25" s="63"/>
      <c r="G25" s="63"/>
      <c r="H25" s="63"/>
      <c r="I25" s="63"/>
      <c r="J25" s="63"/>
    </row>
    <row r="26" spans="1:32">
      <c r="A26" s="95" t="s">
        <v>177</v>
      </c>
      <c r="B26" s="60"/>
      <c r="C26" s="130">
        <v>0.22</v>
      </c>
      <c r="E26" s="67"/>
      <c r="F26" s="67"/>
      <c r="G26" s="67"/>
      <c r="H26" s="67"/>
      <c r="I26" s="67"/>
      <c r="J26" s="67"/>
    </row>
    <row r="27" spans="1:32">
      <c r="A27" s="95" t="s">
        <v>178</v>
      </c>
      <c r="B27" s="60"/>
      <c r="C27" s="130">
        <f>C26*C24/C25</f>
        <v>148.64864864864865</v>
      </c>
      <c r="E27" s="67"/>
      <c r="F27" s="67"/>
      <c r="G27" s="67"/>
      <c r="H27" s="67"/>
      <c r="I27" s="67"/>
      <c r="J27" s="67"/>
    </row>
    <row r="28" spans="1:32">
      <c r="A28" s="97" t="s">
        <v>166</v>
      </c>
      <c r="B28" s="60"/>
      <c r="C28" s="130">
        <f>(0.2*6.609+0.2*3.128+0.6*4.365)</f>
        <v>4.5663999999999998</v>
      </c>
    </row>
    <row r="29" spans="1:32">
      <c r="A29" s="97" t="s">
        <v>167</v>
      </c>
      <c r="B29" s="60"/>
      <c r="C29" s="130">
        <f>3.3*10^-5</f>
        <v>3.3000000000000003E-5</v>
      </c>
    </row>
    <row r="30" spans="1:32">
      <c r="A30" s="97" t="s">
        <v>163</v>
      </c>
      <c r="B30" s="60"/>
      <c r="C30" s="130">
        <v>1700</v>
      </c>
    </row>
    <row r="31" spans="1:32">
      <c r="A31" s="97" t="s">
        <v>168</v>
      </c>
      <c r="B31" s="60"/>
      <c r="C31" s="130">
        <f>C28*C29*C30/C25</f>
        <v>1.3314711018711019E-3</v>
      </c>
    </row>
    <row r="32" spans="1:32">
      <c r="A32" s="98" t="s">
        <v>86</v>
      </c>
      <c r="B32" s="5"/>
      <c r="C32" s="99">
        <f>C31*1000</f>
        <v>1.3314711018711018</v>
      </c>
    </row>
    <row r="34" spans="1:3">
      <c r="A34" s="110" t="s">
        <v>171</v>
      </c>
      <c r="B34" s="2"/>
      <c r="C34" s="3"/>
    </row>
    <row r="35" spans="1:3">
      <c r="A35" s="59"/>
      <c r="B35" s="60" t="s">
        <v>153</v>
      </c>
      <c r="C35" s="61" t="s">
        <v>154</v>
      </c>
    </row>
    <row r="36" spans="1:3">
      <c r="A36" s="111" t="s">
        <v>155</v>
      </c>
      <c r="B36" s="112">
        <v>-2.7612679999999998</v>
      </c>
      <c r="C36" s="113">
        <v>-2.1471610000000001</v>
      </c>
    </row>
    <row r="37" spans="1:3">
      <c r="A37" s="111" t="s">
        <v>157</v>
      </c>
      <c r="B37" s="112">
        <v>5211.7035999999998</v>
      </c>
      <c r="C37" s="113">
        <v>2607.0205000000001</v>
      </c>
    </row>
    <row r="38" spans="1:3">
      <c r="A38" s="111" t="s">
        <v>156</v>
      </c>
      <c r="B38" s="112">
        <v>0</v>
      </c>
      <c r="C38" s="113">
        <v>2.2680599999999999E-2</v>
      </c>
    </row>
    <row r="39" spans="1:3">
      <c r="A39" s="111" t="s">
        <v>122</v>
      </c>
      <c r="B39" s="112">
        <v>4.3233099999999997E-2</v>
      </c>
      <c r="C39" s="113">
        <v>3.1175100000000001E-2</v>
      </c>
    </row>
    <row r="40" spans="1:3">
      <c r="A40" s="111" t="s">
        <v>123</v>
      </c>
      <c r="B40" s="112">
        <v>0</v>
      </c>
      <c r="C40" s="113">
        <v>0</v>
      </c>
    </row>
    <row r="41" spans="1:3">
      <c r="A41" s="111" t="s">
        <v>124</v>
      </c>
      <c r="B41" s="112">
        <v>10.702057999999999</v>
      </c>
      <c r="C41" s="113">
        <v>0</v>
      </c>
    </row>
    <row r="42" spans="1:3">
      <c r="A42" s="111"/>
      <c r="B42" s="112"/>
      <c r="C42" s="113"/>
    </row>
    <row r="43" spans="1:3">
      <c r="A43" s="62" t="s">
        <v>17</v>
      </c>
      <c r="B43" s="63" t="s">
        <v>125</v>
      </c>
      <c r="C43" s="64">
        <f>B37</f>
        <v>5211.7035999999998</v>
      </c>
    </row>
    <row r="44" spans="1:3">
      <c r="A44" s="62" t="s">
        <v>18</v>
      </c>
      <c r="B44" s="63" t="s">
        <v>127</v>
      </c>
      <c r="C44" s="64">
        <f>C37</f>
        <v>2607.0205000000001</v>
      </c>
    </row>
    <row r="45" spans="1:3">
      <c r="A45" s="59" t="s">
        <v>17</v>
      </c>
      <c r="B45" s="63" t="s">
        <v>126</v>
      </c>
      <c r="C45" s="64">
        <f>B36+B38*B8+B39*B9+B40*B10</f>
        <v>-2.6920950399999999</v>
      </c>
    </row>
    <row r="46" spans="1:3">
      <c r="A46" s="4" t="s">
        <v>18</v>
      </c>
      <c r="B46" s="65" t="s">
        <v>91</v>
      </c>
      <c r="C46" s="66">
        <f>C36+C38*B8+C39*B9+C40*B10</f>
        <v>-1.8931554400000001</v>
      </c>
    </row>
    <row r="48" spans="1:3" ht="19.8">
      <c r="A48" s="50" t="s">
        <v>135</v>
      </c>
    </row>
    <row r="49" spans="1:89" s="51" customFormat="1" ht="17.399999999999999">
      <c r="C49" s="100" t="s">
        <v>169</v>
      </c>
      <c r="I49" s="100" t="s">
        <v>169</v>
      </c>
      <c r="O49" s="100" t="s">
        <v>169</v>
      </c>
      <c r="U49" s="100" t="s">
        <v>169</v>
      </c>
      <c r="AA49" s="100" t="s">
        <v>169</v>
      </c>
      <c r="AG49" s="100" t="s">
        <v>169</v>
      </c>
      <c r="AM49" s="100" t="s">
        <v>169</v>
      </c>
      <c r="AS49" s="100" t="s">
        <v>169</v>
      </c>
      <c r="AY49" s="100" t="s">
        <v>169</v>
      </c>
      <c r="BE49" s="100" t="s">
        <v>169</v>
      </c>
      <c r="BK49" s="100" t="s">
        <v>169</v>
      </c>
      <c r="BQ49" s="100" t="s">
        <v>169</v>
      </c>
      <c r="BW49" s="100" t="s">
        <v>169</v>
      </c>
      <c r="CC49" s="100" t="s">
        <v>169</v>
      </c>
      <c r="CI49" s="100" t="s">
        <v>169</v>
      </c>
    </row>
    <row r="50" spans="1:89" s="107" customFormat="1">
      <c r="A50" s="96"/>
      <c r="B50" s="93"/>
      <c r="C50" s="101">
        <v>2000</v>
      </c>
      <c r="D50" s="102"/>
      <c r="E50" s="103"/>
      <c r="F50" s="103"/>
      <c r="G50" s="104"/>
      <c r="H50" s="105"/>
      <c r="I50" s="106">
        <f>C50-100</f>
        <v>1900</v>
      </c>
      <c r="J50" s="102"/>
      <c r="M50" s="104"/>
      <c r="N50" s="105"/>
      <c r="O50" s="106">
        <f>I50-100</f>
        <v>1800</v>
      </c>
      <c r="P50" s="102"/>
      <c r="S50" s="104"/>
      <c r="T50" s="105"/>
      <c r="U50" s="106">
        <f>O50-100</f>
        <v>1700</v>
      </c>
      <c r="V50" s="102"/>
      <c r="Y50" s="104"/>
      <c r="Z50" s="105"/>
      <c r="AA50" s="106">
        <f>U50-100</f>
        <v>1600</v>
      </c>
      <c r="AB50" s="102"/>
      <c r="AE50" s="104"/>
      <c r="AF50" s="105"/>
      <c r="AG50" s="106">
        <f>AA50-100</f>
        <v>1500</v>
      </c>
      <c r="AH50" s="102"/>
      <c r="AK50" s="104"/>
      <c r="AL50" s="105"/>
      <c r="AM50" s="106">
        <f>AG50-100</f>
        <v>1400</v>
      </c>
      <c r="AN50" s="102"/>
      <c r="AQ50" s="104"/>
      <c r="AR50" s="105"/>
      <c r="AS50" s="106">
        <f>AM50-100</f>
        <v>1300</v>
      </c>
      <c r="AT50" s="102"/>
      <c r="AW50" s="104"/>
      <c r="AX50" s="105"/>
      <c r="AY50" s="106">
        <v>1200</v>
      </c>
      <c r="AZ50" s="102"/>
      <c r="BC50" s="104"/>
      <c r="BD50" s="105"/>
      <c r="BE50" s="106">
        <v>1100</v>
      </c>
      <c r="BF50" s="102"/>
      <c r="BI50" s="104"/>
      <c r="BJ50" s="105"/>
      <c r="BK50" s="106">
        <v>1000</v>
      </c>
      <c r="BL50" s="102"/>
      <c r="BO50" s="104"/>
      <c r="BP50" s="105"/>
      <c r="BQ50" s="106">
        <v>900</v>
      </c>
      <c r="BR50" s="102"/>
      <c r="BU50" s="104"/>
      <c r="BV50" s="105"/>
      <c r="BW50" s="106">
        <v>800</v>
      </c>
      <c r="BX50" s="102"/>
      <c r="CA50" s="104"/>
      <c r="CB50" s="105"/>
      <c r="CC50" s="108">
        <v>700</v>
      </c>
      <c r="CD50" s="102"/>
      <c r="CG50" s="104"/>
      <c r="CH50" s="105"/>
      <c r="CI50" s="109">
        <v>600</v>
      </c>
      <c r="CJ50" s="102"/>
    </row>
    <row r="51" spans="1:89">
      <c r="A51" s="4" t="s">
        <v>92</v>
      </c>
      <c r="B51" s="5" t="s">
        <v>93</v>
      </c>
      <c r="C51" s="68" t="s">
        <v>94</v>
      </c>
      <c r="D51" s="69" t="s">
        <v>95</v>
      </c>
      <c r="E51" s="68" t="s">
        <v>94</v>
      </c>
      <c r="F51" s="70"/>
      <c r="G51" s="4" t="s">
        <v>92</v>
      </c>
      <c r="H51" s="5" t="s">
        <v>93</v>
      </c>
      <c r="I51" s="68" t="s">
        <v>94</v>
      </c>
      <c r="J51" s="69" t="s">
        <v>95</v>
      </c>
      <c r="K51" s="68" t="s">
        <v>94</v>
      </c>
      <c r="M51" s="4" t="s">
        <v>92</v>
      </c>
      <c r="N51" s="5" t="s">
        <v>93</v>
      </c>
      <c r="O51" s="68" t="s">
        <v>94</v>
      </c>
      <c r="P51" s="69" t="s">
        <v>95</v>
      </c>
      <c r="Q51" s="68" t="s">
        <v>94</v>
      </c>
      <c r="S51" s="4" t="s">
        <v>92</v>
      </c>
      <c r="T51" s="5" t="s">
        <v>93</v>
      </c>
      <c r="U51" s="68" t="s">
        <v>94</v>
      </c>
      <c r="V51" s="69" t="s">
        <v>95</v>
      </c>
      <c r="W51" s="68" t="s">
        <v>94</v>
      </c>
      <c r="Y51" s="4" t="s">
        <v>92</v>
      </c>
      <c r="Z51" s="5" t="s">
        <v>93</v>
      </c>
      <c r="AA51" s="68" t="s">
        <v>94</v>
      </c>
      <c r="AB51" s="69" t="s">
        <v>95</v>
      </c>
      <c r="AC51" s="68" t="s">
        <v>94</v>
      </c>
      <c r="AE51" s="4" t="s">
        <v>92</v>
      </c>
      <c r="AF51" s="5" t="s">
        <v>93</v>
      </c>
      <c r="AG51" s="68" t="s">
        <v>94</v>
      </c>
      <c r="AH51" s="69" t="s">
        <v>95</v>
      </c>
      <c r="AI51" s="68" t="s">
        <v>94</v>
      </c>
      <c r="AK51" s="4" t="s">
        <v>92</v>
      </c>
      <c r="AL51" s="5" t="s">
        <v>93</v>
      </c>
      <c r="AM51" s="68" t="s">
        <v>94</v>
      </c>
      <c r="AN51" s="69" t="s">
        <v>95</v>
      </c>
      <c r="AO51" s="68" t="s">
        <v>94</v>
      </c>
      <c r="AQ51" s="4" t="s">
        <v>92</v>
      </c>
      <c r="AR51" s="5" t="s">
        <v>93</v>
      </c>
      <c r="AS51" s="68" t="s">
        <v>94</v>
      </c>
      <c r="AT51" s="69" t="s">
        <v>95</v>
      </c>
      <c r="AU51" s="68" t="s">
        <v>94</v>
      </c>
      <c r="AW51" s="4" t="s">
        <v>92</v>
      </c>
      <c r="AX51" s="5" t="s">
        <v>93</v>
      </c>
      <c r="AY51" s="68" t="s">
        <v>94</v>
      </c>
      <c r="AZ51" s="69" t="s">
        <v>95</v>
      </c>
      <c r="BA51" s="68" t="s">
        <v>94</v>
      </c>
      <c r="BC51" s="4" t="s">
        <v>92</v>
      </c>
      <c r="BD51" s="5" t="s">
        <v>93</v>
      </c>
      <c r="BE51" s="68" t="s">
        <v>94</v>
      </c>
      <c r="BF51" s="69" t="s">
        <v>95</v>
      </c>
      <c r="BG51" s="68" t="s">
        <v>94</v>
      </c>
      <c r="BI51" s="4" t="s">
        <v>92</v>
      </c>
      <c r="BJ51" s="5" t="s">
        <v>93</v>
      </c>
      <c r="BK51" s="68" t="s">
        <v>94</v>
      </c>
      <c r="BL51" s="69" t="s">
        <v>95</v>
      </c>
      <c r="BM51" s="68" t="s">
        <v>94</v>
      </c>
      <c r="BO51" s="4" t="s">
        <v>92</v>
      </c>
      <c r="BP51" s="5" t="s">
        <v>93</v>
      </c>
      <c r="BQ51" s="68" t="s">
        <v>94</v>
      </c>
      <c r="BR51" s="69" t="s">
        <v>95</v>
      </c>
      <c r="BS51" s="68" t="s">
        <v>94</v>
      </c>
      <c r="BU51" s="4" t="s">
        <v>92</v>
      </c>
      <c r="BV51" s="5" t="s">
        <v>93</v>
      </c>
      <c r="BW51" s="68" t="s">
        <v>94</v>
      </c>
      <c r="BX51" s="69" t="s">
        <v>95</v>
      </c>
      <c r="BY51" s="68" t="s">
        <v>94</v>
      </c>
      <c r="CA51" s="4" t="s">
        <v>92</v>
      </c>
      <c r="CB51" s="5" t="s">
        <v>93</v>
      </c>
      <c r="CC51" s="68" t="s">
        <v>94</v>
      </c>
      <c r="CD51" s="69" t="s">
        <v>95</v>
      </c>
      <c r="CE51" s="68" t="s">
        <v>94</v>
      </c>
      <c r="CG51" s="4" t="s">
        <v>92</v>
      </c>
      <c r="CH51" s="5" t="s">
        <v>93</v>
      </c>
      <c r="CI51" s="68" t="s">
        <v>94</v>
      </c>
      <c r="CJ51" s="69" t="s">
        <v>95</v>
      </c>
      <c r="CK51" s="68" t="s">
        <v>94</v>
      </c>
    </row>
    <row r="52" spans="1:89">
      <c r="A52">
        <f t="shared" ref="A52:A72" si="0">EXP($C$45+$C$43/C$50+$B$41*$B$14/C$50)</f>
        <v>1.0771165719846167</v>
      </c>
      <c r="B52">
        <f t="shared" ref="B52:B72" si="1">EXP($C$46+$C$44/C$50+$C$41*$B$14/C$50)</f>
        <v>0.5545240004946993</v>
      </c>
      <c r="C52">
        <f>(0.6667-D52*B52)/A52</f>
        <v>0.61896735909613476</v>
      </c>
      <c r="D52">
        <v>0</v>
      </c>
      <c r="E52">
        <f>C52</f>
        <v>0.61896735909613476</v>
      </c>
      <c r="G52">
        <f t="shared" ref="G52:G72" si="2">EXP($C$45+$C$43/I$50+$B$41*$B$14/I$50)</f>
        <v>1.2459355803870673</v>
      </c>
      <c r="H52">
        <f t="shared" ref="H52:H72" si="3">EXP($C$46+$C$44/I$50+$C$41*$B$14/I$50)</f>
        <v>0.59390293184916687</v>
      </c>
      <c r="I52">
        <f>(0.6667-J52*H52)/G52</f>
        <v>0.53509989641108113</v>
      </c>
      <c r="J52">
        <v>0</v>
      </c>
      <c r="K52">
        <f>I52</f>
        <v>0.53509989641108113</v>
      </c>
      <c r="M52">
        <f t="shared" ref="M52:M72" si="4">EXP($C$45+$C$43/O$50+$B$41*$B$14/O$50)</f>
        <v>1.4647190981721883</v>
      </c>
      <c r="N52">
        <f t="shared" ref="N52:N72" si="5">EXP($C$46+$C$44/O$50+$C$41*$B$14/O$50)</f>
        <v>0.64094558415571345</v>
      </c>
      <c r="O52">
        <f>(0.6667-P52*N52)/M52</f>
        <v>0.4551725998739074</v>
      </c>
      <c r="P52">
        <v>0</v>
      </c>
      <c r="Q52">
        <f>O52</f>
        <v>0.4551725998739074</v>
      </c>
      <c r="S52">
        <f t="shared" ref="S52:S72" si="6">EXP($C$45+$C$43/U$50+$B$41*$B$14/U$50)</f>
        <v>1.7550069325111373</v>
      </c>
      <c r="T52">
        <f t="shared" ref="T52:T72" si="7">EXP($C$46+$C$44/U$50+$C$41*$B$14/U$50)</f>
        <v>0.69794570246400056</v>
      </c>
      <c r="U52">
        <f>(0.6667-V52*T52)/S52</f>
        <v>0.3798845392855843</v>
      </c>
      <c r="V52">
        <v>0</v>
      </c>
      <c r="W52">
        <f>U52</f>
        <v>0.3798845392855843</v>
      </c>
      <c r="Y52">
        <f t="shared" ref="Y52:Y72" si="8">EXP($C$45+$C$43/AA$50+$B$41*$B$14/AA$50)</f>
        <v>2.1508934145990133</v>
      </c>
      <c r="Z52">
        <f t="shared" ref="Z52:Z72" si="9">EXP($C$46+$C$44/AA$50+$C$41*$B$14/AA$50)</f>
        <v>0.76815201632378161</v>
      </c>
      <c r="AA52">
        <f>(0.6667-AB52*Z52)/Y52</f>
        <v>0.3099642202048824</v>
      </c>
      <c r="AB52">
        <v>0</v>
      </c>
      <c r="AC52">
        <f>AA52</f>
        <v>0.3099642202048824</v>
      </c>
      <c r="AE52">
        <f t="shared" ref="AE52:AE72" si="10">EXP($C$45+$C$43/AG$50+$B$41*$B$14/AG$50)</f>
        <v>2.7085547408301465</v>
      </c>
      <c r="AF52">
        <f t="shared" ref="AF52:AF72" si="11">EXP($C$46+$C$44/AG$50+$C$41*$B$14/AG$50)</f>
        <v>0.8562937692556124</v>
      </c>
      <c r="AG52">
        <f>(0.6667-AH52*AF52)/AE52</f>
        <v>0.24614603129477927</v>
      </c>
      <c r="AH52">
        <v>0</v>
      </c>
      <c r="AI52">
        <f>AG52</f>
        <v>0.24614603129477927</v>
      </c>
      <c r="AK52">
        <f t="shared" ref="AK52:AK72" si="12">EXP($C$45+$C$43/AM$50+$B$41*$B$14/AM$50)</f>
        <v>3.5249991772401073</v>
      </c>
      <c r="AL52">
        <f t="shared" ref="AL52:AL72" si="13">EXP($C$46+$C$44/AM$50+$C$41*$B$14/AM$50)</f>
        <v>0.96947757019776348</v>
      </c>
      <c r="AM52">
        <f>(0.6667-AN52*AL52)/AK52</f>
        <v>0.18913479591844662</v>
      </c>
      <c r="AN52">
        <v>0</v>
      </c>
      <c r="AO52">
        <f>AM52</f>
        <v>0.18913479591844662</v>
      </c>
      <c r="AQ52">
        <f t="shared" ref="AQ52:AQ72" si="14">EXP($C$45+$C$43/AS$50+$B$41*$B$14/AS$50)</f>
        <v>4.7773132097521307</v>
      </c>
      <c r="AR52">
        <f t="shared" ref="AR52:AR72" si="15">EXP($C$46+$C$44/AS$50+$C$41*$B$14/AS$50)</f>
        <v>1.1187868679044299</v>
      </c>
      <c r="AS52">
        <f>(0.6667-AT52*AR52)/AQ52</f>
        <v>0.13955543016083541</v>
      </c>
      <c r="AT52">
        <v>0</v>
      </c>
      <c r="AU52">
        <f>AS52</f>
        <v>0.13955543016083541</v>
      </c>
      <c r="AW52">
        <f t="shared" ref="AW52:AW72" si="16">EXP($C$45+$C$43/AY$50+$B$41*$B$14/AY$50)</f>
        <v>6.8110258210549928</v>
      </c>
      <c r="AX52">
        <f t="shared" ref="AX52:AX72" si="17">EXP($C$46+$C$44/AY$50+$C$41*$B$14/AY$50)</f>
        <v>1.3222854531307033</v>
      </c>
      <c r="AY52">
        <f>(0.6667-AZ52*AX52)/AW52</f>
        <v>9.7885401922721174E-2</v>
      </c>
      <c r="AZ52">
        <v>0</v>
      </c>
      <c r="BA52">
        <f>AY52</f>
        <v>9.7885401922721174E-2</v>
      </c>
      <c r="BC52">
        <f t="shared" ref="BC52:BC72" si="18">EXP($C$45+$C$43/BE$50+$B$41*$B$14/BE$50)</f>
        <v>10.357300493248442</v>
      </c>
      <c r="BD52">
        <f t="shared" ref="BD52:BD72" si="19">EXP($C$46+$C$44/BE$50+$C$41*$B$14/BE$50)</f>
        <v>1.6110130365366819</v>
      </c>
      <c r="BE52">
        <f>(0.6667-BF52*BD52)/BC52</f>
        <v>6.4370054768093113E-2</v>
      </c>
      <c r="BF52">
        <v>0</v>
      </c>
      <c r="BG52">
        <f>BE52</f>
        <v>6.4370054768093113E-2</v>
      </c>
      <c r="BI52">
        <f t="shared" ref="BI52:BI72" si="20">EXP($C$45+$C$43/BK$50+$B$41*$B$14/BK$50)</f>
        <v>17.127242080719306</v>
      </c>
      <c r="BJ52">
        <f t="shared" ref="BJ52:BJ72" si="21">EXP($C$46+$C$44/BK$50+$C$41*$B$14/BK$50)</f>
        <v>2.041867969074457</v>
      </c>
      <c r="BK52">
        <f>(0.6667-BL52*BJ52)/BI52</f>
        <v>3.8926290459251806E-2</v>
      </c>
      <c r="BL52">
        <v>0</v>
      </c>
      <c r="BM52">
        <f>BK52</f>
        <v>3.8926290459251806E-2</v>
      </c>
      <c r="BO52">
        <f t="shared" ref="BO52:BO72" si="22">EXP($C$45+$C$43/BQ$50+$B$41*$B$14/BQ$50)</f>
        <v>31.671651440175555</v>
      </c>
      <c r="BP52">
        <f t="shared" ref="BP52:BP72" si="23">EXP($C$46+$C$44/BQ$50+$C$41*$B$14/BQ$50)</f>
        <v>2.7279052431014139</v>
      </c>
      <c r="BQ52">
        <f>(0.6667-BR52*BP52)/BO52</f>
        <v>2.1050370589589452E-2</v>
      </c>
      <c r="BR52">
        <v>0</v>
      </c>
      <c r="BS52">
        <f>BQ52</f>
        <v>2.1050370589589452E-2</v>
      </c>
      <c r="BU52">
        <f t="shared" ref="BU52:BU72" si="24">EXP($C$45+$C$43/BW$50+$B$41*$B$14/BW$50)</f>
        <v>68.296712692420613</v>
      </c>
      <c r="BV52">
        <f t="shared" ref="BV52:BV72" si="25">EXP($C$46+$C$44/BW$50+$C$41*$B$14/BW$50)</f>
        <v>3.9181522779005942</v>
      </c>
      <c r="BW52">
        <f>(0.6667-BX52*BV52)/BU52</f>
        <v>9.7618168388650499E-3</v>
      </c>
      <c r="BX52">
        <v>0</v>
      </c>
      <c r="BY52">
        <f>BW52</f>
        <v>9.7618168388650499E-3</v>
      </c>
      <c r="CA52">
        <f t="shared" ref="CA52:CA72" si="26">EXP($C$45+$C$43/CC$50+$B$41*$B$14/CC$50)</f>
        <v>183.4340946413366</v>
      </c>
      <c r="CB52">
        <f t="shared" ref="CB52:CB72" si="27">EXP($C$46+$C$44/CC$50+$C$41*$B$14/CC$50)</f>
        <v>6.2411194167366153</v>
      </c>
      <c r="CC52">
        <f>(0.6667-CD52*CB52)/CA52</f>
        <v>3.6345478810990905E-3</v>
      </c>
      <c r="CD52">
        <v>0</v>
      </c>
      <c r="CE52">
        <f>CC52</f>
        <v>3.6345478810990905E-3</v>
      </c>
      <c r="CG52">
        <f t="shared" ref="CG52:CG72" si="28">EXP($C$45+$C$43/CI$50+$B$41*$B$14/CI$50)</f>
        <v>684.83677600689953</v>
      </c>
      <c r="CH52">
        <f t="shared" ref="CH52:CH72" si="29">EXP($C$46+$C$44/CI$50+$C$41*$B$14/CI$50)</f>
        <v>11.610138519235557</v>
      </c>
      <c r="CI52">
        <f>(0.6667-CJ52*CH52)/CG52</f>
        <v>9.735166441956428E-4</v>
      </c>
      <c r="CJ52">
        <v>0</v>
      </c>
      <c r="CK52">
        <f>CI52</f>
        <v>9.735166441956428E-4</v>
      </c>
    </row>
    <row r="53" spans="1:89">
      <c r="A53">
        <f t="shared" si="0"/>
        <v>1.0771165719846167</v>
      </c>
      <c r="B53">
        <f t="shared" si="1"/>
        <v>0.5545240004946993</v>
      </c>
      <c r="C53">
        <f t="shared" ref="C53:C72" si="30">(0.6667-D53*B53)/A53</f>
        <v>0.61381913266533195</v>
      </c>
      <c r="D53">
        <v>0.01</v>
      </c>
      <c r="E53">
        <f t="shared" ref="E53:E72" si="31">C53</f>
        <v>0.61381913266533195</v>
      </c>
      <c r="G53">
        <f t="shared" si="2"/>
        <v>1.2459355803870673</v>
      </c>
      <c r="H53">
        <f t="shared" si="3"/>
        <v>0.59390293184916687</v>
      </c>
      <c r="I53">
        <f t="shared" ref="I53:I72" si="32">(0.6667-J53*H53)/G53</f>
        <v>0.5303331737875514</v>
      </c>
      <c r="J53">
        <v>0.01</v>
      </c>
      <c r="K53">
        <f t="shared" ref="K53:K72" si="33">I53</f>
        <v>0.5303331737875514</v>
      </c>
      <c r="M53">
        <f t="shared" si="4"/>
        <v>1.4647190981721883</v>
      </c>
      <c r="N53">
        <f t="shared" si="5"/>
        <v>0.64094558415571345</v>
      </c>
      <c r="O53">
        <f t="shared" ref="O53:O72" si="34">(0.6667-P53*N53)/M53</f>
        <v>0.45079670564985075</v>
      </c>
      <c r="P53">
        <v>0.01</v>
      </c>
      <c r="Q53">
        <f t="shared" ref="Q53:Q72" si="35">O53</f>
        <v>0.45079670564985075</v>
      </c>
      <c r="S53">
        <f t="shared" si="6"/>
        <v>1.7550069325111373</v>
      </c>
      <c r="T53">
        <f t="shared" si="7"/>
        <v>0.69794570246400056</v>
      </c>
      <c r="U53">
        <f t="shared" ref="U53:U72" si="36">(0.6667-V53*T53)/S53</f>
        <v>0.37590765640532497</v>
      </c>
      <c r="V53">
        <v>0.01</v>
      </c>
      <c r="W53">
        <f t="shared" ref="W53:W72" si="37">U53</f>
        <v>0.37590765640532497</v>
      </c>
      <c r="Y53">
        <f t="shared" si="8"/>
        <v>2.1508934145990133</v>
      </c>
      <c r="Z53">
        <f t="shared" si="9"/>
        <v>0.76815201632378161</v>
      </c>
      <c r="AA53">
        <f t="shared" ref="AA53:AA72" si="38">(0.6667-AB53*Z53)/Y53</f>
        <v>0.30639290415960552</v>
      </c>
      <c r="AB53">
        <v>0.01</v>
      </c>
      <c r="AC53">
        <f t="shared" ref="AC53:AC72" si="39">AA53</f>
        <v>0.30639290415960552</v>
      </c>
      <c r="AE53">
        <f t="shared" si="10"/>
        <v>2.7085547408301465</v>
      </c>
      <c r="AF53">
        <f t="shared" si="11"/>
        <v>0.8562937692556124</v>
      </c>
      <c r="AG53">
        <f t="shared" ref="AG53:AG72" si="40">(0.6667-AH53*AF53)/AE53</f>
        <v>0.24298458967298961</v>
      </c>
      <c r="AH53">
        <v>0.01</v>
      </c>
      <c r="AI53">
        <f t="shared" ref="AI53:AI72" si="41">AG53</f>
        <v>0.24298458967298961</v>
      </c>
      <c r="AK53">
        <f t="shared" si="12"/>
        <v>3.5249991772401073</v>
      </c>
      <c r="AL53">
        <f t="shared" si="13"/>
        <v>0.96947757019776348</v>
      </c>
      <c r="AM53">
        <f t="shared" ref="AM53:AM72" si="42">(0.6667-AN53*AL53)/AK53</f>
        <v>0.1863845042972247</v>
      </c>
      <c r="AN53">
        <v>0.01</v>
      </c>
      <c r="AO53">
        <f t="shared" ref="AO53:AO72" si="43">AM53</f>
        <v>0.1863845042972247</v>
      </c>
      <c r="AQ53">
        <f t="shared" si="14"/>
        <v>4.7773132097521307</v>
      </c>
      <c r="AR53">
        <f t="shared" si="15"/>
        <v>1.1187868679044299</v>
      </c>
      <c r="AS53">
        <f t="shared" ref="AS53:AS72" si="44">(0.6667-AT53*AR53)/AQ53</f>
        <v>0.13721355551543724</v>
      </c>
      <c r="AT53">
        <v>0.01</v>
      </c>
      <c r="AU53">
        <f t="shared" ref="AU53:AU72" si="45">AS53</f>
        <v>0.13721355551543724</v>
      </c>
      <c r="AW53">
        <f t="shared" si="16"/>
        <v>6.8110258210549928</v>
      </c>
      <c r="AX53">
        <f t="shared" si="17"/>
        <v>1.3222854531307033</v>
      </c>
      <c r="AY53">
        <f t="shared" ref="AY53:AY72" si="46">(0.6667-AZ53*AX53)/AW53</f>
        <v>9.5944012346655991E-2</v>
      </c>
      <c r="AZ53">
        <v>0.01</v>
      </c>
      <c r="BA53">
        <f t="shared" ref="BA53:BA72" si="47">AY53</f>
        <v>9.5944012346655991E-2</v>
      </c>
      <c r="BC53">
        <f t="shared" si="18"/>
        <v>10.357300493248442</v>
      </c>
      <c r="BD53">
        <f t="shared" si="19"/>
        <v>1.6110130365366819</v>
      </c>
      <c r="BE53">
        <f t="shared" ref="BE53:BE72" si="48">(0.6667-BF53*BD53)/BC53</f>
        <v>6.2814617579042886E-2</v>
      </c>
      <c r="BF53">
        <v>0.01</v>
      </c>
      <c r="BG53">
        <f t="shared" ref="BG53:BG72" si="49">BE53</f>
        <v>6.2814617579042886E-2</v>
      </c>
      <c r="BI53">
        <f t="shared" si="20"/>
        <v>17.127242080719306</v>
      </c>
      <c r="BJ53">
        <f t="shared" si="21"/>
        <v>2.041867969074457</v>
      </c>
      <c r="BK53">
        <f t="shared" ref="BK53:BK72" si="50">(0.6667-BL53*BJ53)/BI53</f>
        <v>3.7734114883376073E-2</v>
      </c>
      <c r="BL53">
        <v>0.01</v>
      </c>
      <c r="BM53">
        <f t="shared" ref="BM53:BM72" si="51">BK53</f>
        <v>3.7734114883376073E-2</v>
      </c>
      <c r="BO53">
        <f t="shared" si="22"/>
        <v>31.671651440175555</v>
      </c>
      <c r="BP53">
        <f t="shared" si="23"/>
        <v>2.7279052431014139</v>
      </c>
      <c r="BQ53">
        <f t="shared" ref="BQ53:BQ72" si="52">(0.6667-BR53*BP53)/BO53</f>
        <v>2.0189062410489875E-2</v>
      </c>
      <c r="BR53">
        <v>0.01</v>
      </c>
      <c r="BS53">
        <f t="shared" ref="BS53:BS72" si="53">BQ53</f>
        <v>2.0189062410489875E-2</v>
      </c>
      <c r="BU53">
        <f t="shared" si="24"/>
        <v>68.296712692420613</v>
      </c>
      <c r="BV53">
        <f t="shared" si="25"/>
        <v>3.9181522779005942</v>
      </c>
      <c r="BW53">
        <f t="shared" ref="BW53:BW72" si="54">(0.6667-BX53*BV53)/BU53</f>
        <v>9.1881212503897632E-3</v>
      </c>
      <c r="BX53">
        <v>0.01</v>
      </c>
      <c r="BY53">
        <f t="shared" ref="BY53:BY72" si="55">BW53</f>
        <v>9.1881212503897632E-3</v>
      </c>
      <c r="CA53">
        <f t="shared" si="26"/>
        <v>183.4340946413366</v>
      </c>
      <c r="CB53">
        <f t="shared" si="27"/>
        <v>6.2411194167366153</v>
      </c>
      <c r="CC53">
        <f t="shared" ref="CC53:CC72" si="56">(0.6667-CD53*CB53)/CA53</f>
        <v>3.294310182707213E-3</v>
      </c>
      <c r="CD53">
        <v>0.01</v>
      </c>
      <c r="CE53">
        <f t="shared" ref="CE53:CE72" si="57">CC53</f>
        <v>3.294310182707213E-3</v>
      </c>
      <c r="CG53">
        <f t="shared" si="28"/>
        <v>684.83677600689953</v>
      </c>
      <c r="CH53">
        <f t="shared" si="29"/>
        <v>11.610138519235557</v>
      </c>
      <c r="CI53">
        <f t="shared" ref="CI53:CI72" si="58">(0.6667-CJ53*CH53)/CG53</f>
        <v>8.0398517442074001E-4</v>
      </c>
      <c r="CJ53">
        <v>0.01</v>
      </c>
      <c r="CK53">
        <f t="shared" ref="CK53:CK72" si="59">CI53</f>
        <v>8.0398517442074001E-4</v>
      </c>
    </row>
    <row r="54" spans="1:89">
      <c r="A54">
        <f t="shared" si="0"/>
        <v>1.0771165719846167</v>
      </c>
      <c r="B54">
        <f t="shared" si="1"/>
        <v>0.5545240004946993</v>
      </c>
      <c r="C54">
        <f t="shared" si="30"/>
        <v>0.60867090623452902</v>
      </c>
      <c r="D54">
        <v>0.02</v>
      </c>
      <c r="E54">
        <f t="shared" si="31"/>
        <v>0.60867090623452902</v>
      </c>
      <c r="G54">
        <f t="shared" si="2"/>
        <v>1.2459355803870673</v>
      </c>
      <c r="H54">
        <f t="shared" si="3"/>
        <v>0.59390293184916687</v>
      </c>
      <c r="I54">
        <f t="shared" si="32"/>
        <v>0.52556645116402168</v>
      </c>
      <c r="J54">
        <v>0.02</v>
      </c>
      <c r="K54">
        <f t="shared" si="33"/>
        <v>0.52556645116402168</v>
      </c>
      <c r="M54">
        <f t="shared" si="4"/>
        <v>1.4647190981721883</v>
      </c>
      <c r="N54">
        <f t="shared" si="5"/>
        <v>0.64094558415571345</v>
      </c>
      <c r="O54">
        <f t="shared" si="34"/>
        <v>0.44642081142579415</v>
      </c>
      <c r="P54">
        <v>0.02</v>
      </c>
      <c r="Q54">
        <f t="shared" si="35"/>
        <v>0.44642081142579415</v>
      </c>
      <c r="S54">
        <f t="shared" si="6"/>
        <v>1.7550069325111373</v>
      </c>
      <c r="T54">
        <f t="shared" si="7"/>
        <v>0.69794570246400056</v>
      </c>
      <c r="U54">
        <f t="shared" si="36"/>
        <v>0.37193077352506565</v>
      </c>
      <c r="V54">
        <v>0.02</v>
      </c>
      <c r="W54">
        <f t="shared" si="37"/>
        <v>0.37193077352506565</v>
      </c>
      <c r="Y54">
        <f t="shared" si="8"/>
        <v>2.1508934145990133</v>
      </c>
      <c r="Z54">
        <f t="shared" si="9"/>
        <v>0.76815201632378161</v>
      </c>
      <c r="AA54">
        <f t="shared" si="38"/>
        <v>0.30282158811432863</v>
      </c>
      <c r="AB54">
        <v>0.02</v>
      </c>
      <c r="AC54">
        <f t="shared" si="39"/>
        <v>0.30282158811432863</v>
      </c>
      <c r="AE54">
        <f t="shared" si="10"/>
        <v>2.7085547408301465</v>
      </c>
      <c r="AF54">
        <f t="shared" si="11"/>
        <v>0.8562937692556124</v>
      </c>
      <c r="AG54">
        <f t="shared" si="40"/>
        <v>0.23982314805119995</v>
      </c>
      <c r="AH54">
        <v>0.02</v>
      </c>
      <c r="AI54">
        <f t="shared" si="41"/>
        <v>0.23982314805119995</v>
      </c>
      <c r="AK54">
        <f t="shared" si="12"/>
        <v>3.5249991772401073</v>
      </c>
      <c r="AL54">
        <f t="shared" si="13"/>
        <v>0.96947757019776348</v>
      </c>
      <c r="AM54">
        <f t="shared" si="42"/>
        <v>0.1836342126760028</v>
      </c>
      <c r="AN54">
        <v>0.02</v>
      </c>
      <c r="AO54">
        <f t="shared" si="43"/>
        <v>0.1836342126760028</v>
      </c>
      <c r="AQ54">
        <f t="shared" si="14"/>
        <v>4.7773132097521307</v>
      </c>
      <c r="AR54">
        <f t="shared" si="15"/>
        <v>1.1187868679044299</v>
      </c>
      <c r="AS54">
        <f t="shared" si="44"/>
        <v>0.13487168087003906</v>
      </c>
      <c r="AT54">
        <v>0.02</v>
      </c>
      <c r="AU54">
        <f t="shared" si="45"/>
        <v>0.13487168087003906</v>
      </c>
      <c r="AW54">
        <f t="shared" si="16"/>
        <v>6.8110258210549928</v>
      </c>
      <c r="AX54">
        <f t="shared" si="17"/>
        <v>1.3222854531307033</v>
      </c>
      <c r="AY54">
        <f t="shared" si="46"/>
        <v>9.400262277059078E-2</v>
      </c>
      <c r="AZ54">
        <v>0.02</v>
      </c>
      <c r="BA54">
        <f t="shared" si="47"/>
        <v>9.400262277059078E-2</v>
      </c>
      <c r="BC54">
        <f t="shared" si="18"/>
        <v>10.357300493248442</v>
      </c>
      <c r="BD54">
        <f t="shared" si="19"/>
        <v>1.6110130365366819</v>
      </c>
      <c r="BE54">
        <f t="shared" si="48"/>
        <v>6.125918038999266E-2</v>
      </c>
      <c r="BF54">
        <v>0.02</v>
      </c>
      <c r="BG54">
        <f t="shared" si="49"/>
        <v>6.125918038999266E-2</v>
      </c>
      <c r="BI54">
        <f t="shared" si="20"/>
        <v>17.127242080719306</v>
      </c>
      <c r="BJ54">
        <f t="shared" si="21"/>
        <v>2.041867969074457</v>
      </c>
      <c r="BK54">
        <f t="shared" si="50"/>
        <v>3.6541939307500347E-2</v>
      </c>
      <c r="BL54">
        <v>0.02</v>
      </c>
      <c r="BM54">
        <f t="shared" si="51"/>
        <v>3.6541939307500347E-2</v>
      </c>
      <c r="BO54">
        <f t="shared" si="22"/>
        <v>31.671651440175555</v>
      </c>
      <c r="BP54">
        <f t="shared" si="23"/>
        <v>2.7279052431014139</v>
      </c>
      <c r="BQ54">
        <f t="shared" si="52"/>
        <v>1.9327754231390298E-2</v>
      </c>
      <c r="BR54">
        <v>0.02</v>
      </c>
      <c r="BS54">
        <f t="shared" si="53"/>
        <v>1.9327754231390298E-2</v>
      </c>
      <c r="BU54">
        <f t="shared" si="24"/>
        <v>68.296712692420613</v>
      </c>
      <c r="BV54">
        <f t="shared" si="25"/>
        <v>3.9181522779005942</v>
      </c>
      <c r="BW54">
        <f t="shared" si="54"/>
        <v>8.6144256619144731E-3</v>
      </c>
      <c r="BX54">
        <v>0.02</v>
      </c>
      <c r="BY54">
        <f t="shared" si="55"/>
        <v>8.6144256619144731E-3</v>
      </c>
      <c r="CA54">
        <f t="shared" si="26"/>
        <v>183.4340946413366</v>
      </c>
      <c r="CB54">
        <f t="shared" si="27"/>
        <v>6.2411194167366153</v>
      </c>
      <c r="CC54">
        <f t="shared" si="56"/>
        <v>2.9540724843153364E-3</v>
      </c>
      <c r="CD54">
        <v>0.02</v>
      </c>
      <c r="CE54">
        <f t="shared" si="57"/>
        <v>2.9540724843153364E-3</v>
      </c>
      <c r="CG54">
        <f t="shared" si="28"/>
        <v>684.83677600689953</v>
      </c>
      <c r="CH54">
        <f t="shared" si="29"/>
        <v>11.610138519235557</v>
      </c>
      <c r="CI54">
        <f t="shared" si="58"/>
        <v>6.3445370464583722E-4</v>
      </c>
      <c r="CJ54">
        <v>0.02</v>
      </c>
      <c r="CK54">
        <f t="shared" si="59"/>
        <v>6.3445370464583722E-4</v>
      </c>
    </row>
    <row r="55" spans="1:89">
      <c r="A55">
        <f t="shared" si="0"/>
        <v>1.0771165719846167</v>
      </c>
      <c r="B55">
        <f t="shared" si="1"/>
        <v>0.5545240004946993</v>
      </c>
      <c r="C55">
        <f t="shared" si="30"/>
        <v>0.6035226798037262</v>
      </c>
      <c r="D55">
        <v>0.03</v>
      </c>
      <c r="E55">
        <f t="shared" si="31"/>
        <v>0.6035226798037262</v>
      </c>
      <c r="G55">
        <f t="shared" si="2"/>
        <v>1.2459355803870673</v>
      </c>
      <c r="H55">
        <f t="shared" si="3"/>
        <v>0.59390293184916687</v>
      </c>
      <c r="I55">
        <f t="shared" si="32"/>
        <v>0.52079972854049195</v>
      </c>
      <c r="J55">
        <v>0.03</v>
      </c>
      <c r="K55">
        <f t="shared" si="33"/>
        <v>0.52079972854049195</v>
      </c>
      <c r="M55">
        <f t="shared" si="4"/>
        <v>1.4647190981721883</v>
      </c>
      <c r="N55">
        <f t="shared" si="5"/>
        <v>0.64094558415571345</v>
      </c>
      <c r="O55">
        <f t="shared" si="34"/>
        <v>0.4420449172017375</v>
      </c>
      <c r="P55">
        <v>0.03</v>
      </c>
      <c r="Q55">
        <f t="shared" si="35"/>
        <v>0.4420449172017375</v>
      </c>
      <c r="S55">
        <f t="shared" si="6"/>
        <v>1.7550069325111373</v>
      </c>
      <c r="T55">
        <f t="shared" si="7"/>
        <v>0.69794570246400056</v>
      </c>
      <c r="U55">
        <f t="shared" si="36"/>
        <v>0.36795389064480627</v>
      </c>
      <c r="V55">
        <v>0.03</v>
      </c>
      <c r="W55">
        <f t="shared" si="37"/>
        <v>0.36795389064480627</v>
      </c>
      <c r="Y55">
        <f t="shared" si="8"/>
        <v>2.1508934145990133</v>
      </c>
      <c r="Z55">
        <f t="shared" si="9"/>
        <v>0.76815201632378161</v>
      </c>
      <c r="AA55">
        <f t="shared" si="38"/>
        <v>0.29925027206905175</v>
      </c>
      <c r="AB55">
        <v>0.03</v>
      </c>
      <c r="AC55">
        <f t="shared" si="39"/>
        <v>0.29925027206905175</v>
      </c>
      <c r="AE55">
        <f t="shared" si="10"/>
        <v>2.7085547408301465</v>
      </c>
      <c r="AF55">
        <f t="shared" si="11"/>
        <v>0.8562937692556124</v>
      </c>
      <c r="AG55">
        <f t="shared" si="40"/>
        <v>0.23666170642941028</v>
      </c>
      <c r="AH55">
        <v>0.03</v>
      </c>
      <c r="AI55">
        <f t="shared" si="41"/>
        <v>0.23666170642941028</v>
      </c>
      <c r="AK55">
        <f t="shared" si="12"/>
        <v>3.5249991772401073</v>
      </c>
      <c r="AL55">
        <f t="shared" si="13"/>
        <v>0.96947757019776348</v>
      </c>
      <c r="AM55">
        <f t="shared" si="42"/>
        <v>0.18088392105478088</v>
      </c>
      <c r="AN55">
        <v>0.03</v>
      </c>
      <c r="AO55">
        <f t="shared" si="43"/>
        <v>0.18088392105478088</v>
      </c>
      <c r="AQ55">
        <f t="shared" si="14"/>
        <v>4.7773132097521307</v>
      </c>
      <c r="AR55">
        <f t="shared" si="15"/>
        <v>1.1187868679044299</v>
      </c>
      <c r="AS55">
        <f t="shared" si="44"/>
        <v>0.13252980622464089</v>
      </c>
      <c r="AT55">
        <v>0.03</v>
      </c>
      <c r="AU55">
        <f t="shared" si="45"/>
        <v>0.13252980622464089</v>
      </c>
      <c r="AW55">
        <f t="shared" si="16"/>
        <v>6.8110258210549928</v>
      </c>
      <c r="AX55">
        <f t="shared" si="17"/>
        <v>1.3222854531307033</v>
      </c>
      <c r="AY55">
        <f t="shared" si="46"/>
        <v>9.2061233194525596E-2</v>
      </c>
      <c r="AZ55">
        <v>0.03</v>
      </c>
      <c r="BA55">
        <f t="shared" si="47"/>
        <v>9.2061233194525596E-2</v>
      </c>
      <c r="BC55">
        <f t="shared" si="18"/>
        <v>10.357300493248442</v>
      </c>
      <c r="BD55">
        <f t="shared" si="19"/>
        <v>1.6110130365366819</v>
      </c>
      <c r="BE55">
        <f t="shared" si="48"/>
        <v>5.9703743200942447E-2</v>
      </c>
      <c r="BF55">
        <v>0.03</v>
      </c>
      <c r="BG55">
        <f t="shared" si="49"/>
        <v>5.9703743200942447E-2</v>
      </c>
      <c r="BI55">
        <f t="shared" si="20"/>
        <v>17.127242080719306</v>
      </c>
      <c r="BJ55">
        <f t="shared" si="21"/>
        <v>2.041867969074457</v>
      </c>
      <c r="BK55">
        <f t="shared" si="50"/>
        <v>3.5349763731624614E-2</v>
      </c>
      <c r="BL55">
        <v>0.03</v>
      </c>
      <c r="BM55">
        <f t="shared" si="51"/>
        <v>3.5349763731624614E-2</v>
      </c>
      <c r="BO55">
        <f t="shared" si="22"/>
        <v>31.671651440175555</v>
      </c>
      <c r="BP55">
        <f t="shared" si="23"/>
        <v>2.7279052431014139</v>
      </c>
      <c r="BQ55">
        <f t="shared" si="52"/>
        <v>1.8466446052290718E-2</v>
      </c>
      <c r="BR55">
        <v>0.03</v>
      </c>
      <c r="BS55">
        <f t="shared" si="53"/>
        <v>1.8466446052290718E-2</v>
      </c>
      <c r="BU55">
        <f t="shared" si="24"/>
        <v>68.296712692420613</v>
      </c>
      <c r="BV55">
        <f t="shared" si="25"/>
        <v>3.9181522779005942</v>
      </c>
      <c r="BW55">
        <f t="shared" si="54"/>
        <v>8.0407300734391847E-3</v>
      </c>
      <c r="BX55">
        <v>0.03</v>
      </c>
      <c r="BY55">
        <f t="shared" si="55"/>
        <v>8.0407300734391847E-3</v>
      </c>
      <c r="CA55">
        <f t="shared" si="26"/>
        <v>183.4340946413366</v>
      </c>
      <c r="CB55">
        <f t="shared" si="27"/>
        <v>6.2411194167366153</v>
      </c>
      <c r="CC55">
        <f t="shared" si="56"/>
        <v>2.6138347859234589E-3</v>
      </c>
      <c r="CD55">
        <v>0.03</v>
      </c>
      <c r="CE55">
        <f t="shared" si="57"/>
        <v>2.6138347859234589E-3</v>
      </c>
      <c r="CG55">
        <f t="shared" si="28"/>
        <v>684.83677600689953</v>
      </c>
      <c r="CH55">
        <f t="shared" si="29"/>
        <v>11.610138519235557</v>
      </c>
      <c r="CI55">
        <f t="shared" si="58"/>
        <v>4.6492223487093449E-4</v>
      </c>
      <c r="CJ55">
        <v>0.03</v>
      </c>
      <c r="CK55">
        <f t="shared" si="59"/>
        <v>4.6492223487093449E-4</v>
      </c>
    </row>
    <row r="56" spans="1:89">
      <c r="A56">
        <f t="shared" si="0"/>
        <v>1.0771165719846167</v>
      </c>
      <c r="B56">
        <f t="shared" si="1"/>
        <v>0.5545240004946993</v>
      </c>
      <c r="C56">
        <f t="shared" si="30"/>
        <v>0.59837445337292328</v>
      </c>
      <c r="D56">
        <v>0.04</v>
      </c>
      <c r="E56">
        <f t="shared" si="31"/>
        <v>0.59837445337292328</v>
      </c>
      <c r="G56">
        <f t="shared" si="2"/>
        <v>1.2459355803870673</v>
      </c>
      <c r="H56">
        <f t="shared" si="3"/>
        <v>0.59390293184916687</v>
      </c>
      <c r="I56">
        <f t="shared" si="32"/>
        <v>0.51603300591696222</v>
      </c>
      <c r="J56">
        <v>0.04</v>
      </c>
      <c r="K56">
        <f t="shared" si="33"/>
        <v>0.51603300591696222</v>
      </c>
      <c r="M56">
        <f t="shared" si="4"/>
        <v>1.4647190981721883</v>
      </c>
      <c r="N56">
        <f t="shared" si="5"/>
        <v>0.64094558415571345</v>
      </c>
      <c r="O56">
        <f t="shared" si="34"/>
        <v>0.43766902297768084</v>
      </c>
      <c r="P56">
        <v>0.04</v>
      </c>
      <c r="Q56">
        <f t="shared" si="35"/>
        <v>0.43766902297768084</v>
      </c>
      <c r="S56">
        <f t="shared" si="6"/>
        <v>1.7550069325111373</v>
      </c>
      <c r="T56">
        <f t="shared" si="7"/>
        <v>0.69794570246400056</v>
      </c>
      <c r="U56">
        <f t="shared" si="36"/>
        <v>0.36397700776454694</v>
      </c>
      <c r="V56">
        <v>0.04</v>
      </c>
      <c r="W56">
        <f t="shared" si="37"/>
        <v>0.36397700776454694</v>
      </c>
      <c r="Y56">
        <f t="shared" si="8"/>
        <v>2.1508934145990133</v>
      </c>
      <c r="Z56">
        <f t="shared" si="9"/>
        <v>0.76815201632378161</v>
      </c>
      <c r="AA56">
        <f t="shared" si="38"/>
        <v>0.29567895602377492</v>
      </c>
      <c r="AB56">
        <v>0.04</v>
      </c>
      <c r="AC56">
        <f t="shared" si="39"/>
        <v>0.29567895602377492</v>
      </c>
      <c r="AE56">
        <f t="shared" si="10"/>
        <v>2.7085547408301465</v>
      </c>
      <c r="AF56">
        <f t="shared" si="11"/>
        <v>0.8562937692556124</v>
      </c>
      <c r="AG56">
        <f t="shared" si="40"/>
        <v>0.23350026480762065</v>
      </c>
      <c r="AH56">
        <v>0.04</v>
      </c>
      <c r="AI56">
        <f t="shared" si="41"/>
        <v>0.23350026480762065</v>
      </c>
      <c r="AK56">
        <f t="shared" si="12"/>
        <v>3.5249991772401073</v>
      </c>
      <c r="AL56">
        <f t="shared" si="13"/>
        <v>0.96947757019776348</v>
      </c>
      <c r="AM56">
        <f t="shared" si="42"/>
        <v>0.17813362943355895</v>
      </c>
      <c r="AN56">
        <v>0.04</v>
      </c>
      <c r="AO56">
        <f t="shared" si="43"/>
        <v>0.17813362943355895</v>
      </c>
      <c r="AQ56">
        <f t="shared" si="14"/>
        <v>4.7773132097521307</v>
      </c>
      <c r="AR56">
        <f t="shared" si="15"/>
        <v>1.1187868679044299</v>
      </c>
      <c r="AS56">
        <f t="shared" si="44"/>
        <v>0.13018793157924269</v>
      </c>
      <c r="AT56">
        <v>0.04</v>
      </c>
      <c r="AU56">
        <f t="shared" si="45"/>
        <v>0.13018793157924269</v>
      </c>
      <c r="AW56">
        <f t="shared" si="16"/>
        <v>6.8110258210549928</v>
      </c>
      <c r="AX56">
        <f t="shared" si="17"/>
        <v>1.3222854531307033</v>
      </c>
      <c r="AY56">
        <f t="shared" si="46"/>
        <v>9.0119843618460399E-2</v>
      </c>
      <c r="AZ56">
        <v>0.04</v>
      </c>
      <c r="BA56">
        <f t="shared" si="47"/>
        <v>9.0119843618460399E-2</v>
      </c>
      <c r="BC56">
        <f t="shared" si="18"/>
        <v>10.357300493248442</v>
      </c>
      <c r="BD56">
        <f t="shared" si="19"/>
        <v>1.6110130365366819</v>
      </c>
      <c r="BE56">
        <f t="shared" si="48"/>
        <v>5.8148306011892227E-2</v>
      </c>
      <c r="BF56">
        <v>0.04</v>
      </c>
      <c r="BG56">
        <f t="shared" si="49"/>
        <v>5.8148306011892227E-2</v>
      </c>
      <c r="BI56">
        <f t="shared" si="20"/>
        <v>17.127242080719306</v>
      </c>
      <c r="BJ56">
        <f t="shared" si="21"/>
        <v>2.041867969074457</v>
      </c>
      <c r="BK56">
        <f t="shared" si="50"/>
        <v>3.4157588155748889E-2</v>
      </c>
      <c r="BL56">
        <v>0.04</v>
      </c>
      <c r="BM56">
        <f t="shared" si="51"/>
        <v>3.4157588155748889E-2</v>
      </c>
      <c r="BO56">
        <f t="shared" si="22"/>
        <v>31.671651440175555</v>
      </c>
      <c r="BP56">
        <f t="shared" si="23"/>
        <v>2.7279052431014139</v>
      </c>
      <c r="BQ56">
        <f t="shared" si="52"/>
        <v>1.7605137873191141E-2</v>
      </c>
      <c r="BR56">
        <v>0.04</v>
      </c>
      <c r="BS56">
        <f t="shared" si="53"/>
        <v>1.7605137873191141E-2</v>
      </c>
      <c r="BU56">
        <f t="shared" si="24"/>
        <v>68.296712692420613</v>
      </c>
      <c r="BV56">
        <f t="shared" si="25"/>
        <v>3.9181522779005942</v>
      </c>
      <c r="BW56">
        <f t="shared" si="54"/>
        <v>7.4670344849638972E-3</v>
      </c>
      <c r="BX56">
        <v>0.04</v>
      </c>
      <c r="BY56">
        <f t="shared" si="55"/>
        <v>7.4670344849638972E-3</v>
      </c>
      <c r="CA56">
        <f t="shared" si="26"/>
        <v>183.4340946413366</v>
      </c>
      <c r="CB56">
        <f t="shared" si="27"/>
        <v>6.2411194167366153</v>
      </c>
      <c r="CC56">
        <f t="shared" si="56"/>
        <v>2.2735970875315814E-3</v>
      </c>
      <c r="CD56">
        <v>0.04</v>
      </c>
      <c r="CE56">
        <f t="shared" si="57"/>
        <v>2.2735970875315814E-3</v>
      </c>
      <c r="CG56">
        <f t="shared" si="28"/>
        <v>684.83677600689953</v>
      </c>
      <c r="CH56">
        <f t="shared" si="29"/>
        <v>11.610138519235557</v>
      </c>
      <c r="CI56">
        <f t="shared" si="58"/>
        <v>2.9539076509603159E-4</v>
      </c>
      <c r="CJ56">
        <v>0.04</v>
      </c>
      <c r="CK56">
        <f t="shared" si="59"/>
        <v>2.9539076509603159E-4</v>
      </c>
    </row>
    <row r="57" spans="1:89">
      <c r="A57">
        <f t="shared" si="0"/>
        <v>1.0771165719846167</v>
      </c>
      <c r="B57">
        <f t="shared" si="1"/>
        <v>0.5545240004946993</v>
      </c>
      <c r="C57">
        <f t="shared" si="30"/>
        <v>0.59322622694212046</v>
      </c>
      <c r="D57">
        <v>0.05</v>
      </c>
      <c r="E57">
        <f t="shared" si="31"/>
        <v>0.59322622694212046</v>
      </c>
      <c r="G57">
        <f t="shared" si="2"/>
        <v>1.2459355803870673</v>
      </c>
      <c r="H57">
        <f t="shared" si="3"/>
        <v>0.59390293184916687</v>
      </c>
      <c r="I57">
        <f t="shared" si="32"/>
        <v>0.51126628329343249</v>
      </c>
      <c r="J57">
        <v>0.05</v>
      </c>
      <c r="K57">
        <f t="shared" si="33"/>
        <v>0.51126628329343249</v>
      </c>
      <c r="M57">
        <f t="shared" si="4"/>
        <v>1.4647190981721883</v>
      </c>
      <c r="N57">
        <f t="shared" si="5"/>
        <v>0.64094558415571345</v>
      </c>
      <c r="O57">
        <f t="shared" si="34"/>
        <v>0.43329312875362419</v>
      </c>
      <c r="P57">
        <v>0.05</v>
      </c>
      <c r="Q57">
        <f t="shared" si="35"/>
        <v>0.43329312875362419</v>
      </c>
      <c r="S57">
        <f t="shared" si="6"/>
        <v>1.7550069325111373</v>
      </c>
      <c r="T57">
        <f t="shared" si="7"/>
        <v>0.69794570246400056</v>
      </c>
      <c r="U57">
        <f t="shared" si="36"/>
        <v>0.36000012488428762</v>
      </c>
      <c r="V57">
        <v>0.05</v>
      </c>
      <c r="W57">
        <f t="shared" si="37"/>
        <v>0.36000012488428762</v>
      </c>
      <c r="Y57">
        <f t="shared" si="8"/>
        <v>2.1508934145990133</v>
      </c>
      <c r="Z57">
        <f t="shared" si="9"/>
        <v>0.76815201632378161</v>
      </c>
      <c r="AA57">
        <f t="shared" si="38"/>
        <v>0.29210763997849803</v>
      </c>
      <c r="AB57">
        <v>0.05</v>
      </c>
      <c r="AC57">
        <f t="shared" si="39"/>
        <v>0.29210763997849803</v>
      </c>
      <c r="AE57">
        <f t="shared" si="10"/>
        <v>2.7085547408301465</v>
      </c>
      <c r="AF57">
        <f t="shared" si="11"/>
        <v>0.8562937692556124</v>
      </c>
      <c r="AG57">
        <f t="shared" si="40"/>
        <v>0.23033882318583099</v>
      </c>
      <c r="AH57">
        <v>0.05</v>
      </c>
      <c r="AI57">
        <f t="shared" si="41"/>
        <v>0.23033882318583099</v>
      </c>
      <c r="AK57">
        <f t="shared" si="12"/>
        <v>3.5249991772401073</v>
      </c>
      <c r="AL57">
        <f t="shared" si="13"/>
        <v>0.96947757019776348</v>
      </c>
      <c r="AM57">
        <f t="shared" si="42"/>
        <v>0.17538333781233703</v>
      </c>
      <c r="AN57">
        <v>0.05</v>
      </c>
      <c r="AO57">
        <f t="shared" si="43"/>
        <v>0.17538333781233703</v>
      </c>
      <c r="AQ57">
        <f t="shared" si="14"/>
        <v>4.7773132097521307</v>
      </c>
      <c r="AR57">
        <f t="shared" si="15"/>
        <v>1.1187868679044299</v>
      </c>
      <c r="AS57">
        <f t="shared" si="44"/>
        <v>0.12784605693384454</v>
      </c>
      <c r="AT57">
        <v>0.05</v>
      </c>
      <c r="AU57">
        <f t="shared" si="45"/>
        <v>0.12784605693384454</v>
      </c>
      <c r="AW57">
        <f t="shared" si="16"/>
        <v>6.8110258210549928</v>
      </c>
      <c r="AX57">
        <f t="shared" si="17"/>
        <v>1.3222854531307033</v>
      </c>
      <c r="AY57">
        <f t="shared" si="46"/>
        <v>8.8178454042395216E-2</v>
      </c>
      <c r="AZ57">
        <v>0.05</v>
      </c>
      <c r="BA57">
        <f t="shared" si="47"/>
        <v>8.8178454042395216E-2</v>
      </c>
      <c r="BC57">
        <f t="shared" si="18"/>
        <v>10.357300493248442</v>
      </c>
      <c r="BD57">
        <f t="shared" si="19"/>
        <v>1.6110130365366819</v>
      </c>
      <c r="BE57">
        <f t="shared" si="48"/>
        <v>5.6592868822842007E-2</v>
      </c>
      <c r="BF57">
        <v>0.05</v>
      </c>
      <c r="BG57">
        <f t="shared" si="49"/>
        <v>5.6592868822842007E-2</v>
      </c>
      <c r="BI57">
        <f t="shared" si="20"/>
        <v>17.127242080719306</v>
      </c>
      <c r="BJ57">
        <f t="shared" si="21"/>
        <v>2.041867969074457</v>
      </c>
      <c r="BK57">
        <f t="shared" si="50"/>
        <v>3.2965412579873156E-2</v>
      </c>
      <c r="BL57">
        <v>0.05</v>
      </c>
      <c r="BM57">
        <f t="shared" si="51"/>
        <v>3.2965412579873156E-2</v>
      </c>
      <c r="BO57">
        <f t="shared" si="22"/>
        <v>31.671651440175555</v>
      </c>
      <c r="BP57">
        <f t="shared" si="23"/>
        <v>2.7279052431014139</v>
      </c>
      <c r="BQ57">
        <f t="shared" si="52"/>
        <v>1.6743829694091564E-2</v>
      </c>
      <c r="BR57">
        <v>0.05</v>
      </c>
      <c r="BS57">
        <f t="shared" si="53"/>
        <v>1.6743829694091564E-2</v>
      </c>
      <c r="BU57">
        <f t="shared" si="24"/>
        <v>68.296712692420613</v>
      </c>
      <c r="BV57">
        <f t="shared" si="25"/>
        <v>3.9181522779005942</v>
      </c>
      <c r="BW57">
        <f t="shared" si="54"/>
        <v>6.8933388964886079E-3</v>
      </c>
      <c r="BX57">
        <v>0.05</v>
      </c>
      <c r="BY57">
        <f t="shared" si="55"/>
        <v>6.8933388964886079E-3</v>
      </c>
      <c r="CA57">
        <f t="shared" si="26"/>
        <v>183.4340946413366</v>
      </c>
      <c r="CB57">
        <f t="shared" si="27"/>
        <v>6.2411194167366153</v>
      </c>
      <c r="CC57">
        <f t="shared" si="56"/>
        <v>1.9333593891397039E-3</v>
      </c>
      <c r="CD57">
        <v>0.05</v>
      </c>
      <c r="CE57">
        <f t="shared" si="57"/>
        <v>1.9333593891397039E-3</v>
      </c>
      <c r="CG57">
        <f t="shared" si="28"/>
        <v>684.83677600689953</v>
      </c>
      <c r="CH57">
        <f t="shared" si="29"/>
        <v>11.610138519235557</v>
      </c>
      <c r="CI57">
        <f t="shared" si="58"/>
        <v>1.2585929532112875E-4</v>
      </c>
      <c r="CJ57">
        <v>0.05</v>
      </c>
      <c r="CK57">
        <f t="shared" si="59"/>
        <v>1.2585929532112875E-4</v>
      </c>
    </row>
    <row r="58" spans="1:89">
      <c r="A58">
        <f t="shared" si="0"/>
        <v>1.0771165719846167</v>
      </c>
      <c r="B58">
        <f t="shared" si="1"/>
        <v>0.5545240004946993</v>
      </c>
      <c r="C58">
        <f t="shared" si="30"/>
        <v>0.58807800051131753</v>
      </c>
      <c r="D58">
        <v>0.06</v>
      </c>
      <c r="E58">
        <f t="shared" si="31"/>
        <v>0.58807800051131753</v>
      </c>
      <c r="G58">
        <f t="shared" si="2"/>
        <v>1.2459355803870673</v>
      </c>
      <c r="H58">
        <f t="shared" si="3"/>
        <v>0.59390293184916687</v>
      </c>
      <c r="I58">
        <f t="shared" si="32"/>
        <v>0.50649956066990287</v>
      </c>
      <c r="J58">
        <v>0.06</v>
      </c>
      <c r="K58">
        <f t="shared" si="33"/>
        <v>0.50649956066990287</v>
      </c>
      <c r="M58">
        <f t="shared" si="4"/>
        <v>1.4647190981721883</v>
      </c>
      <c r="N58">
        <f t="shared" si="5"/>
        <v>0.64094558415571345</v>
      </c>
      <c r="O58">
        <f t="shared" si="34"/>
        <v>0.42891723452956759</v>
      </c>
      <c r="P58">
        <v>0.06</v>
      </c>
      <c r="Q58">
        <f t="shared" si="35"/>
        <v>0.42891723452956759</v>
      </c>
      <c r="S58">
        <f t="shared" si="6"/>
        <v>1.7550069325111373</v>
      </c>
      <c r="T58">
        <f t="shared" si="7"/>
        <v>0.69794570246400056</v>
      </c>
      <c r="U58">
        <f t="shared" si="36"/>
        <v>0.3560232420040283</v>
      </c>
      <c r="V58">
        <v>0.06</v>
      </c>
      <c r="W58">
        <f t="shared" si="37"/>
        <v>0.3560232420040283</v>
      </c>
      <c r="Y58">
        <f t="shared" si="8"/>
        <v>2.1508934145990133</v>
      </c>
      <c r="Z58">
        <f t="shared" si="9"/>
        <v>0.76815201632378161</v>
      </c>
      <c r="AA58">
        <f t="shared" si="38"/>
        <v>0.28853632393322121</v>
      </c>
      <c r="AB58">
        <v>0.06</v>
      </c>
      <c r="AC58">
        <f t="shared" si="39"/>
        <v>0.28853632393322121</v>
      </c>
      <c r="AE58">
        <f t="shared" si="10"/>
        <v>2.7085547408301465</v>
      </c>
      <c r="AF58">
        <f t="shared" si="11"/>
        <v>0.8562937692556124</v>
      </c>
      <c r="AG58">
        <f t="shared" si="40"/>
        <v>0.22717738156404133</v>
      </c>
      <c r="AH58">
        <v>0.06</v>
      </c>
      <c r="AI58">
        <f t="shared" si="41"/>
        <v>0.22717738156404133</v>
      </c>
      <c r="AK58">
        <f t="shared" si="12"/>
        <v>3.5249991772401073</v>
      </c>
      <c r="AL58">
        <f t="shared" si="13"/>
        <v>0.96947757019776348</v>
      </c>
      <c r="AM58">
        <f t="shared" si="42"/>
        <v>0.17263304619111511</v>
      </c>
      <c r="AN58">
        <v>0.06</v>
      </c>
      <c r="AO58">
        <f t="shared" si="43"/>
        <v>0.17263304619111511</v>
      </c>
      <c r="AQ58">
        <f t="shared" si="14"/>
        <v>4.7773132097521307</v>
      </c>
      <c r="AR58">
        <f t="shared" si="15"/>
        <v>1.1187868679044299</v>
      </c>
      <c r="AS58">
        <f t="shared" si="44"/>
        <v>0.12550418228844637</v>
      </c>
      <c r="AT58">
        <v>0.06</v>
      </c>
      <c r="AU58">
        <f t="shared" si="45"/>
        <v>0.12550418228844637</v>
      </c>
      <c r="AW58">
        <f t="shared" si="16"/>
        <v>6.8110258210549928</v>
      </c>
      <c r="AX58">
        <f t="shared" si="17"/>
        <v>1.3222854531307033</v>
      </c>
      <c r="AY58">
        <f t="shared" si="46"/>
        <v>8.6237064466330032E-2</v>
      </c>
      <c r="AZ58">
        <v>0.06</v>
      </c>
      <c r="BA58">
        <f t="shared" si="47"/>
        <v>8.6237064466330032E-2</v>
      </c>
      <c r="BC58">
        <f t="shared" si="18"/>
        <v>10.357300493248442</v>
      </c>
      <c r="BD58">
        <f t="shared" si="19"/>
        <v>1.6110130365366819</v>
      </c>
      <c r="BE58">
        <f t="shared" si="48"/>
        <v>5.5037431633791788E-2</v>
      </c>
      <c r="BF58">
        <v>0.06</v>
      </c>
      <c r="BG58">
        <f t="shared" si="49"/>
        <v>5.5037431633791788E-2</v>
      </c>
      <c r="BI58">
        <f t="shared" si="20"/>
        <v>17.127242080719306</v>
      </c>
      <c r="BJ58">
        <f t="shared" si="21"/>
        <v>2.041867969074457</v>
      </c>
      <c r="BK58">
        <f t="shared" si="50"/>
        <v>3.177323700399743E-2</v>
      </c>
      <c r="BL58">
        <v>0.06</v>
      </c>
      <c r="BM58">
        <f t="shared" si="51"/>
        <v>3.177323700399743E-2</v>
      </c>
      <c r="BO58">
        <f t="shared" si="22"/>
        <v>31.671651440175555</v>
      </c>
      <c r="BP58">
        <f t="shared" si="23"/>
        <v>2.7279052431014139</v>
      </c>
      <c r="BQ58">
        <f t="shared" si="52"/>
        <v>1.5882521514991983E-2</v>
      </c>
      <c r="BR58">
        <v>0.06</v>
      </c>
      <c r="BS58">
        <f t="shared" si="53"/>
        <v>1.5882521514991983E-2</v>
      </c>
      <c r="BU58">
        <f t="shared" si="24"/>
        <v>68.296712692420613</v>
      </c>
      <c r="BV58">
        <f t="shared" si="25"/>
        <v>3.9181522779005942</v>
      </c>
      <c r="BW58">
        <f t="shared" si="54"/>
        <v>6.3196433080133204E-3</v>
      </c>
      <c r="BX58">
        <v>0.06</v>
      </c>
      <c r="BY58">
        <f t="shared" si="55"/>
        <v>6.3196433080133204E-3</v>
      </c>
      <c r="CA58">
        <f t="shared" si="26"/>
        <v>183.4340946413366</v>
      </c>
      <c r="CB58">
        <f t="shared" si="27"/>
        <v>6.2411194167366153</v>
      </c>
      <c r="CC58">
        <f t="shared" si="56"/>
        <v>1.5931216907478269E-3</v>
      </c>
      <c r="CD58">
        <v>0.06</v>
      </c>
      <c r="CE58">
        <f t="shared" si="57"/>
        <v>1.5931216907478269E-3</v>
      </c>
      <c r="CG58">
        <f t="shared" si="28"/>
        <v>684.83677600689953</v>
      </c>
      <c r="CH58">
        <f t="shared" si="29"/>
        <v>11.610138519235557</v>
      </c>
      <c r="CI58">
        <f t="shared" si="58"/>
        <v>-4.3672174453773894E-5</v>
      </c>
      <c r="CJ58">
        <v>0.06</v>
      </c>
      <c r="CK58">
        <f t="shared" si="59"/>
        <v>-4.3672174453773894E-5</v>
      </c>
    </row>
    <row r="59" spans="1:89">
      <c r="A59">
        <f t="shared" si="0"/>
        <v>1.0771165719846167</v>
      </c>
      <c r="B59">
        <f t="shared" si="1"/>
        <v>0.5545240004946993</v>
      </c>
      <c r="C59">
        <f t="shared" si="30"/>
        <v>0.58292977408051472</v>
      </c>
      <c r="D59">
        <v>7.0000000000000007E-2</v>
      </c>
      <c r="E59">
        <f t="shared" si="31"/>
        <v>0.58292977408051472</v>
      </c>
      <c r="G59">
        <f t="shared" si="2"/>
        <v>1.2459355803870673</v>
      </c>
      <c r="H59">
        <f t="shared" si="3"/>
        <v>0.59390293184916687</v>
      </c>
      <c r="I59">
        <f t="shared" si="32"/>
        <v>0.50173283804637314</v>
      </c>
      <c r="J59">
        <v>7.0000000000000007E-2</v>
      </c>
      <c r="K59">
        <f t="shared" si="33"/>
        <v>0.50173283804637314</v>
      </c>
      <c r="M59">
        <f t="shared" si="4"/>
        <v>1.4647190981721883</v>
      </c>
      <c r="N59">
        <f t="shared" si="5"/>
        <v>0.64094558415571345</v>
      </c>
      <c r="O59">
        <f t="shared" si="34"/>
        <v>0.42454134030551094</v>
      </c>
      <c r="P59">
        <v>7.0000000000000007E-2</v>
      </c>
      <c r="Q59">
        <f t="shared" si="35"/>
        <v>0.42454134030551094</v>
      </c>
      <c r="S59">
        <f t="shared" si="6"/>
        <v>1.7550069325111373</v>
      </c>
      <c r="T59">
        <f t="shared" si="7"/>
        <v>0.69794570246400056</v>
      </c>
      <c r="U59">
        <f t="shared" si="36"/>
        <v>0.35204635912376891</v>
      </c>
      <c r="V59">
        <v>7.0000000000000007E-2</v>
      </c>
      <c r="W59">
        <f t="shared" si="37"/>
        <v>0.35204635912376891</v>
      </c>
      <c r="Y59">
        <f t="shared" si="8"/>
        <v>2.1508934145990133</v>
      </c>
      <c r="Z59">
        <f t="shared" si="9"/>
        <v>0.76815201632378161</v>
      </c>
      <c r="AA59">
        <f t="shared" si="38"/>
        <v>0.28496500788794427</v>
      </c>
      <c r="AB59">
        <v>7.0000000000000007E-2</v>
      </c>
      <c r="AC59">
        <f t="shared" si="39"/>
        <v>0.28496500788794427</v>
      </c>
      <c r="AE59">
        <f t="shared" si="10"/>
        <v>2.7085547408301465</v>
      </c>
      <c r="AF59">
        <f t="shared" si="11"/>
        <v>0.8562937692556124</v>
      </c>
      <c r="AG59">
        <f t="shared" si="40"/>
        <v>0.22401593994225164</v>
      </c>
      <c r="AH59">
        <v>7.0000000000000007E-2</v>
      </c>
      <c r="AI59">
        <f t="shared" si="41"/>
        <v>0.22401593994225164</v>
      </c>
      <c r="AK59">
        <f t="shared" si="12"/>
        <v>3.5249991772401073</v>
      </c>
      <c r="AL59">
        <f t="shared" si="13"/>
        <v>0.96947757019776348</v>
      </c>
      <c r="AM59">
        <f t="shared" si="42"/>
        <v>0.16988275456989319</v>
      </c>
      <c r="AN59">
        <v>7.0000000000000007E-2</v>
      </c>
      <c r="AO59">
        <f t="shared" si="43"/>
        <v>0.16988275456989319</v>
      </c>
      <c r="AQ59">
        <f t="shared" si="14"/>
        <v>4.7773132097521307</v>
      </c>
      <c r="AR59">
        <f t="shared" si="15"/>
        <v>1.1187868679044299</v>
      </c>
      <c r="AS59">
        <f t="shared" si="44"/>
        <v>0.12316230764304818</v>
      </c>
      <c r="AT59">
        <v>7.0000000000000007E-2</v>
      </c>
      <c r="AU59">
        <f t="shared" si="45"/>
        <v>0.12316230764304818</v>
      </c>
      <c r="AW59">
        <f t="shared" si="16"/>
        <v>6.8110258210549928</v>
      </c>
      <c r="AX59">
        <f t="shared" si="17"/>
        <v>1.3222854531307033</v>
      </c>
      <c r="AY59">
        <f t="shared" si="46"/>
        <v>8.4295674890264821E-2</v>
      </c>
      <c r="AZ59">
        <v>7.0000000000000007E-2</v>
      </c>
      <c r="BA59">
        <f t="shared" si="47"/>
        <v>8.4295674890264821E-2</v>
      </c>
      <c r="BC59">
        <f t="shared" si="18"/>
        <v>10.357300493248442</v>
      </c>
      <c r="BD59">
        <f t="shared" si="19"/>
        <v>1.6110130365366819</v>
      </c>
      <c r="BE59">
        <f t="shared" si="48"/>
        <v>5.3481994444741561E-2</v>
      </c>
      <c r="BF59">
        <v>7.0000000000000007E-2</v>
      </c>
      <c r="BG59">
        <f t="shared" si="49"/>
        <v>5.3481994444741561E-2</v>
      </c>
      <c r="BI59">
        <f t="shared" si="20"/>
        <v>17.127242080719306</v>
      </c>
      <c r="BJ59">
        <f t="shared" si="21"/>
        <v>2.041867969074457</v>
      </c>
      <c r="BK59">
        <f t="shared" si="50"/>
        <v>3.0581061428121694E-2</v>
      </c>
      <c r="BL59">
        <v>7.0000000000000007E-2</v>
      </c>
      <c r="BM59">
        <f t="shared" si="51"/>
        <v>3.0581061428121694E-2</v>
      </c>
      <c r="BO59">
        <f t="shared" si="22"/>
        <v>31.671651440175555</v>
      </c>
      <c r="BP59">
        <f t="shared" si="23"/>
        <v>2.7279052431014139</v>
      </c>
      <c r="BQ59">
        <f t="shared" si="52"/>
        <v>1.5021213335892406E-2</v>
      </c>
      <c r="BR59">
        <v>7.0000000000000007E-2</v>
      </c>
      <c r="BS59">
        <f t="shared" si="53"/>
        <v>1.5021213335892406E-2</v>
      </c>
      <c r="BU59">
        <f t="shared" si="24"/>
        <v>68.296712692420613</v>
      </c>
      <c r="BV59">
        <f t="shared" si="25"/>
        <v>3.9181522779005942</v>
      </c>
      <c r="BW59">
        <f t="shared" si="54"/>
        <v>5.7459477195380311E-3</v>
      </c>
      <c r="BX59">
        <v>7.0000000000000007E-2</v>
      </c>
      <c r="BY59">
        <f t="shared" si="55"/>
        <v>5.7459477195380311E-3</v>
      </c>
      <c r="CA59">
        <f t="shared" si="26"/>
        <v>183.4340946413366</v>
      </c>
      <c r="CB59">
        <f t="shared" si="27"/>
        <v>6.2411194167366153</v>
      </c>
      <c r="CC59">
        <f t="shared" si="56"/>
        <v>1.2528839923559494E-3</v>
      </c>
      <c r="CD59">
        <v>7.0000000000000007E-2</v>
      </c>
      <c r="CE59">
        <f t="shared" si="57"/>
        <v>1.2528839923559494E-3</v>
      </c>
      <c r="CG59">
        <f t="shared" si="28"/>
        <v>684.83677600689953</v>
      </c>
      <c r="CH59">
        <f t="shared" si="29"/>
        <v>11.610138519235557</v>
      </c>
      <c r="CI59">
        <f t="shared" si="58"/>
        <v>-2.1320364422867689E-4</v>
      </c>
      <c r="CJ59">
        <v>7.0000000000000007E-2</v>
      </c>
      <c r="CK59">
        <f t="shared" si="59"/>
        <v>-2.1320364422867689E-4</v>
      </c>
    </row>
    <row r="60" spans="1:89">
      <c r="A60">
        <f t="shared" si="0"/>
        <v>1.0771165719846167</v>
      </c>
      <c r="B60">
        <f t="shared" si="1"/>
        <v>0.5545240004946993</v>
      </c>
      <c r="C60">
        <f t="shared" si="30"/>
        <v>0.57778154764971179</v>
      </c>
      <c r="D60">
        <v>0.08</v>
      </c>
      <c r="E60">
        <f t="shared" si="31"/>
        <v>0.57778154764971179</v>
      </c>
      <c r="G60">
        <f t="shared" si="2"/>
        <v>1.2459355803870673</v>
      </c>
      <c r="H60">
        <f t="shared" si="3"/>
        <v>0.59390293184916687</v>
      </c>
      <c r="I60">
        <f t="shared" si="32"/>
        <v>0.4969661154228433</v>
      </c>
      <c r="J60">
        <v>0.08</v>
      </c>
      <c r="K60">
        <f t="shared" si="33"/>
        <v>0.4969661154228433</v>
      </c>
      <c r="M60">
        <f t="shared" si="4"/>
        <v>1.4647190981721883</v>
      </c>
      <c r="N60">
        <f t="shared" si="5"/>
        <v>0.64094558415571345</v>
      </c>
      <c r="O60">
        <f t="shared" si="34"/>
        <v>0.42016544608145423</v>
      </c>
      <c r="P60">
        <v>0.08</v>
      </c>
      <c r="Q60">
        <f t="shared" si="35"/>
        <v>0.42016544608145423</v>
      </c>
      <c r="S60">
        <f t="shared" si="6"/>
        <v>1.7550069325111373</v>
      </c>
      <c r="T60">
        <f t="shared" si="7"/>
        <v>0.69794570246400056</v>
      </c>
      <c r="U60">
        <f t="shared" si="36"/>
        <v>0.34806947624350959</v>
      </c>
      <c r="V60">
        <v>0.08</v>
      </c>
      <c r="W60">
        <f t="shared" si="37"/>
        <v>0.34806947624350959</v>
      </c>
      <c r="Y60">
        <f t="shared" si="8"/>
        <v>2.1508934145990133</v>
      </c>
      <c r="Z60">
        <f t="shared" si="9"/>
        <v>0.76815201632378161</v>
      </c>
      <c r="AA60">
        <f t="shared" si="38"/>
        <v>0.28139369184266738</v>
      </c>
      <c r="AB60">
        <v>0.08</v>
      </c>
      <c r="AC60">
        <f t="shared" si="39"/>
        <v>0.28139369184266738</v>
      </c>
      <c r="AE60">
        <f t="shared" si="10"/>
        <v>2.7085547408301465</v>
      </c>
      <c r="AF60">
        <f t="shared" si="11"/>
        <v>0.8562937692556124</v>
      </c>
      <c r="AG60">
        <f t="shared" si="40"/>
        <v>0.22085449832046197</v>
      </c>
      <c r="AH60">
        <v>0.08</v>
      </c>
      <c r="AI60">
        <f t="shared" si="41"/>
        <v>0.22085449832046197</v>
      </c>
      <c r="AK60">
        <f t="shared" si="12"/>
        <v>3.5249991772401073</v>
      </c>
      <c r="AL60">
        <f t="shared" si="13"/>
        <v>0.96947757019776348</v>
      </c>
      <c r="AM60">
        <f t="shared" si="42"/>
        <v>0.16713246294867126</v>
      </c>
      <c r="AN60">
        <v>0.08</v>
      </c>
      <c r="AO60">
        <f t="shared" si="43"/>
        <v>0.16713246294867126</v>
      </c>
      <c r="AQ60">
        <f t="shared" si="14"/>
        <v>4.7773132097521307</v>
      </c>
      <c r="AR60">
        <f t="shared" si="15"/>
        <v>1.1187868679044299</v>
      </c>
      <c r="AS60">
        <f t="shared" si="44"/>
        <v>0.12082043299765001</v>
      </c>
      <c r="AT60">
        <v>0.08</v>
      </c>
      <c r="AU60">
        <f t="shared" si="45"/>
        <v>0.12082043299765001</v>
      </c>
      <c r="AW60">
        <f t="shared" si="16"/>
        <v>6.8110258210549928</v>
      </c>
      <c r="AX60">
        <f t="shared" si="17"/>
        <v>1.3222854531307033</v>
      </c>
      <c r="AY60">
        <f t="shared" si="46"/>
        <v>8.2354285314199638E-2</v>
      </c>
      <c r="AZ60">
        <v>0.08</v>
      </c>
      <c r="BA60">
        <f t="shared" si="47"/>
        <v>8.2354285314199638E-2</v>
      </c>
      <c r="BC60">
        <f t="shared" si="18"/>
        <v>10.357300493248442</v>
      </c>
      <c r="BD60">
        <f t="shared" si="19"/>
        <v>1.6110130365366819</v>
      </c>
      <c r="BE60">
        <f t="shared" si="48"/>
        <v>5.1926557255691341E-2</v>
      </c>
      <c r="BF60">
        <v>0.08</v>
      </c>
      <c r="BG60">
        <f t="shared" si="49"/>
        <v>5.1926557255691341E-2</v>
      </c>
      <c r="BI60">
        <f t="shared" si="20"/>
        <v>17.127242080719306</v>
      </c>
      <c r="BJ60">
        <f t="shared" si="21"/>
        <v>2.041867969074457</v>
      </c>
      <c r="BK60">
        <f t="shared" si="50"/>
        <v>2.9388885852245968E-2</v>
      </c>
      <c r="BL60">
        <v>0.08</v>
      </c>
      <c r="BM60">
        <f t="shared" si="51"/>
        <v>2.9388885852245968E-2</v>
      </c>
      <c r="BO60">
        <f t="shared" si="22"/>
        <v>31.671651440175555</v>
      </c>
      <c r="BP60">
        <f t="shared" si="23"/>
        <v>2.7279052431014139</v>
      </c>
      <c r="BQ60">
        <f t="shared" si="52"/>
        <v>1.4159905156792827E-2</v>
      </c>
      <c r="BR60">
        <v>0.08</v>
      </c>
      <c r="BS60">
        <f t="shared" si="53"/>
        <v>1.4159905156792827E-2</v>
      </c>
      <c r="BU60">
        <f t="shared" si="24"/>
        <v>68.296712692420613</v>
      </c>
      <c r="BV60">
        <f t="shared" si="25"/>
        <v>3.9181522779005942</v>
      </c>
      <c r="BW60">
        <f t="shared" si="54"/>
        <v>5.1722521310627436E-3</v>
      </c>
      <c r="BX60">
        <v>0.08</v>
      </c>
      <c r="BY60">
        <f t="shared" si="55"/>
        <v>5.1722521310627436E-3</v>
      </c>
      <c r="CA60">
        <f t="shared" si="26"/>
        <v>183.4340946413366</v>
      </c>
      <c r="CB60">
        <f t="shared" si="27"/>
        <v>6.2411194167366153</v>
      </c>
      <c r="CC60">
        <f t="shared" si="56"/>
        <v>9.126462939640723E-4</v>
      </c>
      <c r="CD60">
        <v>0.08</v>
      </c>
      <c r="CE60">
        <f t="shared" si="57"/>
        <v>9.126462939640723E-4</v>
      </c>
      <c r="CG60">
        <f t="shared" si="28"/>
        <v>684.83677600689953</v>
      </c>
      <c r="CH60">
        <f t="shared" si="29"/>
        <v>11.610138519235557</v>
      </c>
      <c r="CI60">
        <f t="shared" si="58"/>
        <v>-3.8273511400357968E-4</v>
      </c>
      <c r="CJ60">
        <v>0.08</v>
      </c>
      <c r="CK60">
        <f t="shared" si="59"/>
        <v>-3.8273511400357968E-4</v>
      </c>
    </row>
    <row r="61" spans="1:89">
      <c r="A61">
        <f t="shared" si="0"/>
        <v>1.0771165719846167</v>
      </c>
      <c r="B61">
        <f t="shared" si="1"/>
        <v>0.5545240004946993</v>
      </c>
      <c r="C61">
        <f t="shared" si="30"/>
        <v>0.57263332121890886</v>
      </c>
      <c r="D61" s="70">
        <v>0.09</v>
      </c>
      <c r="E61">
        <f t="shared" si="31"/>
        <v>0.57263332121890886</v>
      </c>
      <c r="G61">
        <f t="shared" si="2"/>
        <v>1.2459355803870673</v>
      </c>
      <c r="H61">
        <f t="shared" si="3"/>
        <v>0.59390293184916687</v>
      </c>
      <c r="I61">
        <f t="shared" si="32"/>
        <v>0.49219939279931368</v>
      </c>
      <c r="J61">
        <v>0.09</v>
      </c>
      <c r="K61">
        <f t="shared" si="33"/>
        <v>0.49219939279931368</v>
      </c>
      <c r="M61">
        <f t="shared" si="4"/>
        <v>1.4647190981721883</v>
      </c>
      <c r="N61">
        <f t="shared" si="5"/>
        <v>0.64094558415571345</v>
      </c>
      <c r="O61">
        <f t="shared" si="34"/>
        <v>0.41578955185739763</v>
      </c>
      <c r="P61">
        <v>0.09</v>
      </c>
      <c r="Q61">
        <f t="shared" si="35"/>
        <v>0.41578955185739763</v>
      </c>
      <c r="S61">
        <f t="shared" si="6"/>
        <v>1.7550069325111373</v>
      </c>
      <c r="T61">
        <f t="shared" si="7"/>
        <v>0.69794570246400056</v>
      </c>
      <c r="U61">
        <f t="shared" si="36"/>
        <v>0.34409259336325027</v>
      </c>
      <c r="V61">
        <v>0.09</v>
      </c>
      <c r="W61">
        <f t="shared" si="37"/>
        <v>0.34409259336325027</v>
      </c>
      <c r="Y61">
        <f t="shared" si="8"/>
        <v>2.1508934145990133</v>
      </c>
      <c r="Z61">
        <f t="shared" si="9"/>
        <v>0.76815201632378161</v>
      </c>
      <c r="AA61">
        <f t="shared" si="38"/>
        <v>0.27782237579739055</v>
      </c>
      <c r="AB61">
        <v>0.09</v>
      </c>
      <c r="AC61">
        <f t="shared" si="39"/>
        <v>0.27782237579739055</v>
      </c>
      <c r="AE61">
        <f t="shared" si="10"/>
        <v>2.7085547408301465</v>
      </c>
      <c r="AF61">
        <f t="shared" si="11"/>
        <v>0.8562937692556124</v>
      </c>
      <c r="AG61">
        <f t="shared" si="40"/>
        <v>0.21769305669867234</v>
      </c>
      <c r="AH61">
        <v>0.09</v>
      </c>
      <c r="AI61">
        <f t="shared" si="41"/>
        <v>0.21769305669867234</v>
      </c>
      <c r="AK61">
        <f t="shared" si="12"/>
        <v>3.5249991772401073</v>
      </c>
      <c r="AL61">
        <f t="shared" si="13"/>
        <v>0.96947757019776348</v>
      </c>
      <c r="AM61">
        <f t="shared" si="42"/>
        <v>0.16438217132744934</v>
      </c>
      <c r="AN61">
        <v>0.09</v>
      </c>
      <c r="AO61">
        <f t="shared" si="43"/>
        <v>0.16438217132744934</v>
      </c>
      <c r="AQ61">
        <f t="shared" si="14"/>
        <v>4.7773132097521307</v>
      </c>
      <c r="AR61">
        <f t="shared" si="15"/>
        <v>1.1187868679044299</v>
      </c>
      <c r="AS61">
        <f t="shared" si="44"/>
        <v>0.11847855835225182</v>
      </c>
      <c r="AT61">
        <v>0.09</v>
      </c>
      <c r="AU61">
        <f t="shared" si="45"/>
        <v>0.11847855835225182</v>
      </c>
      <c r="AW61">
        <f t="shared" si="16"/>
        <v>6.8110258210549928</v>
      </c>
      <c r="AX61">
        <f t="shared" si="17"/>
        <v>1.3222854531307033</v>
      </c>
      <c r="AY61">
        <f t="shared" si="46"/>
        <v>8.0412895738134441E-2</v>
      </c>
      <c r="AZ61">
        <v>0.09</v>
      </c>
      <c r="BA61">
        <f t="shared" si="47"/>
        <v>8.0412895738134441E-2</v>
      </c>
      <c r="BC61">
        <f t="shared" si="18"/>
        <v>10.357300493248442</v>
      </c>
      <c r="BD61">
        <f t="shared" si="19"/>
        <v>1.6110130365366819</v>
      </c>
      <c r="BE61">
        <f t="shared" si="48"/>
        <v>5.0371120066641129E-2</v>
      </c>
      <c r="BF61">
        <v>0.09</v>
      </c>
      <c r="BG61">
        <f t="shared" si="49"/>
        <v>5.0371120066641129E-2</v>
      </c>
      <c r="BI61">
        <f t="shared" si="20"/>
        <v>17.127242080719306</v>
      </c>
      <c r="BJ61">
        <f t="shared" si="21"/>
        <v>2.041867969074457</v>
      </c>
      <c r="BK61">
        <f t="shared" si="50"/>
        <v>2.8196710276370239E-2</v>
      </c>
      <c r="BL61">
        <v>0.09</v>
      </c>
      <c r="BM61">
        <f t="shared" si="51"/>
        <v>2.8196710276370239E-2</v>
      </c>
      <c r="BO61">
        <f t="shared" si="22"/>
        <v>31.671651440175555</v>
      </c>
      <c r="BP61">
        <f t="shared" si="23"/>
        <v>2.7279052431014139</v>
      </c>
      <c r="BQ61">
        <f t="shared" si="52"/>
        <v>1.329859697769325E-2</v>
      </c>
      <c r="BR61">
        <v>0.09</v>
      </c>
      <c r="BS61">
        <f t="shared" si="53"/>
        <v>1.329859697769325E-2</v>
      </c>
      <c r="BU61">
        <f t="shared" si="24"/>
        <v>68.296712692420613</v>
      </c>
      <c r="BV61">
        <f t="shared" si="25"/>
        <v>3.9181522779005942</v>
      </c>
      <c r="BW61">
        <f t="shared" si="54"/>
        <v>4.5985565425874552E-3</v>
      </c>
      <c r="BX61">
        <v>0.09</v>
      </c>
      <c r="BY61">
        <f t="shared" si="55"/>
        <v>4.5985565425874552E-3</v>
      </c>
      <c r="CA61">
        <f t="shared" si="26"/>
        <v>183.4340946413366</v>
      </c>
      <c r="CB61">
        <f t="shared" si="27"/>
        <v>6.2411194167366153</v>
      </c>
      <c r="CC61">
        <f t="shared" si="56"/>
        <v>5.7240859557219491E-4</v>
      </c>
      <c r="CD61">
        <v>0.09</v>
      </c>
      <c r="CE61">
        <f t="shared" si="57"/>
        <v>5.7240859557219491E-4</v>
      </c>
      <c r="CG61">
        <f t="shared" si="28"/>
        <v>684.83677600689953</v>
      </c>
      <c r="CH61">
        <f t="shared" si="29"/>
        <v>11.610138519235557</v>
      </c>
      <c r="CI61">
        <f t="shared" si="58"/>
        <v>-5.5226658377848219E-4</v>
      </c>
      <c r="CJ61">
        <v>0.09</v>
      </c>
      <c r="CK61">
        <f t="shared" si="59"/>
        <v>-5.5226658377848219E-4</v>
      </c>
    </row>
    <row r="62" spans="1:89">
      <c r="A62">
        <f t="shared" si="0"/>
        <v>1.0771165719846167</v>
      </c>
      <c r="B62">
        <f t="shared" si="1"/>
        <v>0.5545240004946993</v>
      </c>
      <c r="C62">
        <f t="shared" si="30"/>
        <v>0.56748509478810594</v>
      </c>
      <c r="D62">
        <v>0.1</v>
      </c>
      <c r="E62">
        <f t="shared" si="31"/>
        <v>0.56748509478810594</v>
      </c>
      <c r="G62">
        <f t="shared" si="2"/>
        <v>1.2459355803870673</v>
      </c>
      <c r="H62">
        <f t="shared" si="3"/>
        <v>0.59390293184916687</v>
      </c>
      <c r="I62">
        <f t="shared" si="32"/>
        <v>0.48743267017578384</v>
      </c>
      <c r="J62">
        <v>0.1</v>
      </c>
      <c r="K62">
        <f t="shared" si="33"/>
        <v>0.48743267017578384</v>
      </c>
      <c r="M62">
        <f t="shared" si="4"/>
        <v>1.4647190981721883</v>
      </c>
      <c r="N62">
        <f t="shared" si="5"/>
        <v>0.64094558415571345</v>
      </c>
      <c r="O62">
        <f t="shared" si="34"/>
        <v>0.41141365763334098</v>
      </c>
      <c r="P62">
        <v>0.1</v>
      </c>
      <c r="Q62">
        <f t="shared" si="35"/>
        <v>0.41141365763334098</v>
      </c>
      <c r="S62">
        <f t="shared" si="6"/>
        <v>1.7550069325111373</v>
      </c>
      <c r="T62">
        <f t="shared" si="7"/>
        <v>0.69794570246400056</v>
      </c>
      <c r="U62">
        <f t="shared" si="36"/>
        <v>0.34011571048299094</v>
      </c>
      <c r="V62">
        <v>0.1</v>
      </c>
      <c r="W62">
        <f t="shared" si="37"/>
        <v>0.34011571048299094</v>
      </c>
      <c r="Y62">
        <f t="shared" si="8"/>
        <v>2.1508934145990133</v>
      </c>
      <c r="Z62">
        <f t="shared" si="9"/>
        <v>0.76815201632378161</v>
      </c>
      <c r="AA62">
        <f t="shared" si="38"/>
        <v>0.27425105975211367</v>
      </c>
      <c r="AB62">
        <v>0.1</v>
      </c>
      <c r="AC62">
        <f t="shared" si="39"/>
        <v>0.27425105975211367</v>
      </c>
      <c r="AE62">
        <f t="shared" si="10"/>
        <v>2.7085547408301465</v>
      </c>
      <c r="AF62">
        <f t="shared" si="11"/>
        <v>0.8562937692556124</v>
      </c>
      <c r="AG62">
        <f t="shared" si="40"/>
        <v>0.21453161507688268</v>
      </c>
      <c r="AH62">
        <v>0.1</v>
      </c>
      <c r="AI62">
        <f t="shared" si="41"/>
        <v>0.21453161507688268</v>
      </c>
      <c r="AK62">
        <f t="shared" si="12"/>
        <v>3.5249991772401073</v>
      </c>
      <c r="AL62">
        <f t="shared" si="13"/>
        <v>0.96947757019776348</v>
      </c>
      <c r="AM62">
        <f t="shared" si="42"/>
        <v>0.16163187970622742</v>
      </c>
      <c r="AN62">
        <v>0.1</v>
      </c>
      <c r="AO62">
        <f t="shared" si="43"/>
        <v>0.16163187970622742</v>
      </c>
      <c r="AQ62">
        <f t="shared" si="14"/>
        <v>4.7773132097521307</v>
      </c>
      <c r="AR62">
        <f t="shared" si="15"/>
        <v>1.1187868679044299</v>
      </c>
      <c r="AS62">
        <f t="shared" si="44"/>
        <v>0.11613668370685365</v>
      </c>
      <c r="AT62">
        <v>0.1</v>
      </c>
      <c r="AU62">
        <f t="shared" si="45"/>
        <v>0.11613668370685365</v>
      </c>
      <c r="AW62">
        <f t="shared" si="16"/>
        <v>6.8110258210549928</v>
      </c>
      <c r="AX62">
        <f t="shared" si="17"/>
        <v>1.3222854531307033</v>
      </c>
      <c r="AY62">
        <f t="shared" si="46"/>
        <v>7.8471506162069243E-2</v>
      </c>
      <c r="AZ62">
        <v>0.1</v>
      </c>
      <c r="BA62">
        <f t="shared" si="47"/>
        <v>7.8471506162069243E-2</v>
      </c>
      <c r="BC62">
        <f t="shared" si="18"/>
        <v>10.357300493248442</v>
      </c>
      <c r="BD62">
        <f t="shared" si="19"/>
        <v>1.6110130365366819</v>
      </c>
      <c r="BE62">
        <f t="shared" si="48"/>
        <v>4.8815682877590895E-2</v>
      </c>
      <c r="BF62">
        <v>0.1</v>
      </c>
      <c r="BG62">
        <f t="shared" si="49"/>
        <v>4.8815682877590895E-2</v>
      </c>
      <c r="BI62">
        <f t="shared" si="20"/>
        <v>17.127242080719306</v>
      </c>
      <c r="BJ62">
        <f t="shared" si="21"/>
        <v>2.041867969074457</v>
      </c>
      <c r="BK62">
        <f t="shared" si="50"/>
        <v>2.700453470049451E-2</v>
      </c>
      <c r="BL62">
        <v>0.1</v>
      </c>
      <c r="BM62">
        <f t="shared" si="51"/>
        <v>2.700453470049451E-2</v>
      </c>
      <c r="BO62">
        <f t="shared" si="22"/>
        <v>31.671651440175555</v>
      </c>
      <c r="BP62">
        <f t="shared" si="23"/>
        <v>2.7279052431014139</v>
      </c>
      <c r="BQ62">
        <f t="shared" si="52"/>
        <v>1.2437288798593672E-2</v>
      </c>
      <c r="BR62">
        <v>0.1</v>
      </c>
      <c r="BS62">
        <f t="shared" si="53"/>
        <v>1.2437288798593672E-2</v>
      </c>
      <c r="BU62">
        <f t="shared" si="24"/>
        <v>68.296712692420613</v>
      </c>
      <c r="BV62">
        <f t="shared" si="25"/>
        <v>3.9181522779005942</v>
      </c>
      <c r="BW62">
        <f t="shared" si="54"/>
        <v>4.0248609541121659E-3</v>
      </c>
      <c r="BX62">
        <v>0.1</v>
      </c>
      <c r="BY62">
        <f t="shared" si="55"/>
        <v>4.0248609541121659E-3</v>
      </c>
      <c r="CA62">
        <f t="shared" si="26"/>
        <v>183.4340946413366</v>
      </c>
      <c r="CB62">
        <f t="shared" si="27"/>
        <v>6.2411194167366153</v>
      </c>
      <c r="CC62">
        <f t="shared" si="56"/>
        <v>2.3217089718031747E-4</v>
      </c>
      <c r="CD62">
        <v>0.1</v>
      </c>
      <c r="CE62">
        <f t="shared" si="57"/>
        <v>2.3217089718031747E-4</v>
      </c>
      <c r="CG62">
        <f t="shared" si="28"/>
        <v>684.83677600689953</v>
      </c>
      <c r="CH62">
        <f t="shared" si="29"/>
        <v>11.610138519235557</v>
      </c>
      <c r="CI62">
        <f t="shared" si="58"/>
        <v>-7.2179805355338531E-4</v>
      </c>
      <c r="CJ62">
        <v>0.1</v>
      </c>
      <c r="CK62">
        <f t="shared" si="59"/>
        <v>-7.2179805355338531E-4</v>
      </c>
    </row>
    <row r="63" spans="1:89">
      <c r="A63">
        <f t="shared" si="0"/>
        <v>1.0771165719846167</v>
      </c>
      <c r="B63">
        <f t="shared" si="1"/>
        <v>0.5545240004946993</v>
      </c>
      <c r="C63">
        <f t="shared" si="30"/>
        <v>0.56233686835730312</v>
      </c>
      <c r="D63">
        <v>0.11</v>
      </c>
      <c r="E63">
        <f t="shared" si="31"/>
        <v>0.56233686835730312</v>
      </c>
      <c r="G63">
        <f t="shared" si="2"/>
        <v>1.2459355803870673</v>
      </c>
      <c r="H63">
        <f t="shared" si="3"/>
        <v>0.59390293184916687</v>
      </c>
      <c r="I63">
        <f t="shared" si="32"/>
        <v>0.48266594755225417</v>
      </c>
      <c r="J63">
        <v>0.11</v>
      </c>
      <c r="K63">
        <f t="shared" si="33"/>
        <v>0.48266594755225417</v>
      </c>
      <c r="M63">
        <f t="shared" si="4"/>
        <v>1.4647190981721883</v>
      </c>
      <c r="N63">
        <f t="shared" si="5"/>
        <v>0.64094558415571345</v>
      </c>
      <c r="O63">
        <f t="shared" si="34"/>
        <v>0.40703776340928433</v>
      </c>
      <c r="P63">
        <v>0.11</v>
      </c>
      <c r="Q63">
        <f t="shared" si="35"/>
        <v>0.40703776340928433</v>
      </c>
      <c r="S63">
        <f t="shared" si="6"/>
        <v>1.7550069325111373</v>
      </c>
      <c r="T63">
        <f t="shared" si="7"/>
        <v>0.69794570246400056</v>
      </c>
      <c r="U63">
        <f t="shared" si="36"/>
        <v>0.3361388276027315</v>
      </c>
      <c r="V63">
        <v>0.11</v>
      </c>
      <c r="W63">
        <f t="shared" si="37"/>
        <v>0.3361388276027315</v>
      </c>
      <c r="Y63">
        <f t="shared" si="8"/>
        <v>2.1508934145990133</v>
      </c>
      <c r="Z63">
        <f t="shared" si="9"/>
        <v>0.76815201632378161</v>
      </c>
      <c r="AA63">
        <f t="shared" si="38"/>
        <v>0.27067974370683678</v>
      </c>
      <c r="AB63">
        <v>0.11</v>
      </c>
      <c r="AC63">
        <f t="shared" si="39"/>
        <v>0.27067974370683678</v>
      </c>
      <c r="AE63">
        <f t="shared" si="10"/>
        <v>2.7085547408301465</v>
      </c>
      <c r="AF63">
        <f t="shared" si="11"/>
        <v>0.8562937692556124</v>
      </c>
      <c r="AG63">
        <f t="shared" si="40"/>
        <v>0.21137017345509301</v>
      </c>
      <c r="AH63">
        <v>0.11</v>
      </c>
      <c r="AI63">
        <f t="shared" si="41"/>
        <v>0.21137017345509301</v>
      </c>
      <c r="AK63">
        <f t="shared" si="12"/>
        <v>3.5249991772401073</v>
      </c>
      <c r="AL63">
        <f t="shared" si="13"/>
        <v>0.96947757019776348</v>
      </c>
      <c r="AM63">
        <f t="shared" si="42"/>
        <v>0.15888158808500549</v>
      </c>
      <c r="AN63">
        <v>0.11</v>
      </c>
      <c r="AO63">
        <f t="shared" si="43"/>
        <v>0.15888158808500549</v>
      </c>
      <c r="AQ63">
        <f t="shared" si="14"/>
        <v>4.7773132097521307</v>
      </c>
      <c r="AR63">
        <f t="shared" si="15"/>
        <v>1.1187868679044299</v>
      </c>
      <c r="AS63">
        <f t="shared" si="44"/>
        <v>0.11379480906145546</v>
      </c>
      <c r="AT63">
        <v>0.11</v>
      </c>
      <c r="AU63">
        <f t="shared" si="45"/>
        <v>0.11379480906145546</v>
      </c>
      <c r="AW63">
        <f t="shared" si="16"/>
        <v>6.8110258210549928</v>
      </c>
      <c r="AX63">
        <f t="shared" si="17"/>
        <v>1.3222854531307033</v>
      </c>
      <c r="AY63">
        <f t="shared" si="46"/>
        <v>7.653011658600406E-2</v>
      </c>
      <c r="AZ63">
        <v>0.11</v>
      </c>
      <c r="BA63">
        <f t="shared" si="47"/>
        <v>7.653011658600406E-2</v>
      </c>
      <c r="BC63">
        <f t="shared" si="18"/>
        <v>10.357300493248442</v>
      </c>
      <c r="BD63">
        <f t="shared" si="19"/>
        <v>1.6110130365366819</v>
      </c>
      <c r="BE63">
        <f t="shared" si="48"/>
        <v>4.7260245688540682E-2</v>
      </c>
      <c r="BF63">
        <v>0.11</v>
      </c>
      <c r="BG63">
        <f t="shared" si="49"/>
        <v>4.7260245688540682E-2</v>
      </c>
      <c r="BI63">
        <f t="shared" si="20"/>
        <v>17.127242080719306</v>
      </c>
      <c r="BJ63">
        <f t="shared" si="21"/>
        <v>2.041867969074457</v>
      </c>
      <c r="BK63">
        <f t="shared" si="50"/>
        <v>2.5812359124618777E-2</v>
      </c>
      <c r="BL63">
        <v>0.11</v>
      </c>
      <c r="BM63">
        <f t="shared" si="51"/>
        <v>2.5812359124618777E-2</v>
      </c>
      <c r="BO63">
        <f t="shared" si="22"/>
        <v>31.671651440175555</v>
      </c>
      <c r="BP63">
        <f t="shared" si="23"/>
        <v>2.7279052431014139</v>
      </c>
      <c r="BQ63">
        <f t="shared" si="52"/>
        <v>1.1575980619494095E-2</v>
      </c>
      <c r="BR63">
        <v>0.11</v>
      </c>
      <c r="BS63">
        <f t="shared" si="53"/>
        <v>1.1575980619494095E-2</v>
      </c>
      <c r="BU63">
        <f t="shared" si="24"/>
        <v>68.296712692420613</v>
      </c>
      <c r="BV63">
        <f t="shared" si="25"/>
        <v>3.9181522779005942</v>
      </c>
      <c r="BW63">
        <f t="shared" si="54"/>
        <v>3.4511653656368784E-3</v>
      </c>
      <c r="BX63">
        <v>0.11</v>
      </c>
      <c r="BY63">
        <f t="shared" si="55"/>
        <v>3.4511653656368784E-3</v>
      </c>
      <c r="CA63">
        <f t="shared" si="26"/>
        <v>183.4340946413366</v>
      </c>
      <c r="CB63">
        <f t="shared" si="27"/>
        <v>6.2411194167366153</v>
      </c>
      <c r="CC63">
        <f t="shared" si="56"/>
        <v>-1.0806680121155933E-4</v>
      </c>
      <c r="CD63">
        <v>0.11</v>
      </c>
      <c r="CE63">
        <f t="shared" si="57"/>
        <v>-1.0806680121155933E-4</v>
      </c>
      <c r="CG63">
        <f t="shared" si="28"/>
        <v>684.83677600689953</v>
      </c>
      <c r="CH63">
        <f t="shared" si="29"/>
        <v>11.610138519235557</v>
      </c>
      <c r="CI63">
        <f t="shared" si="58"/>
        <v>-8.913295233282881E-4</v>
      </c>
      <c r="CJ63">
        <v>0.11</v>
      </c>
      <c r="CK63">
        <f t="shared" si="59"/>
        <v>-8.913295233282881E-4</v>
      </c>
    </row>
    <row r="64" spans="1:89">
      <c r="A64">
        <f t="shared" si="0"/>
        <v>1.0771165719846167</v>
      </c>
      <c r="B64">
        <f t="shared" si="1"/>
        <v>0.5545240004946993</v>
      </c>
      <c r="C64">
        <f t="shared" si="30"/>
        <v>0.55718864192650019</v>
      </c>
      <c r="D64">
        <v>0.12</v>
      </c>
      <c r="E64">
        <f t="shared" si="31"/>
        <v>0.55718864192650019</v>
      </c>
      <c r="G64">
        <f t="shared" si="2"/>
        <v>1.2459355803870673</v>
      </c>
      <c r="H64">
        <f t="shared" si="3"/>
        <v>0.59390293184916687</v>
      </c>
      <c r="I64">
        <f t="shared" si="32"/>
        <v>0.47789922492872444</v>
      </c>
      <c r="J64">
        <v>0.12</v>
      </c>
      <c r="K64">
        <f t="shared" si="33"/>
        <v>0.47789922492872444</v>
      </c>
      <c r="M64">
        <f t="shared" si="4"/>
        <v>1.4647190981721883</v>
      </c>
      <c r="N64">
        <f t="shared" si="5"/>
        <v>0.64094558415571345</v>
      </c>
      <c r="O64">
        <f t="shared" si="34"/>
        <v>0.40266186918522767</v>
      </c>
      <c r="P64">
        <v>0.12</v>
      </c>
      <c r="Q64">
        <f t="shared" si="35"/>
        <v>0.40266186918522767</v>
      </c>
      <c r="S64">
        <f t="shared" si="6"/>
        <v>1.7550069325111373</v>
      </c>
      <c r="T64">
        <f t="shared" si="7"/>
        <v>0.69794570246400056</v>
      </c>
      <c r="U64">
        <f t="shared" si="36"/>
        <v>0.33216194472247218</v>
      </c>
      <c r="V64">
        <v>0.12</v>
      </c>
      <c r="W64">
        <f t="shared" si="37"/>
        <v>0.33216194472247218</v>
      </c>
      <c r="Y64">
        <f t="shared" si="8"/>
        <v>2.1508934145990133</v>
      </c>
      <c r="Z64">
        <f t="shared" si="9"/>
        <v>0.76815201632378161</v>
      </c>
      <c r="AA64">
        <f t="shared" si="38"/>
        <v>0.2671084276615599</v>
      </c>
      <c r="AB64">
        <v>0.12</v>
      </c>
      <c r="AC64">
        <f t="shared" si="39"/>
        <v>0.2671084276615599</v>
      </c>
      <c r="AE64">
        <f t="shared" si="10"/>
        <v>2.7085547408301465</v>
      </c>
      <c r="AF64">
        <f t="shared" si="11"/>
        <v>0.8562937692556124</v>
      </c>
      <c r="AG64">
        <f t="shared" si="40"/>
        <v>0.20820873183330335</v>
      </c>
      <c r="AH64">
        <v>0.12</v>
      </c>
      <c r="AI64">
        <f t="shared" si="41"/>
        <v>0.20820873183330335</v>
      </c>
      <c r="AK64">
        <f t="shared" si="12"/>
        <v>3.5249991772401073</v>
      </c>
      <c r="AL64">
        <f t="shared" si="13"/>
        <v>0.96947757019776348</v>
      </c>
      <c r="AM64">
        <f t="shared" si="42"/>
        <v>0.15613129646378357</v>
      </c>
      <c r="AN64">
        <v>0.12</v>
      </c>
      <c r="AO64">
        <f t="shared" si="43"/>
        <v>0.15613129646378357</v>
      </c>
      <c r="AQ64">
        <f t="shared" si="14"/>
        <v>4.7773132097521307</v>
      </c>
      <c r="AR64">
        <f t="shared" si="15"/>
        <v>1.1187868679044299</v>
      </c>
      <c r="AS64">
        <f t="shared" si="44"/>
        <v>0.11145293441605729</v>
      </c>
      <c r="AT64">
        <v>0.12</v>
      </c>
      <c r="AU64">
        <f t="shared" si="45"/>
        <v>0.11145293441605729</v>
      </c>
      <c r="AW64">
        <f t="shared" si="16"/>
        <v>6.8110258210549928</v>
      </c>
      <c r="AX64">
        <f t="shared" si="17"/>
        <v>1.3222854531307033</v>
      </c>
      <c r="AY64">
        <f t="shared" si="46"/>
        <v>7.4588727009938863E-2</v>
      </c>
      <c r="AZ64">
        <v>0.12</v>
      </c>
      <c r="BA64">
        <f t="shared" si="47"/>
        <v>7.4588727009938863E-2</v>
      </c>
      <c r="BC64">
        <f t="shared" si="18"/>
        <v>10.357300493248442</v>
      </c>
      <c r="BD64">
        <f t="shared" si="19"/>
        <v>1.6110130365366819</v>
      </c>
      <c r="BE64">
        <f t="shared" si="48"/>
        <v>4.5704808499490462E-2</v>
      </c>
      <c r="BF64">
        <v>0.12</v>
      </c>
      <c r="BG64">
        <f t="shared" si="49"/>
        <v>4.5704808499490462E-2</v>
      </c>
      <c r="BI64">
        <f t="shared" si="20"/>
        <v>17.127242080719306</v>
      </c>
      <c r="BJ64">
        <f t="shared" si="21"/>
        <v>2.041867969074457</v>
      </c>
      <c r="BK64">
        <f t="shared" si="50"/>
        <v>2.4620183548743051E-2</v>
      </c>
      <c r="BL64">
        <v>0.12</v>
      </c>
      <c r="BM64">
        <f t="shared" si="51"/>
        <v>2.4620183548743051E-2</v>
      </c>
      <c r="BO64">
        <f t="shared" si="22"/>
        <v>31.671651440175555</v>
      </c>
      <c r="BP64">
        <f t="shared" si="23"/>
        <v>2.7279052431014139</v>
      </c>
      <c r="BQ64">
        <f t="shared" si="52"/>
        <v>1.0714672440394516E-2</v>
      </c>
      <c r="BR64">
        <v>0.12</v>
      </c>
      <c r="BS64">
        <f t="shared" si="53"/>
        <v>1.0714672440394516E-2</v>
      </c>
      <c r="BU64">
        <f t="shared" si="24"/>
        <v>68.296712692420613</v>
      </c>
      <c r="BV64">
        <f t="shared" si="25"/>
        <v>3.9181522779005942</v>
      </c>
      <c r="BW64">
        <f t="shared" si="54"/>
        <v>2.87746977716159E-3</v>
      </c>
      <c r="BX64">
        <v>0.12</v>
      </c>
      <c r="BY64">
        <f t="shared" si="55"/>
        <v>2.87746977716159E-3</v>
      </c>
      <c r="CA64">
        <f t="shared" si="26"/>
        <v>183.4340946413366</v>
      </c>
      <c r="CB64">
        <f t="shared" si="27"/>
        <v>6.2411194167366153</v>
      </c>
      <c r="CC64">
        <f t="shared" si="56"/>
        <v>-4.4830449960343676E-4</v>
      </c>
      <c r="CD64">
        <v>0.12</v>
      </c>
      <c r="CE64">
        <f t="shared" si="57"/>
        <v>-4.4830449960343676E-4</v>
      </c>
      <c r="CG64">
        <f t="shared" si="28"/>
        <v>684.83677600689953</v>
      </c>
      <c r="CH64">
        <f t="shared" si="29"/>
        <v>11.610138519235557</v>
      </c>
      <c r="CI64">
        <f t="shared" si="58"/>
        <v>-1.0608609931031907E-3</v>
      </c>
      <c r="CJ64">
        <v>0.12</v>
      </c>
      <c r="CK64">
        <f t="shared" si="59"/>
        <v>-1.0608609931031907E-3</v>
      </c>
    </row>
    <row r="65" spans="1:89">
      <c r="A65">
        <f t="shared" si="0"/>
        <v>1.0771165719846167</v>
      </c>
      <c r="B65">
        <f t="shared" si="1"/>
        <v>0.5545240004946993</v>
      </c>
      <c r="C65">
        <f t="shared" si="30"/>
        <v>0.55204041549569738</v>
      </c>
      <c r="D65">
        <v>0.13</v>
      </c>
      <c r="E65">
        <f t="shared" si="31"/>
        <v>0.55204041549569738</v>
      </c>
      <c r="G65">
        <f t="shared" si="2"/>
        <v>1.2459355803870673</v>
      </c>
      <c r="H65">
        <f t="shared" si="3"/>
        <v>0.59390293184916687</v>
      </c>
      <c r="I65">
        <f t="shared" si="32"/>
        <v>0.47313250230519471</v>
      </c>
      <c r="J65">
        <v>0.13</v>
      </c>
      <c r="K65">
        <f t="shared" si="33"/>
        <v>0.47313250230519471</v>
      </c>
      <c r="M65">
        <f t="shared" si="4"/>
        <v>1.4647190981721883</v>
      </c>
      <c r="N65">
        <f t="shared" si="5"/>
        <v>0.64094558415571345</v>
      </c>
      <c r="O65">
        <f t="shared" si="34"/>
        <v>0.39828597496117107</v>
      </c>
      <c r="P65">
        <v>0.13</v>
      </c>
      <c r="Q65">
        <f t="shared" si="35"/>
        <v>0.39828597496117107</v>
      </c>
      <c r="S65">
        <f t="shared" si="6"/>
        <v>1.7550069325111373</v>
      </c>
      <c r="T65">
        <f t="shared" si="7"/>
        <v>0.69794570246400056</v>
      </c>
      <c r="U65">
        <f t="shared" si="36"/>
        <v>0.32818506184221286</v>
      </c>
      <c r="V65">
        <v>0.13</v>
      </c>
      <c r="W65">
        <f t="shared" si="37"/>
        <v>0.32818506184221286</v>
      </c>
      <c r="Y65">
        <f t="shared" si="8"/>
        <v>2.1508934145990133</v>
      </c>
      <c r="Z65">
        <f t="shared" si="9"/>
        <v>0.76815201632378161</v>
      </c>
      <c r="AA65">
        <f t="shared" si="38"/>
        <v>0.26353711161628307</v>
      </c>
      <c r="AB65">
        <v>0.13</v>
      </c>
      <c r="AC65">
        <f t="shared" si="39"/>
        <v>0.26353711161628307</v>
      </c>
      <c r="AE65">
        <f t="shared" si="10"/>
        <v>2.7085547408301465</v>
      </c>
      <c r="AF65">
        <f t="shared" si="11"/>
        <v>0.8562937692556124</v>
      </c>
      <c r="AG65">
        <f t="shared" si="40"/>
        <v>0.20504729021151372</v>
      </c>
      <c r="AH65">
        <v>0.13</v>
      </c>
      <c r="AI65">
        <f t="shared" si="41"/>
        <v>0.20504729021151372</v>
      </c>
      <c r="AK65">
        <f t="shared" si="12"/>
        <v>3.5249991772401073</v>
      </c>
      <c r="AL65">
        <f t="shared" si="13"/>
        <v>0.96947757019776348</v>
      </c>
      <c r="AM65">
        <f t="shared" si="42"/>
        <v>0.15338100484256162</v>
      </c>
      <c r="AN65">
        <v>0.13</v>
      </c>
      <c r="AO65">
        <f t="shared" si="43"/>
        <v>0.15338100484256162</v>
      </c>
      <c r="AQ65">
        <f t="shared" si="14"/>
        <v>4.7773132097521307</v>
      </c>
      <c r="AR65">
        <f t="shared" si="15"/>
        <v>1.1187868679044299</v>
      </c>
      <c r="AS65">
        <f t="shared" si="44"/>
        <v>0.1091110597706591</v>
      </c>
      <c r="AT65">
        <v>0.13</v>
      </c>
      <c r="AU65">
        <f t="shared" si="45"/>
        <v>0.1091110597706591</v>
      </c>
      <c r="AW65">
        <f t="shared" si="16"/>
        <v>6.8110258210549928</v>
      </c>
      <c r="AX65">
        <f t="shared" si="17"/>
        <v>1.3222854531307033</v>
      </c>
      <c r="AY65">
        <f t="shared" si="46"/>
        <v>7.2647337433873665E-2</v>
      </c>
      <c r="AZ65">
        <v>0.13</v>
      </c>
      <c r="BA65">
        <f t="shared" si="47"/>
        <v>7.2647337433873665E-2</v>
      </c>
      <c r="BC65">
        <f t="shared" si="18"/>
        <v>10.357300493248442</v>
      </c>
      <c r="BD65">
        <f t="shared" si="19"/>
        <v>1.6110130365366819</v>
      </c>
      <c r="BE65">
        <f t="shared" si="48"/>
        <v>4.4149371310440243E-2</v>
      </c>
      <c r="BF65">
        <v>0.13</v>
      </c>
      <c r="BG65">
        <f t="shared" si="49"/>
        <v>4.4149371310440243E-2</v>
      </c>
      <c r="BI65">
        <f t="shared" si="20"/>
        <v>17.127242080719306</v>
      </c>
      <c r="BJ65">
        <f t="shared" si="21"/>
        <v>2.041867969074457</v>
      </c>
      <c r="BK65">
        <f t="shared" si="50"/>
        <v>2.3428007972867319E-2</v>
      </c>
      <c r="BL65">
        <v>0.13</v>
      </c>
      <c r="BM65">
        <f t="shared" si="51"/>
        <v>2.3428007972867319E-2</v>
      </c>
      <c r="BO65">
        <f t="shared" si="22"/>
        <v>31.671651440175555</v>
      </c>
      <c r="BP65">
        <f t="shared" si="23"/>
        <v>2.7279052431014139</v>
      </c>
      <c r="BQ65">
        <f t="shared" si="52"/>
        <v>9.8533642612949369E-3</v>
      </c>
      <c r="BR65">
        <v>0.13</v>
      </c>
      <c r="BS65">
        <f t="shared" si="53"/>
        <v>9.8533642612949369E-3</v>
      </c>
      <c r="BU65">
        <f t="shared" si="24"/>
        <v>68.296712692420613</v>
      </c>
      <c r="BV65">
        <f t="shared" si="25"/>
        <v>3.9181522779005942</v>
      </c>
      <c r="BW65">
        <f t="shared" si="54"/>
        <v>2.3037741886863011E-3</v>
      </c>
      <c r="BX65">
        <v>0.13</v>
      </c>
      <c r="BY65">
        <f t="shared" si="55"/>
        <v>2.3037741886863011E-3</v>
      </c>
      <c r="CA65">
        <f t="shared" si="26"/>
        <v>183.4340946413366</v>
      </c>
      <c r="CB65">
        <f t="shared" si="27"/>
        <v>6.2411194167366153</v>
      </c>
      <c r="CC65">
        <f t="shared" si="56"/>
        <v>-7.885421979953142E-4</v>
      </c>
      <c r="CD65">
        <v>0.13</v>
      </c>
      <c r="CE65">
        <f t="shared" si="57"/>
        <v>-7.885421979953142E-4</v>
      </c>
      <c r="CG65">
        <f t="shared" si="28"/>
        <v>684.83677600689953</v>
      </c>
      <c r="CH65">
        <f t="shared" si="29"/>
        <v>11.610138519235557</v>
      </c>
      <c r="CI65">
        <f t="shared" si="58"/>
        <v>-1.2303924628780938E-3</v>
      </c>
      <c r="CJ65">
        <v>0.13</v>
      </c>
      <c r="CK65">
        <f t="shared" si="59"/>
        <v>-1.2303924628780938E-3</v>
      </c>
    </row>
    <row r="66" spans="1:89">
      <c r="A66">
        <f t="shared" si="0"/>
        <v>1.0771165719846167</v>
      </c>
      <c r="B66">
        <f t="shared" si="1"/>
        <v>0.5545240004946993</v>
      </c>
      <c r="C66">
        <f t="shared" si="30"/>
        <v>0.54689218906489445</v>
      </c>
      <c r="D66">
        <v>0.14000000000000001</v>
      </c>
      <c r="E66">
        <f t="shared" si="31"/>
        <v>0.54689218906489445</v>
      </c>
      <c r="G66">
        <f t="shared" si="2"/>
        <v>1.2459355803870673</v>
      </c>
      <c r="H66">
        <f t="shared" si="3"/>
        <v>0.59390293184916687</v>
      </c>
      <c r="I66">
        <f t="shared" si="32"/>
        <v>0.46836577968166498</v>
      </c>
      <c r="J66">
        <v>0.14000000000000001</v>
      </c>
      <c r="K66">
        <f t="shared" si="33"/>
        <v>0.46836577968166498</v>
      </c>
      <c r="M66">
        <f t="shared" si="4"/>
        <v>1.4647190981721883</v>
      </c>
      <c r="N66">
        <f t="shared" si="5"/>
        <v>0.64094558415571345</v>
      </c>
      <c r="O66">
        <f t="shared" si="34"/>
        <v>0.39391008073711442</v>
      </c>
      <c r="P66">
        <v>0.14000000000000001</v>
      </c>
      <c r="Q66">
        <f t="shared" si="35"/>
        <v>0.39391008073711442</v>
      </c>
      <c r="S66">
        <f t="shared" si="6"/>
        <v>1.7550069325111373</v>
      </c>
      <c r="T66">
        <f t="shared" si="7"/>
        <v>0.69794570246400056</v>
      </c>
      <c r="U66">
        <f t="shared" si="36"/>
        <v>0.32420817896195353</v>
      </c>
      <c r="V66">
        <v>0.14000000000000001</v>
      </c>
      <c r="W66">
        <f t="shared" si="37"/>
        <v>0.32420817896195353</v>
      </c>
      <c r="Y66">
        <f t="shared" si="8"/>
        <v>2.1508934145990133</v>
      </c>
      <c r="Z66">
        <f t="shared" si="9"/>
        <v>0.76815201632378161</v>
      </c>
      <c r="AA66">
        <f t="shared" si="38"/>
        <v>0.25996579557100619</v>
      </c>
      <c r="AB66">
        <v>0.14000000000000001</v>
      </c>
      <c r="AC66">
        <f t="shared" si="39"/>
        <v>0.25996579557100619</v>
      </c>
      <c r="AE66">
        <f t="shared" si="10"/>
        <v>2.7085547408301465</v>
      </c>
      <c r="AF66">
        <f t="shared" si="11"/>
        <v>0.8562937692556124</v>
      </c>
      <c r="AG66">
        <f t="shared" si="40"/>
        <v>0.20188584858972405</v>
      </c>
      <c r="AH66">
        <v>0.14000000000000001</v>
      </c>
      <c r="AI66">
        <f t="shared" si="41"/>
        <v>0.20188584858972405</v>
      </c>
      <c r="AK66">
        <f t="shared" si="12"/>
        <v>3.5249991772401073</v>
      </c>
      <c r="AL66">
        <f t="shared" si="13"/>
        <v>0.96947757019776348</v>
      </c>
      <c r="AM66">
        <f t="shared" si="42"/>
        <v>0.1506307132213397</v>
      </c>
      <c r="AN66">
        <v>0.14000000000000001</v>
      </c>
      <c r="AO66">
        <f t="shared" si="43"/>
        <v>0.1506307132213397</v>
      </c>
      <c r="AQ66">
        <f t="shared" si="14"/>
        <v>4.7773132097521307</v>
      </c>
      <c r="AR66">
        <f t="shared" si="15"/>
        <v>1.1187868679044299</v>
      </c>
      <c r="AS66">
        <f t="shared" si="44"/>
        <v>0.10676918512526093</v>
      </c>
      <c r="AT66">
        <v>0.14000000000000001</v>
      </c>
      <c r="AU66">
        <f t="shared" si="45"/>
        <v>0.10676918512526093</v>
      </c>
      <c r="AW66">
        <f t="shared" si="16"/>
        <v>6.8110258210549928</v>
      </c>
      <c r="AX66">
        <f t="shared" si="17"/>
        <v>1.3222854531307033</v>
      </c>
      <c r="AY66">
        <f t="shared" si="46"/>
        <v>7.0705947857808468E-2</v>
      </c>
      <c r="AZ66">
        <v>0.14000000000000001</v>
      </c>
      <c r="BA66">
        <f t="shared" si="47"/>
        <v>7.0705947857808468E-2</v>
      </c>
      <c r="BC66">
        <f t="shared" si="18"/>
        <v>10.357300493248442</v>
      </c>
      <c r="BD66">
        <f t="shared" si="19"/>
        <v>1.6110130365366819</v>
      </c>
      <c r="BE66">
        <f t="shared" si="48"/>
        <v>4.2593934121390016E-2</v>
      </c>
      <c r="BF66">
        <v>0.14000000000000001</v>
      </c>
      <c r="BG66">
        <f t="shared" si="49"/>
        <v>4.2593934121390016E-2</v>
      </c>
      <c r="BI66">
        <f t="shared" si="20"/>
        <v>17.127242080719306</v>
      </c>
      <c r="BJ66">
        <f t="shared" si="21"/>
        <v>2.041867969074457</v>
      </c>
      <c r="BK66">
        <f t="shared" si="50"/>
        <v>2.2235832396991589E-2</v>
      </c>
      <c r="BL66">
        <v>0.14000000000000001</v>
      </c>
      <c r="BM66">
        <f t="shared" si="51"/>
        <v>2.2235832396991589E-2</v>
      </c>
      <c r="BO66">
        <f t="shared" si="22"/>
        <v>31.671651440175555</v>
      </c>
      <c r="BP66">
        <f t="shared" si="23"/>
        <v>2.7279052431014139</v>
      </c>
      <c r="BQ66">
        <f t="shared" si="52"/>
        <v>8.9920560821953582E-3</v>
      </c>
      <c r="BR66">
        <v>0.14000000000000001</v>
      </c>
      <c r="BS66">
        <f t="shared" si="53"/>
        <v>8.9920560821953582E-3</v>
      </c>
      <c r="BU66">
        <f t="shared" si="24"/>
        <v>68.296712692420613</v>
      </c>
      <c r="BV66">
        <f t="shared" si="25"/>
        <v>3.9181522779005942</v>
      </c>
      <c r="BW66">
        <f t="shared" si="54"/>
        <v>1.7300786002110119E-3</v>
      </c>
      <c r="BX66">
        <v>0.14000000000000001</v>
      </c>
      <c r="BY66">
        <f t="shared" si="55"/>
        <v>1.7300786002110119E-3</v>
      </c>
      <c r="CA66">
        <f t="shared" si="26"/>
        <v>183.4340946413366</v>
      </c>
      <c r="CB66">
        <f t="shared" si="27"/>
        <v>6.2411194167366153</v>
      </c>
      <c r="CC66">
        <f t="shared" si="56"/>
        <v>-1.1287798963871916E-3</v>
      </c>
      <c r="CD66">
        <v>0.14000000000000001</v>
      </c>
      <c r="CE66">
        <f t="shared" si="57"/>
        <v>-1.1287798963871916E-3</v>
      </c>
      <c r="CG66">
        <f t="shared" si="28"/>
        <v>684.83677600689953</v>
      </c>
      <c r="CH66">
        <f t="shared" si="29"/>
        <v>11.610138519235557</v>
      </c>
      <c r="CI66">
        <f t="shared" si="58"/>
        <v>-1.3999239326529967E-3</v>
      </c>
      <c r="CJ66">
        <v>0.14000000000000001</v>
      </c>
      <c r="CK66">
        <f t="shared" si="59"/>
        <v>-1.3999239326529967E-3</v>
      </c>
    </row>
    <row r="67" spans="1:89">
      <c r="A67">
        <f t="shared" si="0"/>
        <v>1.0771165719846167</v>
      </c>
      <c r="B67">
        <f t="shared" si="1"/>
        <v>0.5545240004946993</v>
      </c>
      <c r="C67">
        <f t="shared" si="30"/>
        <v>0.54174396263409164</v>
      </c>
      <c r="D67">
        <v>0.15</v>
      </c>
      <c r="E67">
        <f t="shared" si="31"/>
        <v>0.54174396263409164</v>
      </c>
      <c r="G67">
        <f t="shared" si="2"/>
        <v>1.2459355803870673</v>
      </c>
      <c r="H67">
        <f t="shared" si="3"/>
        <v>0.59390293184916687</v>
      </c>
      <c r="I67">
        <f t="shared" si="32"/>
        <v>0.46359905705813531</v>
      </c>
      <c r="J67">
        <v>0.15</v>
      </c>
      <c r="K67">
        <f t="shared" si="33"/>
        <v>0.46359905705813531</v>
      </c>
      <c r="M67">
        <f t="shared" si="4"/>
        <v>1.4647190981721883</v>
      </c>
      <c r="N67">
        <f t="shared" si="5"/>
        <v>0.64094558415571345</v>
      </c>
      <c r="O67">
        <f t="shared" si="34"/>
        <v>0.38953418651305777</v>
      </c>
      <c r="P67">
        <v>0.15</v>
      </c>
      <c r="Q67">
        <f t="shared" si="35"/>
        <v>0.38953418651305777</v>
      </c>
      <c r="S67">
        <f t="shared" si="6"/>
        <v>1.7550069325111373</v>
      </c>
      <c r="T67">
        <f t="shared" si="7"/>
        <v>0.69794570246400056</v>
      </c>
      <c r="U67">
        <f t="shared" si="36"/>
        <v>0.32023129608169415</v>
      </c>
      <c r="V67">
        <v>0.15</v>
      </c>
      <c r="W67">
        <f t="shared" si="37"/>
        <v>0.32023129608169415</v>
      </c>
      <c r="Y67">
        <f t="shared" si="8"/>
        <v>2.1508934145990133</v>
      </c>
      <c r="Z67">
        <f t="shared" si="9"/>
        <v>0.76815201632378161</v>
      </c>
      <c r="AA67">
        <f t="shared" si="38"/>
        <v>0.25639447952572936</v>
      </c>
      <c r="AB67">
        <v>0.15</v>
      </c>
      <c r="AC67">
        <f t="shared" si="39"/>
        <v>0.25639447952572936</v>
      </c>
      <c r="AE67">
        <f t="shared" si="10"/>
        <v>2.7085547408301465</v>
      </c>
      <c r="AF67">
        <f t="shared" si="11"/>
        <v>0.8562937692556124</v>
      </c>
      <c r="AG67">
        <f t="shared" si="40"/>
        <v>0.19872440696793439</v>
      </c>
      <c r="AH67">
        <v>0.15</v>
      </c>
      <c r="AI67">
        <f t="shared" si="41"/>
        <v>0.19872440696793439</v>
      </c>
      <c r="AK67">
        <f t="shared" si="12"/>
        <v>3.5249991772401073</v>
      </c>
      <c r="AL67">
        <f t="shared" si="13"/>
        <v>0.96947757019776348</v>
      </c>
      <c r="AM67">
        <f t="shared" si="42"/>
        <v>0.14788042160011777</v>
      </c>
      <c r="AN67">
        <v>0.15</v>
      </c>
      <c r="AO67">
        <f t="shared" si="43"/>
        <v>0.14788042160011777</v>
      </c>
      <c r="AQ67">
        <f t="shared" si="14"/>
        <v>4.7773132097521307</v>
      </c>
      <c r="AR67">
        <f t="shared" si="15"/>
        <v>1.1187868679044299</v>
      </c>
      <c r="AS67">
        <f t="shared" si="44"/>
        <v>0.10442731047986276</v>
      </c>
      <c r="AT67">
        <v>0.15</v>
      </c>
      <c r="AU67">
        <f t="shared" si="45"/>
        <v>0.10442731047986276</v>
      </c>
      <c r="AW67">
        <f t="shared" si="16"/>
        <v>6.8110258210549928</v>
      </c>
      <c r="AX67">
        <f t="shared" si="17"/>
        <v>1.3222854531307033</v>
      </c>
      <c r="AY67">
        <f t="shared" si="46"/>
        <v>6.8764558281743285E-2</v>
      </c>
      <c r="AZ67">
        <v>0.15</v>
      </c>
      <c r="BA67">
        <f t="shared" si="47"/>
        <v>6.8764558281743285E-2</v>
      </c>
      <c r="BC67">
        <f t="shared" si="18"/>
        <v>10.357300493248442</v>
      </c>
      <c r="BD67">
        <f t="shared" si="19"/>
        <v>1.6110130365366819</v>
      </c>
      <c r="BE67">
        <f t="shared" si="48"/>
        <v>4.1038496932339803E-2</v>
      </c>
      <c r="BF67">
        <v>0.15</v>
      </c>
      <c r="BG67">
        <f t="shared" si="49"/>
        <v>4.1038496932339803E-2</v>
      </c>
      <c r="BI67">
        <f t="shared" si="20"/>
        <v>17.127242080719306</v>
      </c>
      <c r="BJ67">
        <f t="shared" si="21"/>
        <v>2.041867969074457</v>
      </c>
      <c r="BK67">
        <f t="shared" si="50"/>
        <v>2.104365682111586E-2</v>
      </c>
      <c r="BL67">
        <v>0.15</v>
      </c>
      <c r="BM67">
        <f t="shared" si="51"/>
        <v>2.104365682111586E-2</v>
      </c>
      <c r="BO67">
        <f t="shared" si="22"/>
        <v>31.671651440175555</v>
      </c>
      <c r="BP67">
        <f t="shared" si="23"/>
        <v>2.7279052431014139</v>
      </c>
      <c r="BQ67">
        <f t="shared" si="52"/>
        <v>8.1307479030957811E-3</v>
      </c>
      <c r="BR67">
        <v>0.15</v>
      </c>
      <c r="BS67">
        <f t="shared" si="53"/>
        <v>8.1307479030957811E-3</v>
      </c>
      <c r="BU67">
        <f t="shared" si="24"/>
        <v>68.296712692420613</v>
      </c>
      <c r="BV67">
        <f t="shared" si="25"/>
        <v>3.9181522779005942</v>
      </c>
      <c r="BW67">
        <f t="shared" si="54"/>
        <v>1.1563830117357241E-3</v>
      </c>
      <c r="BX67">
        <v>0.15</v>
      </c>
      <c r="BY67">
        <f t="shared" si="55"/>
        <v>1.1563830117357241E-3</v>
      </c>
      <c r="CA67">
        <f t="shared" si="26"/>
        <v>183.4340946413366</v>
      </c>
      <c r="CB67">
        <f t="shared" si="27"/>
        <v>6.2411194167366153</v>
      </c>
      <c r="CC67">
        <f t="shared" si="56"/>
        <v>-1.4690175947790684E-3</v>
      </c>
      <c r="CD67">
        <v>0.15</v>
      </c>
      <c r="CE67">
        <f t="shared" si="57"/>
        <v>-1.4690175947790684E-3</v>
      </c>
      <c r="CG67">
        <f t="shared" si="28"/>
        <v>684.83677600689953</v>
      </c>
      <c r="CH67">
        <f t="shared" si="29"/>
        <v>11.610138519235557</v>
      </c>
      <c r="CI67">
        <f t="shared" si="58"/>
        <v>-1.5694554024278989E-3</v>
      </c>
      <c r="CJ67">
        <v>0.15</v>
      </c>
      <c r="CK67">
        <f t="shared" si="59"/>
        <v>-1.5694554024278989E-3</v>
      </c>
    </row>
    <row r="68" spans="1:89">
      <c r="A68">
        <f t="shared" si="0"/>
        <v>1.0771165719846167</v>
      </c>
      <c r="B68">
        <f t="shared" si="1"/>
        <v>0.5545240004946993</v>
      </c>
      <c r="C68">
        <f t="shared" si="30"/>
        <v>0.53659573620328871</v>
      </c>
      <c r="D68">
        <v>0.16</v>
      </c>
      <c r="E68">
        <f t="shared" si="31"/>
        <v>0.53659573620328871</v>
      </c>
      <c r="G68">
        <f t="shared" si="2"/>
        <v>1.2459355803870673</v>
      </c>
      <c r="H68">
        <f t="shared" si="3"/>
        <v>0.59390293184916687</v>
      </c>
      <c r="I68">
        <f t="shared" si="32"/>
        <v>0.45883233443460558</v>
      </c>
      <c r="J68">
        <v>0.16</v>
      </c>
      <c r="K68">
        <f t="shared" si="33"/>
        <v>0.45883233443460558</v>
      </c>
      <c r="M68">
        <f t="shared" si="4"/>
        <v>1.4647190981721883</v>
      </c>
      <c r="N68">
        <f t="shared" si="5"/>
        <v>0.64094558415571345</v>
      </c>
      <c r="O68">
        <f t="shared" si="34"/>
        <v>0.38515829228900117</v>
      </c>
      <c r="P68">
        <v>0.16</v>
      </c>
      <c r="Q68">
        <f t="shared" si="35"/>
        <v>0.38515829228900117</v>
      </c>
      <c r="S68">
        <f t="shared" si="6"/>
        <v>1.7550069325111373</v>
      </c>
      <c r="T68">
        <f t="shared" si="7"/>
        <v>0.69794570246400056</v>
      </c>
      <c r="U68">
        <f t="shared" si="36"/>
        <v>0.31625441320143483</v>
      </c>
      <c r="V68">
        <v>0.16</v>
      </c>
      <c r="W68">
        <f t="shared" si="37"/>
        <v>0.31625441320143483</v>
      </c>
      <c r="Y68">
        <f t="shared" si="8"/>
        <v>2.1508934145990133</v>
      </c>
      <c r="Z68">
        <f t="shared" si="9"/>
        <v>0.76815201632378161</v>
      </c>
      <c r="AA68">
        <f t="shared" si="38"/>
        <v>0.25282316348045242</v>
      </c>
      <c r="AB68">
        <v>0.16</v>
      </c>
      <c r="AC68">
        <f t="shared" si="39"/>
        <v>0.25282316348045242</v>
      </c>
      <c r="AE68">
        <f t="shared" si="10"/>
        <v>2.7085547408301465</v>
      </c>
      <c r="AF68">
        <f t="shared" si="11"/>
        <v>0.8562937692556124</v>
      </c>
      <c r="AG68">
        <f t="shared" si="40"/>
        <v>0.19556296534614473</v>
      </c>
      <c r="AH68">
        <v>0.16</v>
      </c>
      <c r="AI68">
        <f t="shared" si="41"/>
        <v>0.19556296534614473</v>
      </c>
      <c r="AK68">
        <f t="shared" si="12"/>
        <v>3.5249991772401073</v>
      </c>
      <c r="AL68">
        <f t="shared" si="13"/>
        <v>0.96947757019776348</v>
      </c>
      <c r="AM68">
        <f t="shared" si="42"/>
        <v>0.14513012997889588</v>
      </c>
      <c r="AN68">
        <v>0.16</v>
      </c>
      <c r="AO68">
        <f t="shared" si="43"/>
        <v>0.14513012997889588</v>
      </c>
      <c r="AQ68">
        <f t="shared" si="14"/>
        <v>4.7773132097521307</v>
      </c>
      <c r="AR68">
        <f t="shared" si="15"/>
        <v>1.1187868679044299</v>
      </c>
      <c r="AS68">
        <f t="shared" si="44"/>
        <v>0.10208543583446458</v>
      </c>
      <c r="AT68">
        <v>0.16</v>
      </c>
      <c r="AU68">
        <f t="shared" si="45"/>
        <v>0.10208543583446458</v>
      </c>
      <c r="AW68">
        <f t="shared" si="16"/>
        <v>6.8110258210549928</v>
      </c>
      <c r="AX68">
        <f t="shared" si="17"/>
        <v>1.3222854531307033</v>
      </c>
      <c r="AY68">
        <f t="shared" si="46"/>
        <v>6.6823168705678102E-2</v>
      </c>
      <c r="AZ68">
        <v>0.16</v>
      </c>
      <c r="BA68">
        <f t="shared" si="47"/>
        <v>6.6823168705678102E-2</v>
      </c>
      <c r="BC68">
        <f t="shared" si="18"/>
        <v>10.357300493248442</v>
      </c>
      <c r="BD68">
        <f t="shared" si="19"/>
        <v>1.6110130365366819</v>
      </c>
      <c r="BE68">
        <f t="shared" si="48"/>
        <v>3.9483059743289577E-2</v>
      </c>
      <c r="BF68">
        <v>0.16</v>
      </c>
      <c r="BG68">
        <f t="shared" si="49"/>
        <v>3.9483059743289577E-2</v>
      </c>
      <c r="BI68">
        <f t="shared" si="20"/>
        <v>17.127242080719306</v>
      </c>
      <c r="BJ68">
        <f t="shared" si="21"/>
        <v>2.041867969074457</v>
      </c>
      <c r="BK68">
        <f t="shared" si="50"/>
        <v>1.9851481245240127E-2</v>
      </c>
      <c r="BL68">
        <v>0.16</v>
      </c>
      <c r="BM68">
        <f t="shared" si="51"/>
        <v>1.9851481245240127E-2</v>
      </c>
      <c r="BO68">
        <f t="shared" si="22"/>
        <v>31.671651440175555</v>
      </c>
      <c r="BP68">
        <f t="shared" si="23"/>
        <v>2.7279052431014139</v>
      </c>
      <c r="BQ68">
        <f t="shared" si="52"/>
        <v>7.2694397239962032E-3</v>
      </c>
      <c r="BR68">
        <v>0.16</v>
      </c>
      <c r="BS68">
        <f t="shared" si="53"/>
        <v>7.2694397239962032E-3</v>
      </c>
      <c r="BU68">
        <f t="shared" si="24"/>
        <v>68.296712692420613</v>
      </c>
      <c r="BV68">
        <f t="shared" si="25"/>
        <v>3.9181522779005942</v>
      </c>
      <c r="BW68">
        <f t="shared" si="54"/>
        <v>5.8268742326043671E-4</v>
      </c>
      <c r="BX68">
        <v>0.16</v>
      </c>
      <c r="BY68">
        <f t="shared" si="55"/>
        <v>5.8268742326043671E-4</v>
      </c>
      <c r="CA68">
        <f t="shared" si="26"/>
        <v>183.4340946413366</v>
      </c>
      <c r="CB68">
        <f t="shared" si="27"/>
        <v>6.2411194167366153</v>
      </c>
      <c r="CC68">
        <f t="shared" si="56"/>
        <v>-1.8092552931709459E-3</v>
      </c>
      <c r="CD68">
        <v>0.16</v>
      </c>
      <c r="CE68">
        <f t="shared" si="57"/>
        <v>-1.8092552931709459E-3</v>
      </c>
      <c r="CG68">
        <f t="shared" si="28"/>
        <v>684.83677600689953</v>
      </c>
      <c r="CH68">
        <f t="shared" si="29"/>
        <v>11.610138519235557</v>
      </c>
      <c r="CI68">
        <f t="shared" si="58"/>
        <v>-1.738986872202802E-3</v>
      </c>
      <c r="CJ68">
        <v>0.16</v>
      </c>
      <c r="CK68">
        <f t="shared" si="59"/>
        <v>-1.738986872202802E-3</v>
      </c>
    </row>
    <row r="69" spans="1:89">
      <c r="A69">
        <f t="shared" si="0"/>
        <v>1.0771165719846167</v>
      </c>
      <c r="B69">
        <f t="shared" si="1"/>
        <v>0.5545240004946993</v>
      </c>
      <c r="C69">
        <f t="shared" si="30"/>
        <v>0.53144750977248589</v>
      </c>
      <c r="D69">
        <v>0.17</v>
      </c>
      <c r="E69">
        <f t="shared" si="31"/>
        <v>0.53144750977248589</v>
      </c>
      <c r="G69">
        <f t="shared" si="2"/>
        <v>1.2459355803870673</v>
      </c>
      <c r="H69">
        <f t="shared" si="3"/>
        <v>0.59390293184916687</v>
      </c>
      <c r="I69">
        <f t="shared" si="32"/>
        <v>0.45406561181107585</v>
      </c>
      <c r="J69">
        <v>0.17</v>
      </c>
      <c r="K69">
        <f t="shared" si="33"/>
        <v>0.45406561181107585</v>
      </c>
      <c r="M69">
        <f t="shared" si="4"/>
        <v>1.4647190981721883</v>
      </c>
      <c r="N69">
        <f t="shared" si="5"/>
        <v>0.64094558415571345</v>
      </c>
      <c r="O69">
        <f t="shared" si="34"/>
        <v>0.38078239806494452</v>
      </c>
      <c r="P69">
        <v>0.17</v>
      </c>
      <c r="Q69">
        <f t="shared" si="35"/>
        <v>0.38078239806494452</v>
      </c>
      <c r="S69">
        <f t="shared" si="6"/>
        <v>1.7550069325111373</v>
      </c>
      <c r="T69">
        <f t="shared" si="7"/>
        <v>0.69794570246400056</v>
      </c>
      <c r="U69">
        <f t="shared" si="36"/>
        <v>0.3122775303211755</v>
      </c>
      <c r="V69">
        <v>0.17</v>
      </c>
      <c r="W69">
        <f t="shared" si="37"/>
        <v>0.3122775303211755</v>
      </c>
      <c r="Y69">
        <f t="shared" si="8"/>
        <v>2.1508934145990133</v>
      </c>
      <c r="Z69">
        <f t="shared" si="9"/>
        <v>0.76815201632378161</v>
      </c>
      <c r="AA69">
        <f t="shared" si="38"/>
        <v>0.24925184743517553</v>
      </c>
      <c r="AB69">
        <v>0.17</v>
      </c>
      <c r="AC69">
        <f t="shared" si="39"/>
        <v>0.24925184743517553</v>
      </c>
      <c r="AE69">
        <f t="shared" si="10"/>
        <v>2.7085547408301465</v>
      </c>
      <c r="AF69">
        <f t="shared" si="11"/>
        <v>0.8562937692556124</v>
      </c>
      <c r="AG69">
        <f t="shared" si="40"/>
        <v>0.19240152372435509</v>
      </c>
      <c r="AH69">
        <v>0.17</v>
      </c>
      <c r="AI69">
        <f t="shared" si="41"/>
        <v>0.19240152372435509</v>
      </c>
      <c r="AK69">
        <f t="shared" si="12"/>
        <v>3.5249991772401073</v>
      </c>
      <c r="AL69">
        <f t="shared" si="13"/>
        <v>0.96947757019776348</v>
      </c>
      <c r="AM69">
        <f t="shared" si="42"/>
        <v>0.14237983835767395</v>
      </c>
      <c r="AN69">
        <v>0.17</v>
      </c>
      <c r="AO69">
        <f t="shared" si="43"/>
        <v>0.14237983835767395</v>
      </c>
      <c r="AQ69">
        <f t="shared" si="14"/>
        <v>4.7773132097521307</v>
      </c>
      <c r="AR69">
        <f t="shared" si="15"/>
        <v>1.1187868679044299</v>
      </c>
      <c r="AS69">
        <f t="shared" si="44"/>
        <v>9.9743561189066396E-2</v>
      </c>
      <c r="AT69">
        <v>0.17</v>
      </c>
      <c r="AU69">
        <f t="shared" si="45"/>
        <v>9.9743561189066396E-2</v>
      </c>
      <c r="AW69">
        <f t="shared" si="16"/>
        <v>6.8110258210549928</v>
      </c>
      <c r="AX69">
        <f t="shared" si="17"/>
        <v>1.3222854531307033</v>
      </c>
      <c r="AY69">
        <f t="shared" si="46"/>
        <v>6.4881779129612904E-2</v>
      </c>
      <c r="AZ69">
        <v>0.17</v>
      </c>
      <c r="BA69">
        <f t="shared" si="47"/>
        <v>6.4881779129612904E-2</v>
      </c>
      <c r="BC69">
        <f t="shared" si="18"/>
        <v>10.357300493248442</v>
      </c>
      <c r="BD69">
        <f t="shared" si="19"/>
        <v>1.6110130365366819</v>
      </c>
      <c r="BE69">
        <f t="shared" si="48"/>
        <v>3.7927622554239357E-2</v>
      </c>
      <c r="BF69">
        <v>0.17</v>
      </c>
      <c r="BG69">
        <f t="shared" si="49"/>
        <v>3.7927622554239357E-2</v>
      </c>
      <c r="BI69">
        <f t="shared" si="20"/>
        <v>17.127242080719306</v>
      </c>
      <c r="BJ69">
        <f t="shared" si="21"/>
        <v>2.041867969074457</v>
      </c>
      <c r="BK69">
        <f t="shared" si="50"/>
        <v>1.8659305669364398E-2</v>
      </c>
      <c r="BL69">
        <v>0.17</v>
      </c>
      <c r="BM69">
        <f t="shared" si="51"/>
        <v>1.8659305669364398E-2</v>
      </c>
      <c r="BO69">
        <f t="shared" si="22"/>
        <v>31.671651440175555</v>
      </c>
      <c r="BP69">
        <f t="shared" si="23"/>
        <v>2.7279052431014139</v>
      </c>
      <c r="BQ69">
        <f t="shared" si="52"/>
        <v>6.4081315448966227E-3</v>
      </c>
      <c r="BR69">
        <v>0.17</v>
      </c>
      <c r="BS69">
        <f t="shared" si="53"/>
        <v>6.4081315448966227E-3</v>
      </c>
      <c r="BU69">
        <f t="shared" si="24"/>
        <v>68.296712692420613</v>
      </c>
      <c r="BV69">
        <f t="shared" si="25"/>
        <v>3.9181522779005942</v>
      </c>
      <c r="BW69">
        <f t="shared" si="54"/>
        <v>8.9918347851474993E-6</v>
      </c>
      <c r="BX69">
        <v>0.17</v>
      </c>
      <c r="BY69">
        <f t="shared" si="55"/>
        <v>8.9918347851474993E-6</v>
      </c>
      <c r="CA69">
        <f t="shared" si="26"/>
        <v>183.4340946413366</v>
      </c>
      <c r="CB69">
        <f t="shared" si="27"/>
        <v>6.2411194167366153</v>
      </c>
      <c r="CC69">
        <f t="shared" si="56"/>
        <v>-2.1494929915628234E-3</v>
      </c>
      <c r="CD69">
        <v>0.17</v>
      </c>
      <c r="CE69">
        <f t="shared" si="57"/>
        <v>-2.1494929915628234E-3</v>
      </c>
      <c r="CG69">
        <f t="shared" si="28"/>
        <v>684.83677600689953</v>
      </c>
      <c r="CH69">
        <f t="shared" si="29"/>
        <v>11.610138519235557</v>
      </c>
      <c r="CI69">
        <f t="shared" si="58"/>
        <v>-1.9085183419777052E-3</v>
      </c>
      <c r="CJ69">
        <v>0.17</v>
      </c>
      <c r="CK69">
        <f t="shared" si="59"/>
        <v>-1.9085183419777052E-3</v>
      </c>
    </row>
    <row r="70" spans="1:89">
      <c r="A70">
        <f t="shared" si="0"/>
        <v>1.0771165719846167</v>
      </c>
      <c r="B70">
        <f t="shared" si="1"/>
        <v>0.5545240004946993</v>
      </c>
      <c r="C70">
        <f t="shared" si="30"/>
        <v>0.52629928334168297</v>
      </c>
      <c r="D70">
        <v>0.18</v>
      </c>
      <c r="E70">
        <f t="shared" si="31"/>
        <v>0.52629928334168297</v>
      </c>
      <c r="G70">
        <f t="shared" si="2"/>
        <v>1.2459355803870673</v>
      </c>
      <c r="H70">
        <f t="shared" si="3"/>
        <v>0.59390293184916687</v>
      </c>
      <c r="I70">
        <f t="shared" si="32"/>
        <v>0.44929888918754612</v>
      </c>
      <c r="J70">
        <v>0.18</v>
      </c>
      <c r="K70">
        <f t="shared" si="33"/>
        <v>0.44929888918754612</v>
      </c>
      <c r="M70">
        <f t="shared" si="4"/>
        <v>1.4647190981721883</v>
      </c>
      <c r="N70">
        <f t="shared" si="5"/>
        <v>0.64094558415571345</v>
      </c>
      <c r="O70">
        <f t="shared" si="34"/>
        <v>0.37640650384088781</v>
      </c>
      <c r="P70">
        <v>0.18</v>
      </c>
      <c r="Q70">
        <f t="shared" si="35"/>
        <v>0.37640650384088781</v>
      </c>
      <c r="S70">
        <f t="shared" si="6"/>
        <v>1.7550069325111373</v>
      </c>
      <c r="T70">
        <f t="shared" si="7"/>
        <v>0.69794570246400056</v>
      </c>
      <c r="U70">
        <f t="shared" si="36"/>
        <v>0.30830064744091618</v>
      </c>
      <c r="V70">
        <v>0.18</v>
      </c>
      <c r="W70">
        <f t="shared" si="37"/>
        <v>0.30830064744091618</v>
      </c>
      <c r="Y70">
        <f t="shared" si="8"/>
        <v>2.1508934145990133</v>
      </c>
      <c r="Z70">
        <f t="shared" si="9"/>
        <v>0.76815201632378161</v>
      </c>
      <c r="AA70">
        <f t="shared" si="38"/>
        <v>0.2456805313898987</v>
      </c>
      <c r="AB70">
        <v>0.18</v>
      </c>
      <c r="AC70">
        <f t="shared" si="39"/>
        <v>0.2456805313898987</v>
      </c>
      <c r="AE70">
        <f t="shared" si="10"/>
        <v>2.7085547408301465</v>
      </c>
      <c r="AF70">
        <f t="shared" si="11"/>
        <v>0.8562937692556124</v>
      </c>
      <c r="AG70">
        <f t="shared" si="40"/>
        <v>0.18924008210256543</v>
      </c>
      <c r="AH70">
        <v>0.18</v>
      </c>
      <c r="AI70">
        <f t="shared" si="41"/>
        <v>0.18924008210256543</v>
      </c>
      <c r="AK70">
        <f t="shared" si="12"/>
        <v>3.5249991772401073</v>
      </c>
      <c r="AL70">
        <f t="shared" si="13"/>
        <v>0.96947757019776348</v>
      </c>
      <c r="AM70">
        <f t="shared" si="42"/>
        <v>0.13962954673645203</v>
      </c>
      <c r="AN70">
        <v>0.18</v>
      </c>
      <c r="AO70">
        <f t="shared" si="43"/>
        <v>0.13962954673645203</v>
      </c>
      <c r="AQ70">
        <f t="shared" si="14"/>
        <v>4.7773132097521307</v>
      </c>
      <c r="AR70">
        <f t="shared" si="15"/>
        <v>1.1187868679044299</v>
      </c>
      <c r="AS70">
        <f t="shared" si="44"/>
        <v>9.7401686543668237E-2</v>
      </c>
      <c r="AT70">
        <v>0.18</v>
      </c>
      <c r="AU70">
        <f t="shared" si="45"/>
        <v>9.7401686543668237E-2</v>
      </c>
      <c r="AW70">
        <f t="shared" si="16"/>
        <v>6.8110258210549928</v>
      </c>
      <c r="AX70">
        <f t="shared" si="17"/>
        <v>1.3222854531307033</v>
      </c>
      <c r="AY70">
        <f t="shared" si="46"/>
        <v>6.2940389553547707E-2</v>
      </c>
      <c r="AZ70">
        <v>0.18</v>
      </c>
      <c r="BA70">
        <f t="shared" si="47"/>
        <v>6.2940389553547707E-2</v>
      </c>
      <c r="BC70">
        <f t="shared" si="18"/>
        <v>10.357300493248442</v>
      </c>
      <c r="BD70">
        <f t="shared" si="19"/>
        <v>1.6110130365366819</v>
      </c>
      <c r="BE70">
        <f t="shared" si="48"/>
        <v>3.6372185365189144E-2</v>
      </c>
      <c r="BF70">
        <v>0.18</v>
      </c>
      <c r="BG70">
        <f t="shared" si="49"/>
        <v>3.6372185365189144E-2</v>
      </c>
      <c r="BI70">
        <f t="shared" si="20"/>
        <v>17.127242080719306</v>
      </c>
      <c r="BJ70">
        <f t="shared" si="21"/>
        <v>2.041867969074457</v>
      </c>
      <c r="BK70">
        <f t="shared" si="50"/>
        <v>1.7467130093488673E-2</v>
      </c>
      <c r="BL70">
        <v>0.18</v>
      </c>
      <c r="BM70">
        <f t="shared" si="51"/>
        <v>1.7467130093488673E-2</v>
      </c>
      <c r="BO70">
        <f t="shared" si="22"/>
        <v>31.671651440175555</v>
      </c>
      <c r="BP70">
        <f t="shared" si="23"/>
        <v>2.7279052431014139</v>
      </c>
      <c r="BQ70">
        <f t="shared" si="52"/>
        <v>5.5468233657970465E-3</v>
      </c>
      <c r="BR70">
        <v>0.18</v>
      </c>
      <c r="BS70">
        <f t="shared" si="53"/>
        <v>5.5468233657970465E-3</v>
      </c>
      <c r="BU70">
        <f t="shared" si="24"/>
        <v>68.296712692420613</v>
      </c>
      <c r="BV70">
        <f t="shared" si="25"/>
        <v>3.9181522779005942</v>
      </c>
      <c r="BW70">
        <f t="shared" si="54"/>
        <v>-5.6470375369014009E-4</v>
      </c>
      <c r="BX70">
        <v>0.18</v>
      </c>
      <c r="BY70">
        <f t="shared" si="55"/>
        <v>-5.6470375369014009E-4</v>
      </c>
      <c r="CA70">
        <f t="shared" si="26"/>
        <v>183.4340946413366</v>
      </c>
      <c r="CB70">
        <f t="shared" si="27"/>
        <v>6.2411194167366153</v>
      </c>
      <c r="CC70">
        <f t="shared" si="56"/>
        <v>-2.4897306899547005E-3</v>
      </c>
      <c r="CD70">
        <v>0.18</v>
      </c>
      <c r="CE70">
        <f t="shared" si="57"/>
        <v>-2.4897306899547005E-3</v>
      </c>
      <c r="CG70">
        <f t="shared" si="28"/>
        <v>684.83677600689953</v>
      </c>
      <c r="CH70">
        <f t="shared" si="29"/>
        <v>11.610138519235557</v>
      </c>
      <c r="CI70">
        <f t="shared" si="58"/>
        <v>-2.0780498117526072E-3</v>
      </c>
      <c r="CJ70">
        <v>0.18</v>
      </c>
      <c r="CK70">
        <f t="shared" si="59"/>
        <v>-2.0780498117526072E-3</v>
      </c>
    </row>
    <row r="71" spans="1:89">
      <c r="A71">
        <f t="shared" si="0"/>
        <v>1.0771165719846167</v>
      </c>
      <c r="B71">
        <f t="shared" si="1"/>
        <v>0.5545240004946993</v>
      </c>
      <c r="C71">
        <f t="shared" si="30"/>
        <v>0.52115105691088015</v>
      </c>
      <c r="D71">
        <v>0.19</v>
      </c>
      <c r="E71">
        <f t="shared" si="31"/>
        <v>0.52115105691088015</v>
      </c>
      <c r="G71">
        <f t="shared" si="2"/>
        <v>1.2459355803870673</v>
      </c>
      <c r="H71">
        <f t="shared" si="3"/>
        <v>0.59390293184916687</v>
      </c>
      <c r="I71">
        <f t="shared" si="32"/>
        <v>0.4445321665640164</v>
      </c>
      <c r="J71">
        <v>0.19</v>
      </c>
      <c r="K71">
        <f t="shared" si="33"/>
        <v>0.4445321665640164</v>
      </c>
      <c r="M71">
        <f t="shared" si="4"/>
        <v>1.4647190981721883</v>
      </c>
      <c r="N71">
        <f t="shared" si="5"/>
        <v>0.64094558415571345</v>
      </c>
      <c r="O71">
        <f t="shared" si="34"/>
        <v>0.37203060961683115</v>
      </c>
      <c r="P71">
        <v>0.19</v>
      </c>
      <c r="Q71">
        <f t="shared" si="35"/>
        <v>0.37203060961683115</v>
      </c>
      <c r="S71">
        <f t="shared" si="6"/>
        <v>1.7550069325111373</v>
      </c>
      <c r="T71">
        <f t="shared" si="7"/>
        <v>0.69794570246400056</v>
      </c>
      <c r="U71">
        <f t="shared" si="36"/>
        <v>0.3043237645606568</v>
      </c>
      <c r="V71">
        <v>0.19</v>
      </c>
      <c r="W71">
        <f t="shared" si="37"/>
        <v>0.3043237645606568</v>
      </c>
      <c r="Y71">
        <f t="shared" si="8"/>
        <v>2.1508934145990133</v>
      </c>
      <c r="Z71">
        <f t="shared" si="9"/>
        <v>0.76815201632378161</v>
      </c>
      <c r="AA71">
        <f t="shared" si="38"/>
        <v>0.24210921534462179</v>
      </c>
      <c r="AB71">
        <v>0.19</v>
      </c>
      <c r="AC71">
        <f t="shared" si="39"/>
        <v>0.24210921534462179</v>
      </c>
      <c r="AE71">
        <f t="shared" si="10"/>
        <v>2.7085547408301465</v>
      </c>
      <c r="AF71">
        <f t="shared" si="11"/>
        <v>0.8562937692556124</v>
      </c>
      <c r="AG71">
        <f t="shared" si="40"/>
        <v>0.18607864048077577</v>
      </c>
      <c r="AH71">
        <v>0.19</v>
      </c>
      <c r="AI71">
        <f t="shared" si="41"/>
        <v>0.18607864048077577</v>
      </c>
      <c r="AK71">
        <f t="shared" si="12"/>
        <v>3.5249991772401073</v>
      </c>
      <c r="AL71">
        <f t="shared" si="13"/>
        <v>0.96947757019776348</v>
      </c>
      <c r="AM71">
        <f t="shared" si="42"/>
        <v>0.13687925511523011</v>
      </c>
      <c r="AN71">
        <v>0.19</v>
      </c>
      <c r="AO71">
        <f t="shared" si="43"/>
        <v>0.13687925511523011</v>
      </c>
      <c r="AQ71">
        <f t="shared" si="14"/>
        <v>4.7773132097521307</v>
      </c>
      <c r="AR71">
        <f t="shared" si="15"/>
        <v>1.1187868679044299</v>
      </c>
      <c r="AS71">
        <f t="shared" si="44"/>
        <v>9.505981189827005E-2</v>
      </c>
      <c r="AT71">
        <v>0.19</v>
      </c>
      <c r="AU71">
        <f t="shared" si="45"/>
        <v>9.505981189827005E-2</v>
      </c>
      <c r="AW71">
        <f t="shared" si="16"/>
        <v>6.8110258210549928</v>
      </c>
      <c r="AX71">
        <f t="shared" si="17"/>
        <v>1.3222854531307033</v>
      </c>
      <c r="AY71">
        <f t="shared" si="46"/>
        <v>6.099899997748251E-2</v>
      </c>
      <c r="AZ71">
        <v>0.19</v>
      </c>
      <c r="BA71">
        <f t="shared" si="47"/>
        <v>6.099899997748251E-2</v>
      </c>
      <c r="BC71">
        <f t="shared" si="18"/>
        <v>10.357300493248442</v>
      </c>
      <c r="BD71">
        <f t="shared" si="19"/>
        <v>1.6110130365366819</v>
      </c>
      <c r="BE71">
        <f t="shared" si="48"/>
        <v>3.4816748176138917E-2</v>
      </c>
      <c r="BF71">
        <v>0.19</v>
      </c>
      <c r="BG71">
        <f t="shared" si="49"/>
        <v>3.4816748176138917E-2</v>
      </c>
      <c r="BI71">
        <f t="shared" si="20"/>
        <v>17.127242080719306</v>
      </c>
      <c r="BJ71">
        <f t="shared" si="21"/>
        <v>2.041867969074457</v>
      </c>
      <c r="BK71">
        <f t="shared" si="50"/>
        <v>1.627495451761294E-2</v>
      </c>
      <c r="BL71">
        <v>0.19</v>
      </c>
      <c r="BM71">
        <f t="shared" si="51"/>
        <v>1.627495451761294E-2</v>
      </c>
      <c r="BO71">
        <f t="shared" si="22"/>
        <v>31.671651440175555</v>
      </c>
      <c r="BP71">
        <f t="shared" si="23"/>
        <v>2.7279052431014139</v>
      </c>
      <c r="BQ71">
        <f t="shared" si="52"/>
        <v>4.6855151866974686E-3</v>
      </c>
      <c r="BR71">
        <v>0.19</v>
      </c>
      <c r="BS71">
        <f t="shared" si="53"/>
        <v>4.6855151866974686E-3</v>
      </c>
      <c r="BU71">
        <f t="shared" si="24"/>
        <v>68.296712692420613</v>
      </c>
      <c r="BV71">
        <f t="shared" si="25"/>
        <v>3.9181522779005942</v>
      </c>
      <c r="BW71">
        <f t="shared" si="54"/>
        <v>-1.1383993421654292E-3</v>
      </c>
      <c r="BX71">
        <v>0.19</v>
      </c>
      <c r="BY71">
        <f t="shared" si="55"/>
        <v>-1.1383993421654292E-3</v>
      </c>
      <c r="CA71">
        <f t="shared" si="26"/>
        <v>183.4340946413366</v>
      </c>
      <c r="CB71">
        <f t="shared" si="27"/>
        <v>6.2411194167366153</v>
      </c>
      <c r="CC71">
        <f t="shared" si="56"/>
        <v>-2.829968388346578E-3</v>
      </c>
      <c r="CD71">
        <v>0.19</v>
      </c>
      <c r="CE71">
        <f t="shared" si="57"/>
        <v>-2.829968388346578E-3</v>
      </c>
      <c r="CG71">
        <f t="shared" si="28"/>
        <v>684.83677600689953</v>
      </c>
      <c r="CH71">
        <f t="shared" si="29"/>
        <v>11.610138519235557</v>
      </c>
      <c r="CI71">
        <f t="shared" si="58"/>
        <v>-2.2475812815275103E-3</v>
      </c>
      <c r="CJ71">
        <v>0.19</v>
      </c>
      <c r="CK71">
        <f t="shared" si="59"/>
        <v>-2.2475812815275103E-3</v>
      </c>
    </row>
    <row r="72" spans="1:89">
      <c r="A72">
        <f t="shared" si="0"/>
        <v>1.0771165719846167</v>
      </c>
      <c r="B72">
        <f t="shared" si="1"/>
        <v>0.5545240004946993</v>
      </c>
      <c r="C72">
        <f t="shared" si="30"/>
        <v>0.51600283048007722</v>
      </c>
      <c r="D72">
        <v>0.2</v>
      </c>
      <c r="E72">
        <f t="shared" si="31"/>
        <v>0.51600283048007722</v>
      </c>
      <c r="G72">
        <f t="shared" si="2"/>
        <v>1.2459355803870673</v>
      </c>
      <c r="H72">
        <f t="shared" si="3"/>
        <v>0.59390293184916687</v>
      </c>
      <c r="I72">
        <f t="shared" si="32"/>
        <v>0.43976544394048672</v>
      </c>
      <c r="J72">
        <v>0.2</v>
      </c>
      <c r="K72">
        <f t="shared" si="33"/>
        <v>0.43976544394048672</v>
      </c>
      <c r="M72">
        <f t="shared" si="4"/>
        <v>1.4647190981721883</v>
      </c>
      <c r="N72">
        <f t="shared" si="5"/>
        <v>0.64094558415571345</v>
      </c>
      <c r="O72">
        <f t="shared" si="34"/>
        <v>0.3676547153927745</v>
      </c>
      <c r="P72">
        <v>0.2</v>
      </c>
      <c r="Q72">
        <f t="shared" si="35"/>
        <v>0.3676547153927745</v>
      </c>
      <c r="S72">
        <f t="shared" si="6"/>
        <v>1.7550069325111373</v>
      </c>
      <c r="T72">
        <f t="shared" si="7"/>
        <v>0.69794570246400056</v>
      </c>
      <c r="U72">
        <f t="shared" si="36"/>
        <v>0.30034688168039747</v>
      </c>
      <c r="V72">
        <v>0.2</v>
      </c>
      <c r="W72">
        <f t="shared" si="37"/>
        <v>0.30034688168039747</v>
      </c>
      <c r="Y72">
        <f t="shared" si="8"/>
        <v>2.1508934145990133</v>
      </c>
      <c r="Z72">
        <f t="shared" si="9"/>
        <v>0.76815201632378161</v>
      </c>
      <c r="AA72">
        <f t="shared" si="38"/>
        <v>0.23853789929934496</v>
      </c>
      <c r="AB72">
        <v>0.2</v>
      </c>
      <c r="AC72">
        <f t="shared" si="39"/>
        <v>0.23853789929934496</v>
      </c>
      <c r="AE72">
        <f t="shared" si="10"/>
        <v>2.7085547408301465</v>
      </c>
      <c r="AF72">
        <f t="shared" si="11"/>
        <v>0.8562937692556124</v>
      </c>
      <c r="AG72">
        <f t="shared" si="40"/>
        <v>0.18291719885898611</v>
      </c>
      <c r="AH72">
        <v>0.2</v>
      </c>
      <c r="AI72">
        <f t="shared" si="41"/>
        <v>0.18291719885898611</v>
      </c>
      <c r="AK72">
        <f t="shared" si="12"/>
        <v>3.5249991772401073</v>
      </c>
      <c r="AL72">
        <f t="shared" si="13"/>
        <v>0.96947757019776348</v>
      </c>
      <c r="AM72">
        <f t="shared" si="42"/>
        <v>0.13412896349400819</v>
      </c>
      <c r="AN72">
        <v>0.2</v>
      </c>
      <c r="AO72">
        <f t="shared" si="43"/>
        <v>0.13412896349400819</v>
      </c>
      <c r="AQ72">
        <f t="shared" si="14"/>
        <v>4.7773132097521307</v>
      </c>
      <c r="AR72">
        <f t="shared" si="15"/>
        <v>1.1187868679044299</v>
      </c>
      <c r="AS72">
        <f t="shared" si="44"/>
        <v>9.2717937252871876E-2</v>
      </c>
      <c r="AT72">
        <v>0.2</v>
      </c>
      <c r="AU72">
        <f t="shared" si="45"/>
        <v>9.2717937252871876E-2</v>
      </c>
      <c r="AW72">
        <f t="shared" si="16"/>
        <v>6.8110258210549928</v>
      </c>
      <c r="AX72">
        <f t="shared" si="17"/>
        <v>1.3222854531307033</v>
      </c>
      <c r="AY72">
        <f t="shared" si="46"/>
        <v>5.9057610401417319E-2</v>
      </c>
      <c r="AZ72">
        <v>0.2</v>
      </c>
      <c r="BA72">
        <f t="shared" si="47"/>
        <v>5.9057610401417319E-2</v>
      </c>
      <c r="BC72">
        <f t="shared" si="18"/>
        <v>10.357300493248442</v>
      </c>
      <c r="BD72">
        <f t="shared" si="19"/>
        <v>1.6110130365366819</v>
      </c>
      <c r="BE72">
        <f t="shared" si="48"/>
        <v>3.3261310987088698E-2</v>
      </c>
      <c r="BF72">
        <v>0.2</v>
      </c>
      <c r="BG72">
        <f t="shared" si="49"/>
        <v>3.3261310987088698E-2</v>
      </c>
      <c r="BI72">
        <f t="shared" si="20"/>
        <v>17.127242080719306</v>
      </c>
      <c r="BJ72">
        <f t="shared" si="21"/>
        <v>2.041867969074457</v>
      </c>
      <c r="BK72">
        <f t="shared" si="50"/>
        <v>1.5082778941737211E-2</v>
      </c>
      <c r="BL72">
        <v>0.2</v>
      </c>
      <c r="BM72">
        <f t="shared" si="51"/>
        <v>1.5082778941737211E-2</v>
      </c>
      <c r="BO72">
        <f t="shared" si="22"/>
        <v>31.671651440175555</v>
      </c>
      <c r="BP72">
        <f t="shared" si="23"/>
        <v>2.7279052431014139</v>
      </c>
      <c r="BQ72">
        <f t="shared" si="52"/>
        <v>3.8242070075978902E-3</v>
      </c>
      <c r="BR72">
        <v>0.2</v>
      </c>
      <c r="BS72">
        <f t="shared" si="53"/>
        <v>3.8242070075978902E-3</v>
      </c>
      <c r="BU72">
        <f t="shared" si="24"/>
        <v>68.296712692420613</v>
      </c>
      <c r="BV72">
        <f t="shared" si="25"/>
        <v>3.9181522779005942</v>
      </c>
      <c r="BW72">
        <f t="shared" si="54"/>
        <v>-1.7120949306407185E-3</v>
      </c>
      <c r="BX72">
        <v>0.2</v>
      </c>
      <c r="BY72">
        <f t="shared" si="55"/>
        <v>-1.7120949306407185E-3</v>
      </c>
      <c r="CA72">
        <f t="shared" si="26"/>
        <v>183.4340946413366</v>
      </c>
      <c r="CB72">
        <f t="shared" si="27"/>
        <v>6.2411194167366153</v>
      </c>
      <c r="CC72">
        <f t="shared" si="56"/>
        <v>-3.1702060867384555E-3</v>
      </c>
      <c r="CD72">
        <v>0.2</v>
      </c>
      <c r="CE72">
        <f t="shared" si="57"/>
        <v>-3.1702060867384555E-3</v>
      </c>
      <c r="CG72">
        <f t="shared" si="28"/>
        <v>684.83677600689953</v>
      </c>
      <c r="CH72">
        <f t="shared" si="29"/>
        <v>11.610138519235557</v>
      </c>
      <c r="CI72">
        <f t="shared" si="58"/>
        <v>-2.4171127513024134E-3</v>
      </c>
      <c r="CJ72">
        <v>0.2</v>
      </c>
      <c r="CK72">
        <f t="shared" si="59"/>
        <v>-2.4171127513024134E-3</v>
      </c>
    </row>
    <row r="75" spans="1:89" ht="19.8">
      <c r="A75" s="50" t="s">
        <v>139</v>
      </c>
    </row>
    <row r="77" spans="1:89">
      <c r="A77" s="70" t="s">
        <v>15</v>
      </c>
      <c r="B77" s="70">
        <v>0.95</v>
      </c>
      <c r="D77" s="70" t="s">
        <v>15</v>
      </c>
      <c r="E77" s="70">
        <v>0.9</v>
      </c>
      <c r="G77" s="70" t="s">
        <v>15</v>
      </c>
      <c r="H77" s="70">
        <v>0.85</v>
      </c>
    </row>
    <row r="78" spans="1:89">
      <c r="A78" t="s">
        <v>187</v>
      </c>
      <c r="B78">
        <f>B11</f>
        <v>0.34</v>
      </c>
      <c r="D78" t="s">
        <v>187</v>
      </c>
      <c r="E78">
        <f>B78</f>
        <v>0.34</v>
      </c>
      <c r="G78" t="s">
        <v>187</v>
      </c>
      <c r="H78">
        <f>B78</f>
        <v>0.34</v>
      </c>
    </row>
    <row r="79" spans="1:89">
      <c r="A79" t="s">
        <v>12</v>
      </c>
      <c r="B79">
        <f>B77/(1-B77)</f>
        <v>18.999999999999982</v>
      </c>
      <c r="D79" t="s">
        <v>12</v>
      </c>
      <c r="E79">
        <f>E77/(1-E77)</f>
        <v>9.0000000000000018</v>
      </c>
      <c r="G79" t="s">
        <v>12</v>
      </c>
      <c r="H79">
        <f>H77/(1-H77)</f>
        <v>5.6666666666666661</v>
      </c>
    </row>
    <row r="80" spans="1:89">
      <c r="A80" t="s">
        <v>13</v>
      </c>
      <c r="B80">
        <f>B79*B11</f>
        <v>6.4599999999999946</v>
      </c>
      <c r="D80" t="s">
        <v>13</v>
      </c>
      <c r="E80">
        <f>E79*E78</f>
        <v>3.0600000000000009</v>
      </c>
      <c r="G80" t="s">
        <v>13</v>
      </c>
      <c r="H80">
        <f>H79*H78</f>
        <v>1.9266666666666665</v>
      </c>
    </row>
    <row r="81" spans="1:8">
      <c r="A81" t="s">
        <v>14</v>
      </c>
      <c r="B81">
        <f>B84/(B84+A84)</f>
        <v>0.86595174262734576</v>
      </c>
      <c r="D81" t="s">
        <v>14</v>
      </c>
      <c r="E81">
        <f>E84/(E84+D84)</f>
        <v>0.75369458128078826</v>
      </c>
      <c r="G81" t="s">
        <v>14</v>
      </c>
      <c r="H81">
        <f>H84/(H84+G84)</f>
        <v>0.65831435079726652</v>
      </c>
    </row>
    <row r="83" spans="1:8">
      <c r="A83" t="s">
        <v>137</v>
      </c>
      <c r="B83" t="s">
        <v>138</v>
      </c>
      <c r="D83" t="s">
        <v>137</v>
      </c>
      <c r="E83" t="s">
        <v>138</v>
      </c>
      <c r="G83" t="s">
        <v>137</v>
      </c>
      <c r="H83" t="s">
        <v>138</v>
      </c>
    </row>
    <row r="84" spans="1:8">
      <c r="A84">
        <v>1E-4</v>
      </c>
      <c r="B84">
        <f t="shared" ref="B84:B94" si="60">B$80*A84</f>
        <v>6.4599999999999955E-4</v>
      </c>
      <c r="D84">
        <v>1E-4</v>
      </c>
      <c r="E84">
        <f t="shared" ref="E84:E94" si="61">E$80*D84</f>
        <v>3.0600000000000012E-4</v>
      </c>
      <c r="G84">
        <v>1E-4</v>
      </c>
      <c r="H84">
        <f t="shared" ref="H84:H94" si="62">H$80*G84</f>
        <v>1.9266666666666667E-4</v>
      </c>
    </row>
    <row r="85" spans="1:8">
      <c r="A85">
        <v>1.01E-2</v>
      </c>
      <c r="B85">
        <f t="shared" si="60"/>
        <v>6.5245999999999943E-2</v>
      </c>
      <c r="D85">
        <v>2.01E-2</v>
      </c>
      <c r="E85">
        <f t="shared" si="61"/>
        <v>6.1506000000000019E-2</v>
      </c>
      <c r="G85">
        <v>2.01E-2</v>
      </c>
      <c r="H85">
        <f t="shared" si="62"/>
        <v>3.8725999999999997E-2</v>
      </c>
    </row>
    <row r="86" spans="1:8">
      <c r="A86">
        <v>2.01E-2</v>
      </c>
      <c r="B86">
        <f t="shared" si="60"/>
        <v>0.12984599999999988</v>
      </c>
      <c r="D86">
        <v>4.0100000000000004E-2</v>
      </c>
      <c r="E86">
        <f t="shared" si="61"/>
        <v>0.12270600000000005</v>
      </c>
      <c r="G86">
        <v>4.0100000000000004E-2</v>
      </c>
      <c r="H86">
        <f t="shared" si="62"/>
        <v>7.7259333333333333E-2</v>
      </c>
    </row>
    <row r="87" spans="1:8">
      <c r="A87">
        <v>3.0099999999999998E-2</v>
      </c>
      <c r="B87">
        <f t="shared" si="60"/>
        <v>0.19444599999999984</v>
      </c>
      <c r="D87">
        <v>6.0100000000000001E-2</v>
      </c>
      <c r="E87">
        <f t="shared" si="61"/>
        <v>0.18390600000000007</v>
      </c>
      <c r="G87">
        <v>6.0100000000000001E-2</v>
      </c>
      <c r="H87">
        <f t="shared" si="62"/>
        <v>0.11579266666666665</v>
      </c>
    </row>
    <row r="88" spans="1:8">
      <c r="A88">
        <v>4.0100000000000004E-2</v>
      </c>
      <c r="B88">
        <f t="shared" si="60"/>
        <v>0.25904599999999983</v>
      </c>
      <c r="D88">
        <v>8.0100000000000005E-2</v>
      </c>
      <c r="E88">
        <f t="shared" si="61"/>
        <v>0.2451060000000001</v>
      </c>
      <c r="G88">
        <v>8.7999999999999995E-2</v>
      </c>
      <c r="H88">
        <f t="shared" si="62"/>
        <v>0.16954666666666665</v>
      </c>
    </row>
    <row r="89" spans="1:8">
      <c r="A89">
        <v>5.0100000000000006E-2</v>
      </c>
      <c r="B89">
        <f t="shared" si="60"/>
        <v>0.32364599999999977</v>
      </c>
      <c r="D89">
        <v>0.10010000000000001</v>
      </c>
      <c r="E89">
        <f t="shared" si="61"/>
        <v>0.30630600000000013</v>
      </c>
      <c r="G89">
        <v>0.10010000000000001</v>
      </c>
      <c r="H89">
        <f t="shared" si="62"/>
        <v>0.19285933333333333</v>
      </c>
    </row>
    <row r="90" spans="1:8">
      <c r="A90">
        <v>6.0100000000000001E-2</v>
      </c>
      <c r="B90">
        <f t="shared" si="60"/>
        <v>0.3882459999999997</v>
      </c>
      <c r="D90">
        <v>0.1201</v>
      </c>
      <c r="E90">
        <f t="shared" si="61"/>
        <v>0.36750600000000011</v>
      </c>
      <c r="G90">
        <v>0.1201</v>
      </c>
      <c r="H90">
        <f t="shared" si="62"/>
        <v>0.23139266666666664</v>
      </c>
    </row>
    <row r="91" spans="1:8">
      <c r="A91">
        <v>7.010000000000001E-2</v>
      </c>
      <c r="B91">
        <f t="shared" si="60"/>
        <v>0.45284599999999969</v>
      </c>
      <c r="D91">
        <v>0.1401</v>
      </c>
      <c r="E91">
        <f t="shared" si="61"/>
        <v>0.42870600000000014</v>
      </c>
      <c r="G91">
        <v>0.1401</v>
      </c>
      <c r="H91">
        <f t="shared" si="62"/>
        <v>0.269926</v>
      </c>
    </row>
    <row r="92" spans="1:8">
      <c r="A92">
        <v>8.0100000000000005E-2</v>
      </c>
      <c r="B92">
        <f t="shared" si="60"/>
        <v>0.51744599999999963</v>
      </c>
      <c r="D92">
        <v>0.16009999999999999</v>
      </c>
      <c r="E92">
        <f t="shared" si="61"/>
        <v>0.48990600000000012</v>
      </c>
      <c r="G92">
        <v>0.16009999999999999</v>
      </c>
      <c r="H92">
        <f t="shared" si="62"/>
        <v>0.30845933333333331</v>
      </c>
    </row>
    <row r="93" spans="1:8">
      <c r="A93">
        <v>0.12</v>
      </c>
      <c r="B93">
        <f t="shared" si="60"/>
        <v>0.77519999999999933</v>
      </c>
      <c r="D93">
        <v>0.18009999999999998</v>
      </c>
      <c r="E93">
        <f t="shared" si="61"/>
        <v>0.5511060000000001</v>
      </c>
      <c r="G93">
        <v>0.18009999999999998</v>
      </c>
      <c r="H93">
        <f t="shared" si="62"/>
        <v>0.34699266666666662</v>
      </c>
    </row>
    <row r="94" spans="1:8">
      <c r="A94">
        <v>0.15</v>
      </c>
      <c r="B94">
        <f t="shared" si="60"/>
        <v>0.9689999999999992</v>
      </c>
      <c r="D94">
        <v>0.2001</v>
      </c>
      <c r="E94">
        <f t="shared" si="61"/>
        <v>0.61230600000000024</v>
      </c>
      <c r="G94">
        <v>0.2001</v>
      </c>
      <c r="H94">
        <f t="shared" si="62"/>
        <v>0.38552599999999998</v>
      </c>
    </row>
    <row r="97" spans="1:8">
      <c r="A97" s="70" t="s">
        <v>15</v>
      </c>
      <c r="B97" s="70">
        <v>0.8</v>
      </c>
      <c r="D97" s="70" t="s">
        <v>15</v>
      </c>
      <c r="E97" s="70">
        <v>0.75</v>
      </c>
      <c r="G97" s="70" t="s">
        <v>15</v>
      </c>
      <c r="H97" s="70">
        <v>0.7</v>
      </c>
    </row>
    <row r="98" spans="1:8">
      <c r="A98" t="s">
        <v>187</v>
      </c>
      <c r="B98">
        <f>B78</f>
        <v>0.34</v>
      </c>
      <c r="D98" t="s">
        <v>187</v>
      </c>
      <c r="E98">
        <f>B78</f>
        <v>0.34</v>
      </c>
      <c r="G98" t="s">
        <v>187</v>
      </c>
      <c r="H98">
        <f>B78</f>
        <v>0.34</v>
      </c>
    </row>
    <row r="99" spans="1:8">
      <c r="A99" t="s">
        <v>12</v>
      </c>
      <c r="B99">
        <f>B97/(1-B97)</f>
        <v>4.0000000000000009</v>
      </c>
      <c r="D99" t="s">
        <v>12</v>
      </c>
      <c r="E99">
        <f>E97/(1-E97)</f>
        <v>3</v>
      </c>
      <c r="G99" t="s">
        <v>12</v>
      </c>
      <c r="H99">
        <f>H97/(1-H97)</f>
        <v>2.333333333333333</v>
      </c>
    </row>
    <row r="100" spans="1:8">
      <c r="A100" t="s">
        <v>13</v>
      </c>
      <c r="B100">
        <f>B99*B98</f>
        <v>1.3600000000000003</v>
      </c>
      <c r="D100" t="s">
        <v>13</v>
      </c>
      <c r="E100">
        <f>E99*E98</f>
        <v>1.02</v>
      </c>
      <c r="G100" t="s">
        <v>13</v>
      </c>
      <c r="H100">
        <f>H99*H98</f>
        <v>0.79333333333333333</v>
      </c>
    </row>
    <row r="101" spans="1:8">
      <c r="A101" t="s">
        <v>14</v>
      </c>
      <c r="B101">
        <f>B104/(B104+A104)</f>
        <v>0.57627118644067798</v>
      </c>
      <c r="D101" t="s">
        <v>14</v>
      </c>
      <c r="E101">
        <f>E104/(E104+D104)</f>
        <v>0.50495049504950495</v>
      </c>
      <c r="G101" t="s">
        <v>14</v>
      </c>
      <c r="H101">
        <f>H104/(H104+G104)</f>
        <v>0.44237918215613387</v>
      </c>
    </row>
    <row r="103" spans="1:8">
      <c r="A103" t="s">
        <v>137</v>
      </c>
      <c r="B103" t="s">
        <v>138</v>
      </c>
      <c r="D103" t="s">
        <v>137</v>
      </c>
      <c r="E103" t="s">
        <v>138</v>
      </c>
      <c r="G103" t="s">
        <v>137</v>
      </c>
      <c r="H103" t="s">
        <v>138</v>
      </c>
    </row>
    <row r="104" spans="1:8">
      <c r="A104">
        <v>1E-4</v>
      </c>
      <c r="B104">
        <f t="shared" ref="B104:B114" si="63">$B$100*A104</f>
        <v>1.3600000000000003E-4</v>
      </c>
      <c r="D104">
        <v>1E-4</v>
      </c>
      <c r="E104">
        <f t="shared" ref="E104:E114" si="64">$E$100*D104</f>
        <v>1.0200000000000001E-4</v>
      </c>
      <c r="G104">
        <v>1E-4</v>
      </c>
      <c r="H104">
        <f t="shared" ref="H104:H114" si="65">$H$100*G104</f>
        <v>7.9333333333333342E-5</v>
      </c>
    </row>
    <row r="105" spans="1:8">
      <c r="A105">
        <v>2.01E-2</v>
      </c>
      <c r="B105">
        <f t="shared" si="63"/>
        <v>2.7336000000000006E-2</v>
      </c>
      <c r="D105">
        <v>2.01E-2</v>
      </c>
      <c r="E105">
        <f t="shared" si="64"/>
        <v>2.0501999999999999E-2</v>
      </c>
      <c r="G105">
        <v>2.01E-2</v>
      </c>
      <c r="H105">
        <f t="shared" si="65"/>
        <v>1.5945999999999998E-2</v>
      </c>
    </row>
    <row r="106" spans="1:8">
      <c r="A106">
        <v>4.0100000000000004E-2</v>
      </c>
      <c r="B106">
        <f t="shared" si="63"/>
        <v>5.4536000000000015E-2</v>
      </c>
      <c r="D106">
        <v>4.0100000000000004E-2</v>
      </c>
      <c r="E106">
        <f t="shared" si="64"/>
        <v>4.0902000000000008E-2</v>
      </c>
      <c r="G106">
        <v>4.0100000000000004E-2</v>
      </c>
      <c r="H106">
        <f t="shared" si="65"/>
        <v>3.181266666666667E-2</v>
      </c>
    </row>
    <row r="107" spans="1:8">
      <c r="A107">
        <v>6.0100000000000001E-2</v>
      </c>
      <c r="B107">
        <f t="shared" si="63"/>
        <v>8.1736000000000017E-2</v>
      </c>
      <c r="D107">
        <v>6.0100000000000001E-2</v>
      </c>
      <c r="E107">
        <f t="shared" si="64"/>
        <v>6.1302000000000002E-2</v>
      </c>
      <c r="G107">
        <v>6.0100000000000001E-2</v>
      </c>
      <c r="H107">
        <f t="shared" si="65"/>
        <v>4.7679333333333331E-2</v>
      </c>
    </row>
    <row r="108" spans="1:8">
      <c r="A108">
        <v>8.0100000000000005E-2</v>
      </c>
      <c r="B108">
        <f t="shared" si="63"/>
        <v>0.10893600000000003</v>
      </c>
      <c r="D108">
        <v>8.0100000000000005E-2</v>
      </c>
      <c r="E108">
        <f t="shared" si="64"/>
        <v>8.1702000000000011E-2</v>
      </c>
      <c r="G108">
        <v>8.0100000000000005E-2</v>
      </c>
      <c r="H108">
        <f t="shared" si="65"/>
        <v>6.3546000000000005E-2</v>
      </c>
    </row>
    <row r="109" spans="1:8">
      <c r="A109">
        <v>0.10010000000000001</v>
      </c>
      <c r="B109">
        <f t="shared" si="63"/>
        <v>0.13613600000000003</v>
      </c>
      <c r="D109">
        <v>0.10010000000000001</v>
      </c>
      <c r="E109">
        <f t="shared" si="64"/>
        <v>0.10210200000000001</v>
      </c>
      <c r="G109">
        <v>0.10010000000000001</v>
      </c>
      <c r="H109">
        <f t="shared" si="65"/>
        <v>7.9412666666666673E-2</v>
      </c>
    </row>
    <row r="110" spans="1:8">
      <c r="A110">
        <v>0.1201</v>
      </c>
      <c r="B110">
        <f t="shared" si="63"/>
        <v>0.16333600000000004</v>
      </c>
      <c r="D110">
        <v>0.1201</v>
      </c>
      <c r="E110">
        <f t="shared" si="64"/>
        <v>0.122502</v>
      </c>
      <c r="G110">
        <v>0.1201</v>
      </c>
      <c r="H110">
        <f t="shared" si="65"/>
        <v>9.5279333333333327E-2</v>
      </c>
    </row>
    <row r="111" spans="1:8">
      <c r="A111">
        <v>0.1401</v>
      </c>
      <c r="B111">
        <f t="shared" si="63"/>
        <v>0.19053600000000004</v>
      </c>
      <c r="D111">
        <v>0.1401</v>
      </c>
      <c r="E111">
        <f t="shared" si="64"/>
        <v>0.142902</v>
      </c>
      <c r="G111">
        <v>0.1401</v>
      </c>
      <c r="H111">
        <f t="shared" si="65"/>
        <v>0.11114600000000001</v>
      </c>
    </row>
    <row r="112" spans="1:8">
      <c r="A112">
        <v>0.16009999999999999</v>
      </c>
      <c r="B112">
        <f t="shared" si="63"/>
        <v>0.21773600000000004</v>
      </c>
      <c r="D112">
        <v>0.16009999999999999</v>
      </c>
      <c r="E112">
        <f t="shared" si="64"/>
        <v>0.163302</v>
      </c>
      <c r="G112">
        <v>0.16009999999999999</v>
      </c>
      <c r="H112">
        <f t="shared" si="65"/>
        <v>0.12701266666666666</v>
      </c>
    </row>
    <row r="113" spans="1:8">
      <c r="A113">
        <v>0.18009999999999998</v>
      </c>
      <c r="B113">
        <f t="shared" si="63"/>
        <v>0.24493600000000004</v>
      </c>
      <c r="D113">
        <v>0.18009999999999998</v>
      </c>
      <c r="E113">
        <f t="shared" si="64"/>
        <v>0.18370199999999998</v>
      </c>
      <c r="G113">
        <v>0.18009999999999998</v>
      </c>
      <c r="H113">
        <f t="shared" si="65"/>
        <v>0.14287933333333333</v>
      </c>
    </row>
    <row r="114" spans="1:8">
      <c r="A114">
        <v>0.2001</v>
      </c>
      <c r="B114">
        <f t="shared" si="63"/>
        <v>0.27213600000000004</v>
      </c>
      <c r="D114">
        <v>0.2001</v>
      </c>
      <c r="E114">
        <f t="shared" si="64"/>
        <v>0.20410200000000001</v>
      </c>
      <c r="G114">
        <v>0.2001</v>
      </c>
      <c r="H114">
        <f t="shared" si="65"/>
        <v>0.158746</v>
      </c>
    </row>
    <row r="117" spans="1:8">
      <c r="A117" s="70" t="s">
        <v>15</v>
      </c>
      <c r="B117" s="70">
        <v>0.65</v>
      </c>
      <c r="D117" s="70" t="s">
        <v>15</v>
      </c>
      <c r="E117" s="70">
        <v>0.6</v>
      </c>
      <c r="G117" s="70" t="s">
        <v>15</v>
      </c>
      <c r="H117" s="70">
        <v>0.55000000000000004</v>
      </c>
    </row>
    <row r="118" spans="1:8">
      <c r="A118" t="s">
        <v>187</v>
      </c>
      <c r="B118">
        <f>B98</f>
        <v>0.34</v>
      </c>
      <c r="D118" t="s">
        <v>187</v>
      </c>
      <c r="E118">
        <f>E98</f>
        <v>0.34</v>
      </c>
      <c r="G118" t="s">
        <v>187</v>
      </c>
      <c r="H118">
        <f>E118</f>
        <v>0.34</v>
      </c>
    </row>
    <row r="119" spans="1:8">
      <c r="A119" t="s">
        <v>12</v>
      </c>
      <c r="B119">
        <f>B117/(1-B117)</f>
        <v>1.8571428571428574</v>
      </c>
      <c r="D119" t="s">
        <v>12</v>
      </c>
      <c r="E119">
        <f>E117/(1-E117)</f>
        <v>1.4999999999999998</v>
      </c>
      <c r="G119" t="s">
        <v>12</v>
      </c>
      <c r="H119">
        <f>H117/(1-H117)</f>
        <v>1.2222222222222225</v>
      </c>
    </row>
    <row r="120" spans="1:8">
      <c r="A120" t="s">
        <v>13</v>
      </c>
      <c r="B120">
        <f>B119*B118</f>
        <v>0.63142857142857156</v>
      </c>
      <c r="D120" t="s">
        <v>13</v>
      </c>
      <c r="E120">
        <f>E119*E118</f>
        <v>0.51</v>
      </c>
      <c r="G120" t="s">
        <v>13</v>
      </c>
      <c r="H120">
        <f>H119*H118</f>
        <v>0.41555555555555568</v>
      </c>
    </row>
    <row r="121" spans="1:8">
      <c r="A121" t="s">
        <v>14</v>
      </c>
      <c r="B121">
        <f>B124/(B124+A124)</f>
        <v>0.38704028021015768</v>
      </c>
      <c r="D121" t="s">
        <v>14</v>
      </c>
      <c r="E121">
        <f>E124/(E124+D124)</f>
        <v>0.38704028021015768</v>
      </c>
      <c r="G121" t="s">
        <v>14</v>
      </c>
      <c r="H121">
        <f>H124/(H124+G124)</f>
        <v>0.38704028021015768</v>
      </c>
    </row>
    <row r="123" spans="1:8">
      <c r="A123" t="s">
        <v>137</v>
      </c>
      <c r="B123" t="s">
        <v>138</v>
      </c>
      <c r="D123" t="s">
        <v>137</v>
      </c>
      <c r="E123" t="s">
        <v>138</v>
      </c>
      <c r="G123" t="s">
        <v>137</v>
      </c>
      <c r="H123" t="s">
        <v>138</v>
      </c>
    </row>
    <row r="124" spans="1:8">
      <c r="A124">
        <v>1E-4</v>
      </c>
      <c r="B124">
        <f t="shared" ref="B124:B134" si="66">$B$120*A124</f>
        <v>6.3142857142857166E-5</v>
      </c>
      <c r="D124">
        <v>1E-4</v>
      </c>
      <c r="E124">
        <f>$B$120*D124</f>
        <v>6.3142857142857166E-5</v>
      </c>
      <c r="G124">
        <v>1E-4</v>
      </c>
      <c r="H124">
        <f>$B$120*G124</f>
        <v>6.3142857142857166E-5</v>
      </c>
    </row>
    <row r="125" spans="1:8">
      <c r="A125">
        <v>2.01E-2</v>
      </c>
      <c r="B125">
        <f t="shared" si="66"/>
        <v>1.2691714285714289E-2</v>
      </c>
      <c r="D125">
        <v>2.01E-2</v>
      </c>
      <c r="E125">
        <f>$E$120*D125</f>
        <v>1.0251E-2</v>
      </c>
      <c r="G125">
        <v>2.01E-2</v>
      </c>
      <c r="H125">
        <f>$H$120*G125</f>
        <v>8.3526666666666697E-3</v>
      </c>
    </row>
    <row r="126" spans="1:8">
      <c r="A126">
        <v>4.0100000000000004E-2</v>
      </c>
      <c r="B126">
        <f t="shared" si="66"/>
        <v>2.5320285714285722E-2</v>
      </c>
      <c r="D126">
        <v>4.0100000000000004E-2</v>
      </c>
      <c r="E126">
        <f t="shared" ref="E126:E134" si="67">$E$120*D126</f>
        <v>2.0451000000000004E-2</v>
      </c>
      <c r="G126">
        <v>4.0100000000000004E-2</v>
      </c>
      <c r="H126">
        <f t="shared" ref="H126:H134" si="68">$H$120*G126</f>
        <v>1.6663777777777784E-2</v>
      </c>
    </row>
    <row r="127" spans="1:8">
      <c r="A127">
        <v>6.0100000000000001E-2</v>
      </c>
      <c r="B127">
        <f t="shared" si="66"/>
        <v>3.7948857142857152E-2</v>
      </c>
      <c r="D127">
        <v>6.0100000000000001E-2</v>
      </c>
      <c r="E127">
        <f t="shared" si="67"/>
        <v>3.0651000000000001E-2</v>
      </c>
      <c r="G127">
        <v>6.0100000000000001E-2</v>
      </c>
      <c r="H127">
        <f t="shared" si="68"/>
        <v>2.4974888888888897E-2</v>
      </c>
    </row>
    <row r="128" spans="1:8">
      <c r="A128">
        <v>8.0100000000000005E-2</v>
      </c>
      <c r="B128">
        <f t="shared" si="66"/>
        <v>5.0577428571428586E-2</v>
      </c>
      <c r="D128">
        <v>8.0100000000000005E-2</v>
      </c>
      <c r="E128">
        <f t="shared" si="67"/>
        <v>4.0851000000000005E-2</v>
      </c>
      <c r="G128">
        <v>8.0100000000000005E-2</v>
      </c>
      <c r="H128">
        <f t="shared" si="68"/>
        <v>3.328600000000001E-2</v>
      </c>
    </row>
    <row r="129" spans="1:8">
      <c r="A129">
        <v>0.10010000000000001</v>
      </c>
      <c r="B129">
        <f t="shared" si="66"/>
        <v>6.3206000000000012E-2</v>
      </c>
      <c r="D129">
        <v>0.10010000000000001</v>
      </c>
      <c r="E129">
        <f t="shared" si="67"/>
        <v>5.1051000000000006E-2</v>
      </c>
      <c r="G129">
        <v>0.10010000000000001</v>
      </c>
      <c r="H129">
        <f t="shared" si="68"/>
        <v>4.1597111111111126E-2</v>
      </c>
    </row>
    <row r="130" spans="1:8">
      <c r="A130">
        <v>0.1201</v>
      </c>
      <c r="B130">
        <f t="shared" si="66"/>
        <v>7.5834571428571446E-2</v>
      </c>
      <c r="D130">
        <v>0.1201</v>
      </c>
      <c r="E130">
        <f t="shared" si="67"/>
        <v>6.1251E-2</v>
      </c>
      <c r="G130">
        <v>0.1201</v>
      </c>
      <c r="H130">
        <f t="shared" si="68"/>
        <v>4.9908222222222236E-2</v>
      </c>
    </row>
    <row r="131" spans="1:8">
      <c r="A131">
        <v>0.1401</v>
      </c>
      <c r="B131">
        <f t="shared" si="66"/>
        <v>8.8463142857142879E-2</v>
      </c>
      <c r="D131">
        <v>0.1401</v>
      </c>
      <c r="E131">
        <f t="shared" si="67"/>
        <v>7.1451000000000001E-2</v>
      </c>
      <c r="G131">
        <v>0.1401</v>
      </c>
      <c r="H131">
        <f t="shared" si="68"/>
        <v>5.8219333333333352E-2</v>
      </c>
    </row>
    <row r="132" spans="1:8">
      <c r="A132">
        <v>0.16009999999999999</v>
      </c>
      <c r="B132">
        <f t="shared" si="66"/>
        <v>0.1010917142857143</v>
      </c>
      <c r="D132">
        <v>0.16009999999999999</v>
      </c>
      <c r="E132">
        <f t="shared" si="67"/>
        <v>8.1651000000000001E-2</v>
      </c>
      <c r="G132">
        <v>0.16009999999999999</v>
      </c>
      <c r="H132">
        <f t="shared" si="68"/>
        <v>6.6530444444444461E-2</v>
      </c>
    </row>
    <row r="133" spans="1:8">
      <c r="A133">
        <v>0.18009999999999998</v>
      </c>
      <c r="B133">
        <f t="shared" si="66"/>
        <v>0.11372028571428573</v>
      </c>
      <c r="D133">
        <v>0.18009999999999998</v>
      </c>
      <c r="E133">
        <f t="shared" si="67"/>
        <v>9.1850999999999988E-2</v>
      </c>
      <c r="G133">
        <v>0.18009999999999998</v>
      </c>
      <c r="H133">
        <f t="shared" si="68"/>
        <v>7.4841555555555564E-2</v>
      </c>
    </row>
    <row r="134" spans="1:8">
      <c r="A134">
        <v>0.2001</v>
      </c>
      <c r="B134">
        <f t="shared" si="66"/>
        <v>0.12634885714285718</v>
      </c>
      <c r="D134">
        <v>0.2001</v>
      </c>
      <c r="E134">
        <f t="shared" si="67"/>
        <v>0.102051</v>
      </c>
      <c r="G134">
        <v>0.2001</v>
      </c>
      <c r="H134">
        <f t="shared" si="68"/>
        <v>8.3152666666666694E-2</v>
      </c>
    </row>
  </sheetData>
  <phoneticPr fontId="4"/>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49"/>
  <sheetViews>
    <sheetView workbookViewId="0">
      <selection activeCell="G27" sqref="G27"/>
    </sheetView>
  </sheetViews>
  <sheetFormatPr defaultColWidth="11.15234375" defaultRowHeight="16.2"/>
  <cols>
    <col min="1" max="1" width="11.765625" customWidth="1"/>
    <col min="2" max="3" width="11.15234375" customWidth="1"/>
    <col min="4" max="4" width="13.23046875" style="145" customWidth="1"/>
    <col min="5" max="5" width="11.15234375" customWidth="1"/>
    <col min="6" max="6" width="24.23046875" customWidth="1"/>
    <col min="7" max="7" width="20.4609375" style="145" customWidth="1"/>
    <col min="8" max="12" width="11.15234375" customWidth="1"/>
    <col min="13" max="13" width="10.61328125" style="140" customWidth="1"/>
  </cols>
  <sheetData>
    <row r="1" spans="1:35" ht="20.399999999999999" thickBot="1">
      <c r="A1" s="9" t="s">
        <v>9</v>
      </c>
      <c r="B1" s="10"/>
      <c r="C1" s="11"/>
      <c r="F1" s="1" t="s">
        <v>4</v>
      </c>
      <c r="G1" s="143" t="s">
        <v>5</v>
      </c>
      <c r="H1" s="3">
        <v>71.849999999999994</v>
      </c>
    </row>
    <row r="2" spans="1:35" ht="18" thickBot="1">
      <c r="A2" s="12"/>
      <c r="B2" s="131">
        <v>0.3</v>
      </c>
      <c r="C2" s="13"/>
      <c r="F2" s="4" t="s">
        <v>6</v>
      </c>
      <c r="G2" s="144" t="s">
        <v>7</v>
      </c>
      <c r="H2" s="6">
        <v>40.299999999999997</v>
      </c>
    </row>
    <row r="3" spans="1:35" ht="18" thickBot="1">
      <c r="A3" s="9" t="s">
        <v>87</v>
      </c>
      <c r="B3" s="10"/>
      <c r="C3" s="11"/>
      <c r="F3" t="s">
        <v>111</v>
      </c>
      <c r="G3" s="145">
        <f>H2/H1</f>
        <v>0.56089074460681976</v>
      </c>
    </row>
    <row r="4" spans="1:35" ht="18" thickBot="1">
      <c r="A4" s="12"/>
      <c r="B4" s="131">
        <v>8</v>
      </c>
      <c r="C4" s="13"/>
      <c r="AB4" s="7" t="s">
        <v>112</v>
      </c>
      <c r="AG4" t="s">
        <v>113</v>
      </c>
    </row>
    <row r="5" spans="1:35">
      <c r="AB5" t="s">
        <v>114</v>
      </c>
      <c r="AC5">
        <v>19.350000000000001</v>
      </c>
    </row>
    <row r="6" spans="1:35" ht="21">
      <c r="A6" s="148" t="s">
        <v>90</v>
      </c>
      <c r="B6" s="2"/>
      <c r="C6" s="2"/>
      <c r="D6" s="149"/>
      <c r="F6" s="148" t="s">
        <v>179</v>
      </c>
      <c r="G6" s="149"/>
      <c r="J6" s="134" t="s">
        <v>102</v>
      </c>
      <c r="K6" s="135"/>
      <c r="L6" s="136"/>
      <c r="M6" s="141"/>
      <c r="N6" s="7" t="s">
        <v>101</v>
      </c>
      <c r="R6" t="s">
        <v>10</v>
      </c>
      <c r="AB6" t="s">
        <v>11</v>
      </c>
      <c r="AC6">
        <f>2.58</f>
        <v>2.58</v>
      </c>
    </row>
    <row r="7" spans="1:35">
      <c r="A7" s="4" t="s">
        <v>21</v>
      </c>
      <c r="B7" s="5" t="s">
        <v>13</v>
      </c>
      <c r="C7" s="5" t="s">
        <v>14</v>
      </c>
      <c r="D7" s="150" t="s">
        <v>89</v>
      </c>
      <c r="F7" s="4" t="s">
        <v>16</v>
      </c>
      <c r="G7" s="150" t="s">
        <v>88</v>
      </c>
      <c r="J7" s="137" t="s">
        <v>108</v>
      </c>
      <c r="K7" s="138" t="s">
        <v>109</v>
      </c>
      <c r="L7" s="139" t="s">
        <v>110</v>
      </c>
      <c r="M7" s="141"/>
      <c r="N7" t="s">
        <v>103</v>
      </c>
      <c r="O7" t="s">
        <v>104</v>
      </c>
      <c r="P7" t="s">
        <v>105</v>
      </c>
      <c r="Q7" t="s">
        <v>106</v>
      </c>
      <c r="R7" t="s">
        <v>17</v>
      </c>
      <c r="S7" t="s">
        <v>18</v>
      </c>
      <c r="T7" t="s">
        <v>1</v>
      </c>
      <c r="U7" t="s">
        <v>99</v>
      </c>
      <c r="V7" t="s">
        <v>107</v>
      </c>
      <c r="W7" t="s">
        <v>108</v>
      </c>
      <c r="Z7" t="s">
        <v>128</v>
      </c>
      <c r="AB7" t="s">
        <v>2</v>
      </c>
      <c r="AC7" t="s">
        <v>114</v>
      </c>
      <c r="AD7" t="s">
        <v>11</v>
      </c>
      <c r="AE7" t="s">
        <v>3</v>
      </c>
      <c r="AG7" t="s">
        <v>114</v>
      </c>
      <c r="AH7" t="s">
        <v>11</v>
      </c>
      <c r="AI7" t="s">
        <v>3</v>
      </c>
    </row>
    <row r="8" spans="1:35">
      <c r="A8" s="154">
        <v>0.5</v>
      </c>
      <c r="B8" s="145">
        <f t="shared" ref="B8:B49" si="0">$B$2*A8</f>
        <v>0.15</v>
      </c>
      <c r="C8" s="145">
        <f>100*B8/(B8+1)</f>
        <v>13.043478260869566</v>
      </c>
      <c r="D8" s="146">
        <f>100*(A8)/(A8+1)</f>
        <v>33.333333333333336</v>
      </c>
      <c r="F8" s="145">
        <f t="shared" ref="F8:F49" si="1">B8*$G$3</f>
        <v>8.4133611691022958E-2</v>
      </c>
      <c r="G8" s="151">
        <f>F8*$B$4</f>
        <v>0.67306889352818366</v>
      </c>
      <c r="J8" s="132">
        <f t="shared" ref="J8:J49" si="2">100*W8/X8</f>
        <v>32.876112651393548</v>
      </c>
      <c r="K8" s="132">
        <f t="shared" ref="K8:K49" si="3">100*U8/X8</f>
        <v>14.701590544287173</v>
      </c>
      <c r="L8" s="132">
        <f t="shared" ref="L8:L49" si="4">100*V8/X8</f>
        <v>52.422296804319274</v>
      </c>
      <c r="N8">
        <f>1/A8</f>
        <v>2</v>
      </c>
      <c r="O8">
        <f>2/(1+N8)</f>
        <v>0.66666666666666663</v>
      </c>
      <c r="P8">
        <f>2-O8</f>
        <v>1.3333333333333335</v>
      </c>
      <c r="Q8">
        <v>1</v>
      </c>
      <c r="R8">
        <f>O8/3</f>
        <v>0.22222222222222221</v>
      </c>
      <c r="S8">
        <f>P8/3</f>
        <v>0.44444444444444448</v>
      </c>
      <c r="T8">
        <f>Q8/3</f>
        <v>0.33333333333333331</v>
      </c>
      <c r="U8">
        <f>O8*$H$2</f>
        <v>26.866666666666664</v>
      </c>
      <c r="V8">
        <f>P8*$H$1</f>
        <v>95.8</v>
      </c>
      <c r="W8">
        <f>Q8*60.08</f>
        <v>60.08</v>
      </c>
      <c r="X8">
        <f>SUM(U8:W8)</f>
        <v>182.74666666666667</v>
      </c>
      <c r="Y8">
        <f t="shared" ref="Y8:Y49" si="5">SUM(J8:L8)</f>
        <v>100</v>
      </c>
      <c r="Z8">
        <f t="shared" ref="Z8:Z49" si="6">(K8/$H$2)/(K8/$H$2+L8/$H$1)</f>
        <v>0.33333333333333331</v>
      </c>
      <c r="AB8">
        <v>1</v>
      </c>
      <c r="AC8">
        <f>$AC$5</f>
        <v>19.350000000000001</v>
      </c>
      <c r="AD8">
        <f>EXP(3.4719-0.85732*LN(AC8))</f>
        <v>2.5393916257873497</v>
      </c>
      <c r="AE8">
        <f>AC8/(AH8+AB8*(1-AH8))</f>
        <v>19.350000000000001</v>
      </c>
      <c r="AG8">
        <f>$AC$5</f>
        <v>19.350000000000001</v>
      </c>
      <c r="AH8">
        <f>EXP(3.4719-0.85732*LN(AC8))</f>
        <v>2.5393916257873497</v>
      </c>
      <c r="AI8">
        <f>$AC$5*AB8^(AH8-1)</f>
        <v>19.350000000000001</v>
      </c>
    </row>
    <row r="9" spans="1:35">
      <c r="A9" s="154">
        <v>1</v>
      </c>
      <c r="B9" s="145">
        <f t="shared" si="0"/>
        <v>0.3</v>
      </c>
      <c r="C9" s="145">
        <f t="shared" ref="C9:C49" si="7">100*B9/(B9+1)</f>
        <v>23.076923076923077</v>
      </c>
      <c r="D9" s="146">
        <f t="shared" ref="D9:D49" si="8">100*(A9)/(A9+1)</f>
        <v>50</v>
      </c>
      <c r="F9" s="145">
        <f t="shared" si="1"/>
        <v>0.16826722338204592</v>
      </c>
      <c r="G9" s="151">
        <f t="shared" ref="G9:G49" si="9">F9*$B$4</f>
        <v>1.3461377870563673</v>
      </c>
      <c r="J9" s="132">
        <f t="shared" si="2"/>
        <v>34.883585902572143</v>
      </c>
      <c r="K9" s="132">
        <f t="shared" si="3"/>
        <v>23.398943273529582</v>
      </c>
      <c r="L9" s="132">
        <f t="shared" si="4"/>
        <v>41.717470823898275</v>
      </c>
      <c r="N9">
        <f t="shared" ref="N9:N49" si="10">1/A9</f>
        <v>1</v>
      </c>
      <c r="O9">
        <f t="shared" ref="O9:O49" si="11">2/(1+N9)</f>
        <v>1</v>
      </c>
      <c r="P9">
        <f t="shared" ref="P9:P49" si="12">2-O9</f>
        <v>1</v>
      </c>
      <c r="Q9">
        <v>1</v>
      </c>
      <c r="R9">
        <f t="shared" ref="R9:T49" si="13">O9/3</f>
        <v>0.33333333333333331</v>
      </c>
      <c r="S9">
        <f t="shared" si="13"/>
        <v>0.33333333333333331</v>
      </c>
      <c r="T9">
        <f t="shared" si="13"/>
        <v>0.33333333333333331</v>
      </c>
      <c r="U9">
        <f t="shared" ref="U9:U49" si="14">O9*$H$2</f>
        <v>40.299999999999997</v>
      </c>
      <c r="V9">
        <f t="shared" ref="V9:V49" si="15">P9*$H$1</f>
        <v>71.849999999999994</v>
      </c>
      <c r="W9">
        <f t="shared" ref="W9:W49" si="16">Q9*60.08</f>
        <v>60.08</v>
      </c>
      <c r="X9">
        <f t="shared" ref="X9:X49" si="17">SUM(U9:W9)</f>
        <v>172.23</v>
      </c>
      <c r="Y9">
        <f t="shared" si="5"/>
        <v>100</v>
      </c>
      <c r="Z9">
        <f t="shared" si="6"/>
        <v>0.5</v>
      </c>
      <c r="AB9">
        <v>0.99</v>
      </c>
      <c r="AC9">
        <f t="shared" ref="AC9:AC34" si="18">$AC$5</f>
        <v>19.350000000000001</v>
      </c>
      <c r="AD9">
        <f>EXP(3.4719-0.85732*LN(AC8))</f>
        <v>2.5393916257873497</v>
      </c>
      <c r="AE9">
        <f t="shared" ref="AE9:AE34" si="19">AC9/(AD9+AB9*(1-AD9))</f>
        <v>19.056643623897582</v>
      </c>
      <c r="AG9">
        <f>AI8</f>
        <v>19.350000000000001</v>
      </c>
      <c r="AH9">
        <f>EXP(3.4719-0.85732*LN(AG8))</f>
        <v>2.5393916257873497</v>
      </c>
      <c r="AI9">
        <f t="shared" ref="AI9:AI34" si="20">$AC$5*AB9^(AH9-1)</f>
        <v>19.052932307433192</v>
      </c>
    </row>
    <row r="10" spans="1:35" s="163" customFormat="1">
      <c r="A10" s="163">
        <v>1.6315783754058755</v>
      </c>
      <c r="B10" s="164">
        <f t="shared" si="0"/>
        <v>0.48947351262176264</v>
      </c>
      <c r="C10" s="164">
        <f t="shared" si="7"/>
        <v>32.862183078381449</v>
      </c>
      <c r="D10" s="164">
        <f t="shared" si="8"/>
        <v>61.999991740859045</v>
      </c>
      <c r="F10" s="164">
        <f t="shared" si="1"/>
        <v>0.27454116295973602</v>
      </c>
      <c r="G10" s="165">
        <f t="shared" si="9"/>
        <v>2.1963293036778881</v>
      </c>
      <c r="J10" s="163">
        <f t="shared" si="2"/>
        <v>36.487749212570542</v>
      </c>
      <c r="K10" s="163">
        <f t="shared" si="3"/>
        <v>30.34896073163214</v>
      </c>
      <c r="L10" s="163">
        <f t="shared" si="4"/>
        <v>33.163290055797319</v>
      </c>
      <c r="N10" s="163">
        <f t="shared" si="10"/>
        <v>0.61290344066446545</v>
      </c>
      <c r="O10" s="163">
        <f t="shared" si="11"/>
        <v>1.2399998348171808</v>
      </c>
      <c r="P10" s="163">
        <f t="shared" si="12"/>
        <v>0.76000016518281921</v>
      </c>
      <c r="Q10" s="163">
        <v>1</v>
      </c>
      <c r="R10" s="163">
        <f t="shared" si="13"/>
        <v>0.41333327827239358</v>
      </c>
      <c r="S10" s="163">
        <f t="shared" si="13"/>
        <v>0.25333338839427305</v>
      </c>
      <c r="T10" s="163">
        <f t="shared" si="13"/>
        <v>0.33333333333333331</v>
      </c>
      <c r="U10" s="163">
        <f t="shared" si="14"/>
        <v>49.971993343132382</v>
      </c>
      <c r="V10" s="163">
        <f t="shared" si="15"/>
        <v>54.606011868385558</v>
      </c>
      <c r="W10" s="163">
        <f t="shared" si="16"/>
        <v>60.08</v>
      </c>
      <c r="X10" s="163">
        <f t="shared" si="17"/>
        <v>164.65800521151795</v>
      </c>
      <c r="Y10" s="163">
        <f t="shared" si="5"/>
        <v>100</v>
      </c>
      <c r="Z10" s="163">
        <f t="shared" si="6"/>
        <v>0.6199999174085904</v>
      </c>
      <c r="AB10" s="163">
        <v>0.98</v>
      </c>
      <c r="AC10" s="163">
        <f t="shared" si="18"/>
        <v>19.350000000000001</v>
      </c>
      <c r="AD10" s="163">
        <f t="shared" ref="AD10:AD34" si="21">EXP(3.4719-0.85732*LN(AC9))</f>
        <v>2.5393916257873497</v>
      </c>
      <c r="AE10" s="163">
        <f t="shared" si="19"/>
        <v>18.772049290467731</v>
      </c>
      <c r="AG10" s="163">
        <f t="shared" ref="AG10:AG34" si="22">AI9</f>
        <v>19.052932307433192</v>
      </c>
      <c r="AH10" s="163">
        <f t="shared" ref="AH10:AH34" si="23">EXP(3.4719-0.85732*LN(AG9))</f>
        <v>2.5393916257873497</v>
      </c>
      <c r="AI10" s="163">
        <f t="shared" si="20"/>
        <v>18.757478777311732</v>
      </c>
    </row>
    <row r="11" spans="1:35" s="166" customFormat="1">
      <c r="A11" s="166">
        <v>2.3333321756995207</v>
      </c>
      <c r="B11" s="167">
        <f t="shared" si="0"/>
        <v>0.6999996527098562</v>
      </c>
      <c r="C11" s="167">
        <f t="shared" si="7"/>
        <v>41.176458571272853</v>
      </c>
      <c r="D11" s="167">
        <f t="shared" si="8"/>
        <v>69.99998958129207</v>
      </c>
      <c r="F11" s="167">
        <f t="shared" si="1"/>
        <v>0.39262332643294651</v>
      </c>
      <c r="G11" s="168">
        <f t="shared" si="9"/>
        <v>3.1409866114635721</v>
      </c>
      <c r="J11" s="166">
        <f t="shared" si="2"/>
        <v>37.641750219506477</v>
      </c>
      <c r="K11" s="166">
        <f t="shared" si="3"/>
        <v>35.348655647283017</v>
      </c>
      <c r="L11" s="166">
        <f t="shared" si="4"/>
        <v>27.009594133210499</v>
      </c>
      <c r="N11" s="166">
        <f t="shared" si="10"/>
        <v>0.42857164119815272</v>
      </c>
      <c r="O11" s="166">
        <f t="shared" si="11"/>
        <v>1.3999997916258415</v>
      </c>
      <c r="P11" s="166">
        <f t="shared" si="12"/>
        <v>0.60000020837415846</v>
      </c>
      <c r="Q11" s="166">
        <v>1</v>
      </c>
      <c r="R11" s="166">
        <f t="shared" si="13"/>
        <v>0.46666659720861386</v>
      </c>
      <c r="S11" s="166">
        <f t="shared" si="13"/>
        <v>0.20000006945805282</v>
      </c>
      <c r="T11" s="166">
        <f t="shared" si="13"/>
        <v>0.33333333333333331</v>
      </c>
      <c r="U11" s="166">
        <f t="shared" si="14"/>
        <v>56.419991602521407</v>
      </c>
      <c r="V11" s="166">
        <f t="shared" si="15"/>
        <v>43.110014971683285</v>
      </c>
      <c r="W11" s="166">
        <f t="shared" si="16"/>
        <v>60.08</v>
      </c>
      <c r="X11" s="166">
        <f t="shared" si="17"/>
        <v>159.6100065742047</v>
      </c>
      <c r="Y11" s="166">
        <f t="shared" si="5"/>
        <v>100</v>
      </c>
      <c r="Z11" s="166">
        <f t="shared" si="6"/>
        <v>0.69999989581292077</v>
      </c>
      <c r="AB11" s="166">
        <v>0.97</v>
      </c>
      <c r="AC11" s="166">
        <f t="shared" si="18"/>
        <v>19.350000000000001</v>
      </c>
      <c r="AD11" s="166">
        <f t="shared" si="21"/>
        <v>2.5393916257873497</v>
      </c>
      <c r="AE11" s="166">
        <f t="shared" si="19"/>
        <v>18.495830215622583</v>
      </c>
      <c r="AG11" s="166">
        <f t="shared" si="22"/>
        <v>18.757478777311732</v>
      </c>
      <c r="AH11" s="166">
        <f t="shared" si="23"/>
        <v>2.5732983430756011</v>
      </c>
      <c r="AI11" s="166">
        <f t="shared" si="20"/>
        <v>18.444588086433875</v>
      </c>
    </row>
    <row r="12" spans="1:35">
      <c r="A12" s="154">
        <v>2.5</v>
      </c>
      <c r="B12" s="145">
        <f t="shared" si="0"/>
        <v>0.75</v>
      </c>
      <c r="C12" s="145">
        <f t="shared" si="7"/>
        <v>42.857142857142854</v>
      </c>
      <c r="D12" s="146">
        <f t="shared" si="8"/>
        <v>71.428571428571431</v>
      </c>
      <c r="F12" s="145">
        <f t="shared" si="1"/>
        <v>0.42066805845511479</v>
      </c>
      <c r="G12" s="151">
        <f t="shared" si="9"/>
        <v>3.3653444676409183</v>
      </c>
      <c r="J12" s="132">
        <f t="shared" si="2"/>
        <v>37.855548354576221</v>
      </c>
      <c r="K12" s="132">
        <f t="shared" si="3"/>
        <v>36.274933390941172</v>
      </c>
      <c r="L12" s="132">
        <f t="shared" si="4"/>
        <v>25.86951825448261</v>
      </c>
      <c r="N12">
        <f t="shared" si="10"/>
        <v>0.4</v>
      </c>
      <c r="O12">
        <f t="shared" si="11"/>
        <v>1.4285714285714286</v>
      </c>
      <c r="P12">
        <f t="shared" si="12"/>
        <v>0.5714285714285714</v>
      </c>
      <c r="Q12">
        <v>1</v>
      </c>
      <c r="R12">
        <f t="shared" si="13"/>
        <v>0.47619047619047622</v>
      </c>
      <c r="S12">
        <f t="shared" si="13"/>
        <v>0.19047619047619047</v>
      </c>
      <c r="T12">
        <f t="shared" si="13"/>
        <v>0.33333333333333331</v>
      </c>
      <c r="U12">
        <f t="shared" si="14"/>
        <v>57.571428571428569</v>
      </c>
      <c r="V12">
        <f t="shared" si="15"/>
        <v>41.05714285714285</v>
      </c>
      <c r="W12">
        <f t="shared" si="16"/>
        <v>60.08</v>
      </c>
      <c r="X12">
        <f t="shared" si="17"/>
        <v>158.70857142857142</v>
      </c>
      <c r="Y12">
        <f t="shared" si="5"/>
        <v>100</v>
      </c>
      <c r="Z12">
        <f t="shared" si="6"/>
        <v>0.7142857142857143</v>
      </c>
      <c r="AB12">
        <v>0.96</v>
      </c>
      <c r="AC12">
        <f t="shared" si="18"/>
        <v>19.350000000000001</v>
      </c>
      <c r="AD12">
        <f t="shared" si="21"/>
        <v>2.5393916257873497</v>
      </c>
      <c r="AE12">
        <f t="shared" si="19"/>
        <v>18.227622050309471</v>
      </c>
      <c r="AG12">
        <f t="shared" si="22"/>
        <v>18.444588086433875</v>
      </c>
      <c r="AH12">
        <f t="shared" si="23"/>
        <v>2.6080089680781375</v>
      </c>
      <c r="AI12">
        <f t="shared" si="20"/>
        <v>18.120615829129815</v>
      </c>
    </row>
    <row r="13" spans="1:35">
      <c r="A13" s="154">
        <v>3</v>
      </c>
      <c r="B13" s="145">
        <f t="shared" si="0"/>
        <v>0.89999999999999991</v>
      </c>
      <c r="C13" s="145">
        <f t="shared" si="7"/>
        <v>47.368421052631575</v>
      </c>
      <c r="D13" s="146">
        <f t="shared" si="8"/>
        <v>75</v>
      </c>
      <c r="F13" s="145">
        <f t="shared" si="1"/>
        <v>0.50480167014613775</v>
      </c>
      <c r="G13" s="151">
        <f t="shared" si="9"/>
        <v>4.038413361169102</v>
      </c>
      <c r="J13" s="132">
        <f t="shared" si="2"/>
        <v>38.400818126617878</v>
      </c>
      <c r="K13" s="132">
        <f t="shared" si="3"/>
        <v>38.637307852098054</v>
      </c>
      <c r="L13" s="132">
        <f t="shared" si="4"/>
        <v>22.961874021284075</v>
      </c>
      <c r="N13">
        <f t="shared" si="10"/>
        <v>0.33333333333333331</v>
      </c>
      <c r="O13">
        <f t="shared" si="11"/>
        <v>1.5</v>
      </c>
      <c r="P13">
        <f t="shared" si="12"/>
        <v>0.5</v>
      </c>
      <c r="Q13">
        <v>1</v>
      </c>
      <c r="R13">
        <f t="shared" si="13"/>
        <v>0.5</v>
      </c>
      <c r="S13">
        <f t="shared" si="13"/>
        <v>0.16666666666666666</v>
      </c>
      <c r="T13">
        <f t="shared" si="13"/>
        <v>0.33333333333333331</v>
      </c>
      <c r="U13">
        <f t="shared" si="14"/>
        <v>60.449999999999996</v>
      </c>
      <c r="V13">
        <f t="shared" si="15"/>
        <v>35.924999999999997</v>
      </c>
      <c r="W13">
        <f t="shared" si="16"/>
        <v>60.08</v>
      </c>
      <c r="X13">
        <f t="shared" si="17"/>
        <v>156.45499999999998</v>
      </c>
      <c r="Y13">
        <f t="shared" si="5"/>
        <v>100</v>
      </c>
      <c r="Z13">
        <f t="shared" si="6"/>
        <v>0.75000000000000011</v>
      </c>
      <c r="AB13">
        <v>0.95</v>
      </c>
      <c r="AC13">
        <f t="shared" si="18"/>
        <v>19.350000000000001</v>
      </c>
      <c r="AD13">
        <f t="shared" si="21"/>
        <v>2.5393916257873497</v>
      </c>
      <c r="AE13">
        <f t="shared" si="19"/>
        <v>17.967081277108893</v>
      </c>
      <c r="AG13">
        <f t="shared" si="22"/>
        <v>18.120615829129815</v>
      </c>
      <c r="AH13">
        <f t="shared" si="23"/>
        <v>2.6458927375903838</v>
      </c>
      <c r="AI13">
        <f t="shared" si="20"/>
        <v>17.783466169578023</v>
      </c>
    </row>
    <row r="14" spans="1:35">
      <c r="A14" s="154">
        <v>3.5</v>
      </c>
      <c r="B14" s="145">
        <f t="shared" si="0"/>
        <v>1.05</v>
      </c>
      <c r="C14" s="145">
        <f t="shared" si="7"/>
        <v>51.219512195121958</v>
      </c>
      <c r="D14" s="146">
        <f t="shared" si="8"/>
        <v>77.777777777777771</v>
      </c>
      <c r="F14" s="145">
        <f t="shared" si="1"/>
        <v>0.58893528183716082</v>
      </c>
      <c r="G14" s="151">
        <f t="shared" si="9"/>
        <v>4.7114822546972865</v>
      </c>
      <c r="J14" s="132">
        <f t="shared" si="2"/>
        <v>38.835899793151007</v>
      </c>
      <c r="K14" s="132">
        <f t="shared" si="3"/>
        <v>40.52229372558034</v>
      </c>
      <c r="L14" s="132">
        <f t="shared" si="4"/>
        <v>20.641806481268663</v>
      </c>
      <c r="N14">
        <f t="shared" si="10"/>
        <v>0.2857142857142857</v>
      </c>
      <c r="O14">
        <f t="shared" si="11"/>
        <v>1.5555555555555558</v>
      </c>
      <c r="P14">
        <f t="shared" si="12"/>
        <v>0.4444444444444442</v>
      </c>
      <c r="Q14">
        <v>1</v>
      </c>
      <c r="R14">
        <f t="shared" si="13"/>
        <v>0.5185185185185186</v>
      </c>
      <c r="S14">
        <f t="shared" si="13"/>
        <v>0.14814814814814806</v>
      </c>
      <c r="T14">
        <f t="shared" si="13"/>
        <v>0.33333333333333331</v>
      </c>
      <c r="U14">
        <f t="shared" si="14"/>
        <v>62.688888888888897</v>
      </c>
      <c r="V14">
        <f t="shared" si="15"/>
        <v>31.933333333333312</v>
      </c>
      <c r="W14">
        <f t="shared" si="16"/>
        <v>60.08</v>
      </c>
      <c r="X14">
        <f t="shared" si="17"/>
        <v>154.70222222222219</v>
      </c>
      <c r="Y14">
        <f t="shared" si="5"/>
        <v>100.00000000000001</v>
      </c>
      <c r="Z14">
        <f t="shared" si="6"/>
        <v>0.7777777777777779</v>
      </c>
      <c r="AB14">
        <v>0.94</v>
      </c>
      <c r="AC14">
        <f t="shared" si="18"/>
        <v>19.350000000000001</v>
      </c>
      <c r="AD14">
        <f t="shared" si="21"/>
        <v>2.5393916257873497</v>
      </c>
      <c r="AE14">
        <f t="shared" si="19"/>
        <v>17.713883742406157</v>
      </c>
      <c r="AG14">
        <f t="shared" si="22"/>
        <v>17.783466169578023</v>
      </c>
      <c r="AH14">
        <f t="shared" si="23"/>
        <v>2.6863968872712145</v>
      </c>
      <c r="AI14">
        <f t="shared" si="20"/>
        <v>17.432668244204098</v>
      </c>
    </row>
    <row r="15" spans="1:35" s="166" customFormat="1">
      <c r="A15" s="166">
        <v>4</v>
      </c>
      <c r="B15" s="167">
        <f t="shared" si="0"/>
        <v>1.2</v>
      </c>
      <c r="C15" s="167">
        <f t="shared" si="7"/>
        <v>54.54545454545454</v>
      </c>
      <c r="D15" s="167">
        <f t="shared" si="8"/>
        <v>80</v>
      </c>
      <c r="F15" s="167">
        <f t="shared" si="1"/>
        <v>0.67306889352818366</v>
      </c>
      <c r="G15" s="168">
        <f t="shared" si="9"/>
        <v>5.3845511482254693</v>
      </c>
      <c r="J15" s="166">
        <f t="shared" si="2"/>
        <v>39.191128506196996</v>
      </c>
      <c r="K15" s="166">
        <f t="shared" si="3"/>
        <v>42.06131767775603</v>
      </c>
      <c r="L15" s="166">
        <f t="shared" si="4"/>
        <v>18.74755381604696</v>
      </c>
      <c r="N15" s="166">
        <f t="shared" si="10"/>
        <v>0.25</v>
      </c>
      <c r="O15" s="166">
        <f t="shared" si="11"/>
        <v>1.6</v>
      </c>
      <c r="P15" s="166">
        <f t="shared" si="12"/>
        <v>0.39999999999999991</v>
      </c>
      <c r="Q15" s="166">
        <v>1</v>
      </c>
      <c r="R15" s="166">
        <f t="shared" si="13"/>
        <v>0.53333333333333333</v>
      </c>
      <c r="S15" s="166">
        <f t="shared" si="13"/>
        <v>0.1333333333333333</v>
      </c>
      <c r="T15" s="166">
        <f t="shared" si="13"/>
        <v>0.33333333333333331</v>
      </c>
      <c r="U15" s="166">
        <f t="shared" si="14"/>
        <v>64.48</v>
      </c>
      <c r="V15" s="166">
        <f t="shared" si="15"/>
        <v>28.739999999999991</v>
      </c>
      <c r="W15" s="166">
        <f t="shared" si="16"/>
        <v>60.08</v>
      </c>
      <c r="X15" s="166">
        <f t="shared" si="17"/>
        <v>153.30000000000001</v>
      </c>
      <c r="Y15" s="166">
        <f t="shared" si="5"/>
        <v>99.999999999999986</v>
      </c>
      <c r="Z15" s="166">
        <f t="shared" si="6"/>
        <v>0.8</v>
      </c>
      <c r="AB15" s="166">
        <v>0.93</v>
      </c>
      <c r="AC15" s="166">
        <f t="shared" si="18"/>
        <v>19.350000000000001</v>
      </c>
      <c r="AD15" s="166">
        <f t="shared" si="21"/>
        <v>2.5393916257873497</v>
      </c>
      <c r="AE15" s="166">
        <f t="shared" si="19"/>
        <v>17.467723310948841</v>
      </c>
      <c r="AG15" s="166">
        <f t="shared" si="22"/>
        <v>17.432668244204098</v>
      </c>
      <c r="AH15" s="166">
        <f t="shared" si="23"/>
        <v>2.7300018444384073</v>
      </c>
      <c r="AI15" s="166">
        <f t="shared" si="20"/>
        <v>17.06696949417676</v>
      </c>
    </row>
    <row r="16" spans="1:35">
      <c r="A16" s="154">
        <v>4.5</v>
      </c>
      <c r="B16" s="145">
        <f t="shared" si="0"/>
        <v>1.3499999999999999</v>
      </c>
      <c r="C16" s="145">
        <f t="shared" si="7"/>
        <v>57.446808510638306</v>
      </c>
      <c r="D16" s="146">
        <f t="shared" si="8"/>
        <v>81.818181818181813</v>
      </c>
      <c r="F16" s="145">
        <f t="shared" si="1"/>
        <v>0.75720250521920662</v>
      </c>
      <c r="G16" s="151">
        <f t="shared" si="9"/>
        <v>6.057620041753653</v>
      </c>
      <c r="J16" s="132">
        <f t="shared" si="2"/>
        <v>39.486640217962822</v>
      </c>
      <c r="K16" s="132">
        <f t="shared" si="3"/>
        <v>43.34161846948043</v>
      </c>
      <c r="L16" s="132">
        <f t="shared" si="4"/>
        <v>17.171741312556769</v>
      </c>
      <c r="N16">
        <f t="shared" si="10"/>
        <v>0.22222222222222221</v>
      </c>
      <c r="O16">
        <f t="shared" si="11"/>
        <v>1.6363636363636362</v>
      </c>
      <c r="P16">
        <f t="shared" si="12"/>
        <v>0.36363636363636376</v>
      </c>
      <c r="Q16">
        <v>1</v>
      </c>
      <c r="R16">
        <f t="shared" si="13"/>
        <v>0.54545454545454541</v>
      </c>
      <c r="S16">
        <f t="shared" si="13"/>
        <v>0.12121212121212126</v>
      </c>
      <c r="T16">
        <f t="shared" si="13"/>
        <v>0.33333333333333331</v>
      </c>
      <c r="U16">
        <f t="shared" si="14"/>
        <v>65.945454545454538</v>
      </c>
      <c r="V16">
        <f t="shared" si="15"/>
        <v>26.127272727272732</v>
      </c>
      <c r="W16">
        <f t="shared" si="16"/>
        <v>60.08</v>
      </c>
      <c r="X16">
        <f t="shared" si="17"/>
        <v>152.15272727272725</v>
      </c>
      <c r="Y16">
        <f t="shared" si="5"/>
        <v>100.00000000000003</v>
      </c>
      <c r="Z16">
        <f t="shared" si="6"/>
        <v>0.81818181818181812</v>
      </c>
      <c r="AB16">
        <v>0.92</v>
      </c>
      <c r="AC16">
        <f t="shared" si="18"/>
        <v>19.350000000000001</v>
      </c>
      <c r="AD16">
        <f t="shared" si="21"/>
        <v>2.5393916257873497</v>
      </c>
      <c r="AE16">
        <f t="shared" si="19"/>
        <v>17.228310631048114</v>
      </c>
      <c r="AG16">
        <f t="shared" si="22"/>
        <v>17.06696949417676</v>
      </c>
      <c r="AH16">
        <f t="shared" si="23"/>
        <v>2.7770323741733844</v>
      </c>
      <c r="AI16">
        <f t="shared" si="20"/>
        <v>16.685175006163629</v>
      </c>
    </row>
    <row r="17" spans="1:35">
      <c r="A17" s="154">
        <v>5</v>
      </c>
      <c r="B17" s="145">
        <f t="shared" si="0"/>
        <v>1.5</v>
      </c>
      <c r="C17" s="145">
        <f t="shared" si="7"/>
        <v>60</v>
      </c>
      <c r="D17" s="146">
        <f t="shared" si="8"/>
        <v>83.333333333333329</v>
      </c>
      <c r="F17" s="145">
        <f t="shared" si="1"/>
        <v>0.84133611691022958</v>
      </c>
      <c r="G17" s="151">
        <f t="shared" si="9"/>
        <v>6.7306889352818366</v>
      </c>
      <c r="J17" s="132">
        <f t="shared" si="2"/>
        <v>39.736325756740669</v>
      </c>
      <c r="K17" s="132">
        <f t="shared" si="3"/>
        <v>44.42337794043079</v>
      </c>
      <c r="L17" s="132">
        <f t="shared" si="4"/>
        <v>15.840296302828541</v>
      </c>
      <c r="N17">
        <f t="shared" si="10"/>
        <v>0.2</v>
      </c>
      <c r="O17">
        <f t="shared" si="11"/>
        <v>1.6666666666666667</v>
      </c>
      <c r="P17">
        <f t="shared" si="12"/>
        <v>0.33333333333333326</v>
      </c>
      <c r="Q17">
        <v>1</v>
      </c>
      <c r="R17">
        <f t="shared" si="13"/>
        <v>0.55555555555555558</v>
      </c>
      <c r="S17">
        <f t="shared" si="13"/>
        <v>0.11111111111111109</v>
      </c>
      <c r="T17">
        <f t="shared" si="13"/>
        <v>0.33333333333333331</v>
      </c>
      <c r="U17">
        <f t="shared" si="14"/>
        <v>67.166666666666671</v>
      </c>
      <c r="V17">
        <f t="shared" si="15"/>
        <v>23.949999999999992</v>
      </c>
      <c r="W17">
        <f t="shared" si="16"/>
        <v>60.08</v>
      </c>
      <c r="X17">
        <f t="shared" si="17"/>
        <v>151.19666666666666</v>
      </c>
      <c r="Y17">
        <f t="shared" si="5"/>
        <v>100</v>
      </c>
      <c r="Z17">
        <f t="shared" si="6"/>
        <v>0.83333333333333348</v>
      </c>
      <c r="AB17">
        <v>0.91</v>
      </c>
      <c r="AC17">
        <f t="shared" si="18"/>
        <v>19.350000000000001</v>
      </c>
      <c r="AD17">
        <f t="shared" si="21"/>
        <v>2.5393916257873497</v>
      </c>
      <c r="AE17">
        <f t="shared" si="19"/>
        <v>16.995371999951985</v>
      </c>
      <c r="AG17">
        <f t="shared" si="22"/>
        <v>16.685175006163629</v>
      </c>
      <c r="AH17">
        <f t="shared" si="23"/>
        <v>2.827969208038954</v>
      </c>
      <c r="AI17">
        <f t="shared" si="20"/>
        <v>16.285829948472163</v>
      </c>
    </row>
    <row r="18" spans="1:35">
      <c r="A18" s="154">
        <v>5.5</v>
      </c>
      <c r="B18" s="145">
        <f t="shared" si="0"/>
        <v>1.65</v>
      </c>
      <c r="C18" s="145">
        <f t="shared" si="7"/>
        <v>62.264150943396231</v>
      </c>
      <c r="D18" s="146">
        <f t="shared" si="8"/>
        <v>84.615384615384613</v>
      </c>
      <c r="F18" s="145">
        <f t="shared" si="1"/>
        <v>0.92546972860125254</v>
      </c>
      <c r="G18" s="151">
        <f t="shared" si="9"/>
        <v>7.4037578288100203</v>
      </c>
      <c r="J18" s="132">
        <f t="shared" si="2"/>
        <v>39.950077747769868</v>
      </c>
      <c r="K18" s="132">
        <f t="shared" si="3"/>
        <v>45.349455765610927</v>
      </c>
      <c r="L18" s="132">
        <f t="shared" si="4"/>
        <v>14.700466486619201</v>
      </c>
      <c r="N18">
        <f t="shared" si="10"/>
        <v>0.18181818181818182</v>
      </c>
      <c r="O18">
        <f t="shared" si="11"/>
        <v>1.6923076923076923</v>
      </c>
      <c r="P18">
        <f t="shared" si="12"/>
        <v>0.30769230769230771</v>
      </c>
      <c r="Q18">
        <v>1</v>
      </c>
      <c r="R18">
        <f t="shared" si="13"/>
        <v>0.5641025641025641</v>
      </c>
      <c r="S18">
        <f t="shared" si="13"/>
        <v>0.10256410256410257</v>
      </c>
      <c r="T18">
        <f t="shared" si="13"/>
        <v>0.33333333333333331</v>
      </c>
      <c r="U18">
        <f t="shared" si="14"/>
        <v>68.199999999999989</v>
      </c>
      <c r="V18">
        <f t="shared" si="15"/>
        <v>22.107692307692307</v>
      </c>
      <c r="W18">
        <f t="shared" si="16"/>
        <v>60.08</v>
      </c>
      <c r="X18">
        <f t="shared" si="17"/>
        <v>150.3876923076923</v>
      </c>
      <c r="Y18">
        <f t="shared" si="5"/>
        <v>100</v>
      </c>
      <c r="Z18">
        <f t="shared" si="6"/>
        <v>0.84615384615384615</v>
      </c>
      <c r="AB18">
        <v>0.9</v>
      </c>
      <c r="AC18">
        <f t="shared" si="18"/>
        <v>19.350000000000001</v>
      </c>
      <c r="AD18">
        <f t="shared" si="21"/>
        <v>2.5393916257873497</v>
      </c>
      <c r="AE18">
        <f t="shared" si="19"/>
        <v>16.768648320036302</v>
      </c>
      <c r="AG18">
        <f t="shared" si="22"/>
        <v>16.285829948472163</v>
      </c>
      <c r="AH18">
        <f t="shared" si="23"/>
        <v>2.8833568789940967</v>
      </c>
      <c r="AI18">
        <f t="shared" si="20"/>
        <v>15.867309199835095</v>
      </c>
    </row>
    <row r="19" spans="1:35">
      <c r="A19" s="154">
        <v>6</v>
      </c>
      <c r="B19" s="145">
        <f t="shared" si="0"/>
        <v>1.7999999999999998</v>
      </c>
      <c r="C19" s="145">
        <f t="shared" si="7"/>
        <v>64.285714285714278</v>
      </c>
      <c r="D19" s="146">
        <f t="shared" si="8"/>
        <v>85.714285714285708</v>
      </c>
      <c r="F19" s="145">
        <f t="shared" si="1"/>
        <v>1.0096033402922755</v>
      </c>
      <c r="G19" s="151">
        <f t="shared" si="9"/>
        <v>8.076826722338204</v>
      </c>
      <c r="J19" s="132">
        <f t="shared" si="2"/>
        <v>40.135132555875792</v>
      </c>
      <c r="K19" s="132">
        <f t="shared" si="3"/>
        <v>46.151203405035027</v>
      </c>
      <c r="L19" s="132">
        <f t="shared" si="4"/>
        <v>13.713664039089196</v>
      </c>
      <c r="N19">
        <f t="shared" si="10"/>
        <v>0.16666666666666666</v>
      </c>
      <c r="O19">
        <f t="shared" si="11"/>
        <v>1.7142857142857142</v>
      </c>
      <c r="P19">
        <f t="shared" si="12"/>
        <v>0.28571428571428581</v>
      </c>
      <c r="Q19">
        <v>1</v>
      </c>
      <c r="R19">
        <f t="shared" si="13"/>
        <v>0.5714285714285714</v>
      </c>
      <c r="S19">
        <f t="shared" si="13"/>
        <v>9.5238095238095274E-2</v>
      </c>
      <c r="T19">
        <f t="shared" si="13"/>
        <v>0.33333333333333331</v>
      </c>
      <c r="U19">
        <f t="shared" si="14"/>
        <v>69.085714285714275</v>
      </c>
      <c r="V19">
        <f t="shared" si="15"/>
        <v>20.528571428571432</v>
      </c>
      <c r="W19">
        <f t="shared" si="16"/>
        <v>60.08</v>
      </c>
      <c r="X19">
        <f t="shared" si="17"/>
        <v>149.69428571428568</v>
      </c>
      <c r="Y19">
        <f t="shared" si="5"/>
        <v>100.00000000000001</v>
      </c>
      <c r="Z19">
        <f t="shared" si="6"/>
        <v>0.8571428571428571</v>
      </c>
      <c r="AB19">
        <v>0.89</v>
      </c>
      <c r="AC19">
        <f t="shared" si="18"/>
        <v>19.350000000000001</v>
      </c>
      <c r="AD19">
        <f t="shared" si="21"/>
        <v>2.5393916257873497</v>
      </c>
      <c r="AE19">
        <f t="shared" si="19"/>
        <v>16.547894137444295</v>
      </c>
      <c r="AG19">
        <f t="shared" si="22"/>
        <v>15.867309199835095</v>
      </c>
      <c r="AH19">
        <f t="shared" si="23"/>
        <v>2.9438667740428937</v>
      </c>
      <c r="AI19">
        <f t="shared" si="20"/>
        <v>15.427724854216603</v>
      </c>
    </row>
    <row r="20" spans="1:35">
      <c r="A20" s="154">
        <v>6.5</v>
      </c>
      <c r="B20" s="145">
        <f t="shared" si="0"/>
        <v>1.95</v>
      </c>
      <c r="C20" s="145">
        <f t="shared" si="7"/>
        <v>66.101694915254228</v>
      </c>
      <c r="D20" s="146">
        <f t="shared" si="8"/>
        <v>86.666666666666671</v>
      </c>
      <c r="F20" s="145">
        <f t="shared" si="1"/>
        <v>1.0937369519832985</v>
      </c>
      <c r="G20" s="151">
        <f t="shared" si="9"/>
        <v>8.7498956158663876</v>
      </c>
      <c r="J20" s="132">
        <f t="shared" si="2"/>
        <v>40.296905741370068</v>
      </c>
      <c r="K20" s="132">
        <f t="shared" si="3"/>
        <v>46.852083705955998</v>
      </c>
      <c r="L20" s="132">
        <f t="shared" si="4"/>
        <v>12.851010552673937</v>
      </c>
      <c r="N20">
        <f t="shared" si="10"/>
        <v>0.15384615384615385</v>
      </c>
      <c r="O20">
        <f t="shared" si="11"/>
        <v>1.7333333333333334</v>
      </c>
      <c r="P20">
        <f t="shared" si="12"/>
        <v>0.26666666666666661</v>
      </c>
      <c r="Q20">
        <v>1</v>
      </c>
      <c r="R20">
        <f t="shared" si="13"/>
        <v>0.57777777777777783</v>
      </c>
      <c r="S20">
        <f t="shared" si="13"/>
        <v>8.8888888888888865E-2</v>
      </c>
      <c r="T20">
        <f t="shared" si="13"/>
        <v>0.33333333333333331</v>
      </c>
      <c r="U20">
        <f t="shared" si="14"/>
        <v>69.853333333333325</v>
      </c>
      <c r="V20">
        <f t="shared" si="15"/>
        <v>19.159999999999993</v>
      </c>
      <c r="W20">
        <f t="shared" si="16"/>
        <v>60.08</v>
      </c>
      <c r="X20">
        <f t="shared" si="17"/>
        <v>149.09333333333331</v>
      </c>
      <c r="Y20">
        <f t="shared" si="5"/>
        <v>100.00000000000001</v>
      </c>
      <c r="Z20">
        <f t="shared" si="6"/>
        <v>0.8666666666666667</v>
      </c>
      <c r="AB20">
        <v>0.88</v>
      </c>
      <c r="AC20">
        <f t="shared" si="18"/>
        <v>19.350000000000001</v>
      </c>
      <c r="AD20">
        <f t="shared" si="21"/>
        <v>2.5393916257873497</v>
      </c>
      <c r="AE20">
        <f t="shared" si="19"/>
        <v>16.332876755675546</v>
      </c>
      <c r="AG20">
        <f t="shared" si="22"/>
        <v>15.427724854216603</v>
      </c>
      <c r="AH20">
        <f t="shared" si="23"/>
        <v>3.0103121789235541</v>
      </c>
      <c r="AI20">
        <f t="shared" si="20"/>
        <v>14.964899653306333</v>
      </c>
    </row>
    <row r="21" spans="1:35">
      <c r="A21" s="154">
        <v>7</v>
      </c>
      <c r="B21" s="145">
        <f t="shared" si="0"/>
        <v>2.1</v>
      </c>
      <c r="C21" s="145">
        <f t="shared" si="7"/>
        <v>67.741935483870961</v>
      </c>
      <c r="D21" s="146">
        <f t="shared" si="8"/>
        <v>87.5</v>
      </c>
      <c r="F21" s="145">
        <f t="shared" si="1"/>
        <v>1.1778705636743216</v>
      </c>
      <c r="G21" s="151">
        <f t="shared" si="9"/>
        <v>9.4229645093945731</v>
      </c>
      <c r="J21" s="132">
        <f t="shared" si="2"/>
        <v>40.439530852979289</v>
      </c>
      <c r="K21" s="132">
        <f t="shared" si="3"/>
        <v>47.470005216484083</v>
      </c>
      <c r="L21" s="132">
        <f t="shared" si="4"/>
        <v>12.090463930536623</v>
      </c>
      <c r="N21">
        <f t="shared" si="10"/>
        <v>0.14285714285714285</v>
      </c>
      <c r="O21">
        <f t="shared" si="11"/>
        <v>1.75</v>
      </c>
      <c r="P21">
        <f t="shared" si="12"/>
        <v>0.25</v>
      </c>
      <c r="Q21">
        <v>1</v>
      </c>
      <c r="R21">
        <f t="shared" si="13"/>
        <v>0.58333333333333337</v>
      </c>
      <c r="S21">
        <f t="shared" si="13"/>
        <v>8.3333333333333329E-2</v>
      </c>
      <c r="T21">
        <f t="shared" si="13"/>
        <v>0.33333333333333331</v>
      </c>
      <c r="U21">
        <f t="shared" si="14"/>
        <v>70.524999999999991</v>
      </c>
      <c r="V21">
        <f t="shared" si="15"/>
        <v>17.962499999999999</v>
      </c>
      <c r="W21">
        <f t="shared" si="16"/>
        <v>60.08</v>
      </c>
      <c r="X21">
        <f t="shared" si="17"/>
        <v>148.5675</v>
      </c>
      <c r="Y21">
        <f t="shared" si="5"/>
        <v>100</v>
      </c>
      <c r="Z21">
        <f t="shared" si="6"/>
        <v>0.875</v>
      </c>
      <c r="AB21">
        <v>0.87</v>
      </c>
      <c r="AC21">
        <f t="shared" si="18"/>
        <v>19.350000000000001</v>
      </c>
      <c r="AD21">
        <f t="shared" si="21"/>
        <v>2.5393916257873497</v>
      </c>
      <c r="AE21">
        <f t="shared" si="19"/>
        <v>16.12337541739479</v>
      </c>
      <c r="AG21">
        <f t="shared" si="22"/>
        <v>14.964899653306333</v>
      </c>
      <c r="AH21">
        <f t="shared" si="23"/>
        <v>3.0836994250882648</v>
      </c>
      <c r="AI21">
        <f t="shared" si="20"/>
        <v>14.476289872278471</v>
      </c>
    </row>
    <row r="22" spans="1:35">
      <c r="A22" s="154">
        <v>7.5</v>
      </c>
      <c r="B22" s="145">
        <f t="shared" si="0"/>
        <v>2.25</v>
      </c>
      <c r="C22" s="145">
        <f t="shared" si="7"/>
        <v>69.230769230769226</v>
      </c>
      <c r="D22" s="146">
        <f t="shared" si="8"/>
        <v>88.235294117647058</v>
      </c>
      <c r="F22" s="145">
        <f t="shared" si="1"/>
        <v>1.2620041753653444</v>
      </c>
      <c r="G22" s="151">
        <f t="shared" si="9"/>
        <v>10.096033402922755</v>
      </c>
      <c r="J22" s="132">
        <f t="shared" si="2"/>
        <v>40.566217590238942</v>
      </c>
      <c r="K22" s="132">
        <f t="shared" si="3"/>
        <v>48.018873919674633</v>
      </c>
      <c r="L22" s="132">
        <f t="shared" si="4"/>
        <v>11.414908490086429</v>
      </c>
      <c r="N22">
        <f t="shared" si="10"/>
        <v>0.13333333333333333</v>
      </c>
      <c r="O22">
        <f t="shared" si="11"/>
        <v>1.7647058823529411</v>
      </c>
      <c r="P22">
        <f t="shared" si="12"/>
        <v>0.23529411764705888</v>
      </c>
      <c r="Q22">
        <v>1</v>
      </c>
      <c r="R22">
        <f t="shared" si="13"/>
        <v>0.58823529411764708</v>
      </c>
      <c r="S22">
        <f t="shared" si="13"/>
        <v>7.8431372549019621E-2</v>
      </c>
      <c r="T22">
        <f t="shared" si="13"/>
        <v>0.33333333333333331</v>
      </c>
      <c r="U22">
        <f t="shared" si="14"/>
        <v>71.117647058823522</v>
      </c>
      <c r="V22">
        <f t="shared" si="15"/>
        <v>16.90588235294118</v>
      </c>
      <c r="W22">
        <f t="shared" si="16"/>
        <v>60.08</v>
      </c>
      <c r="X22">
        <f t="shared" si="17"/>
        <v>148.1035294117647</v>
      </c>
      <c r="Y22">
        <f t="shared" si="5"/>
        <v>100.00000000000001</v>
      </c>
      <c r="Z22">
        <f t="shared" si="6"/>
        <v>0.88235294117647067</v>
      </c>
      <c r="AB22">
        <v>0.86</v>
      </c>
      <c r="AC22">
        <f t="shared" si="18"/>
        <v>19.350000000000001</v>
      </c>
      <c r="AD22">
        <f t="shared" si="21"/>
        <v>2.5393916257873497</v>
      </c>
      <c r="AE22">
        <f t="shared" si="19"/>
        <v>15.919180548412722</v>
      </c>
      <c r="AG22">
        <f t="shared" si="22"/>
        <v>14.476289872278471</v>
      </c>
      <c r="AH22">
        <f t="shared" si="23"/>
        <v>3.1652843737671956</v>
      </c>
      <c r="AI22">
        <f t="shared" si="20"/>
        <v>13.958909428668859</v>
      </c>
    </row>
    <row r="23" spans="1:35">
      <c r="A23" s="154">
        <v>8</v>
      </c>
      <c r="B23" s="145">
        <f t="shared" si="0"/>
        <v>2.4</v>
      </c>
      <c r="C23" s="145">
        <f t="shared" si="7"/>
        <v>70.588235294117652</v>
      </c>
      <c r="D23" s="146">
        <f t="shared" si="8"/>
        <v>88.888888888888886</v>
      </c>
      <c r="F23" s="145">
        <f t="shared" si="1"/>
        <v>1.3461377870563673</v>
      </c>
      <c r="G23" s="151">
        <f t="shared" si="9"/>
        <v>10.769102296450939</v>
      </c>
      <c r="J23" s="132">
        <f t="shared" si="2"/>
        <v>40.679496245918664</v>
      </c>
      <c r="K23" s="132">
        <f t="shared" si="3"/>
        <v>48.509652277275393</v>
      </c>
      <c r="L23" s="132">
        <f t="shared" si="4"/>
        <v>10.810851476805951</v>
      </c>
      <c r="N23">
        <f t="shared" si="10"/>
        <v>0.125</v>
      </c>
      <c r="O23">
        <f t="shared" si="11"/>
        <v>1.7777777777777777</v>
      </c>
      <c r="P23">
        <f t="shared" si="12"/>
        <v>0.22222222222222232</v>
      </c>
      <c r="Q23">
        <v>1</v>
      </c>
      <c r="R23">
        <f t="shared" si="13"/>
        <v>0.59259259259259256</v>
      </c>
      <c r="S23">
        <f t="shared" si="13"/>
        <v>7.4074074074074112E-2</v>
      </c>
      <c r="T23">
        <f t="shared" si="13"/>
        <v>0.33333333333333331</v>
      </c>
      <c r="U23">
        <f t="shared" si="14"/>
        <v>71.644444444444431</v>
      </c>
      <c r="V23">
        <f t="shared" si="15"/>
        <v>15.966666666666672</v>
      </c>
      <c r="W23">
        <f t="shared" si="16"/>
        <v>60.08</v>
      </c>
      <c r="X23">
        <f t="shared" si="17"/>
        <v>147.6911111111111</v>
      </c>
      <c r="Y23">
        <f t="shared" si="5"/>
        <v>100.00000000000001</v>
      </c>
      <c r="Z23">
        <f t="shared" si="6"/>
        <v>0.88888888888888873</v>
      </c>
      <c r="AB23">
        <v>0.85</v>
      </c>
      <c r="AC23">
        <f t="shared" si="18"/>
        <v>19.350000000000001</v>
      </c>
      <c r="AD23">
        <f t="shared" si="21"/>
        <v>2.5393916257873497</v>
      </c>
      <c r="AE23">
        <f t="shared" si="19"/>
        <v>15.720093058396083</v>
      </c>
      <c r="AG23">
        <f t="shared" si="22"/>
        <v>13.958909428668859</v>
      </c>
      <c r="AH23">
        <f t="shared" si="23"/>
        <v>3.2566592527500511</v>
      </c>
      <c r="AI23">
        <f t="shared" si="20"/>
        <v>13.40922058227925</v>
      </c>
    </row>
    <row r="24" spans="1:35">
      <c r="A24" s="154">
        <v>8.5</v>
      </c>
      <c r="B24" s="145">
        <f t="shared" si="0"/>
        <v>2.5499999999999998</v>
      </c>
      <c r="C24" s="145">
        <f t="shared" si="7"/>
        <v>71.83098591549296</v>
      </c>
      <c r="D24" s="146">
        <f t="shared" si="8"/>
        <v>89.473684210526315</v>
      </c>
      <c r="F24" s="145">
        <f t="shared" si="1"/>
        <v>1.4302713987473903</v>
      </c>
      <c r="G24" s="151">
        <f t="shared" si="9"/>
        <v>11.442171189979122</v>
      </c>
      <c r="J24" s="132">
        <f t="shared" si="2"/>
        <v>40.781388436365717</v>
      </c>
      <c r="K24" s="132">
        <f t="shared" si="3"/>
        <v>48.951098916802422</v>
      </c>
      <c r="L24" s="132">
        <f t="shared" si="4"/>
        <v>10.267512646831861</v>
      </c>
      <c r="N24">
        <f t="shared" si="10"/>
        <v>0.11764705882352941</v>
      </c>
      <c r="O24">
        <f t="shared" si="11"/>
        <v>1.7894736842105263</v>
      </c>
      <c r="P24">
        <f t="shared" si="12"/>
        <v>0.21052631578947367</v>
      </c>
      <c r="Q24">
        <v>1</v>
      </c>
      <c r="R24">
        <f t="shared" si="13"/>
        <v>0.59649122807017541</v>
      </c>
      <c r="S24">
        <f t="shared" si="13"/>
        <v>7.0175438596491224E-2</v>
      </c>
      <c r="T24">
        <f t="shared" si="13"/>
        <v>0.33333333333333331</v>
      </c>
      <c r="U24">
        <f t="shared" si="14"/>
        <v>72.115789473684202</v>
      </c>
      <c r="V24">
        <f t="shared" si="15"/>
        <v>15.126315789473683</v>
      </c>
      <c r="W24">
        <f t="shared" si="16"/>
        <v>60.08</v>
      </c>
      <c r="X24">
        <f t="shared" si="17"/>
        <v>147.32210526315788</v>
      </c>
      <c r="Y24">
        <f t="shared" si="5"/>
        <v>100</v>
      </c>
      <c r="Z24">
        <f t="shared" si="6"/>
        <v>0.89473684210526316</v>
      </c>
      <c r="AB24">
        <v>0.84</v>
      </c>
      <c r="AC24">
        <f t="shared" si="18"/>
        <v>19.350000000000001</v>
      </c>
      <c r="AD24">
        <f t="shared" si="21"/>
        <v>2.5393916257873497</v>
      </c>
      <c r="AE24">
        <f t="shared" si="19"/>
        <v>15.525923693402138</v>
      </c>
      <c r="AG24">
        <f t="shared" si="22"/>
        <v>13.40922058227925</v>
      </c>
      <c r="AH24">
        <f t="shared" si="23"/>
        <v>3.3598735497994854</v>
      </c>
      <c r="AI24">
        <f t="shared" si="20"/>
        <v>12.82300050468638</v>
      </c>
    </row>
    <row r="25" spans="1:35" s="166" customFormat="1">
      <c r="A25" s="166">
        <v>9</v>
      </c>
      <c r="B25" s="167">
        <f t="shared" si="0"/>
        <v>2.6999999999999997</v>
      </c>
      <c r="C25" s="167">
        <f t="shared" si="7"/>
        <v>72.972972972972983</v>
      </c>
      <c r="D25" s="167">
        <f t="shared" si="8"/>
        <v>90</v>
      </c>
      <c r="F25" s="167">
        <f t="shared" si="1"/>
        <v>1.5144050104384132</v>
      </c>
      <c r="G25" s="168">
        <f t="shared" si="9"/>
        <v>12.115240083507306</v>
      </c>
      <c r="J25" s="166">
        <f t="shared" si="2"/>
        <v>40.873528811483773</v>
      </c>
      <c r="K25" s="166">
        <f t="shared" si="3"/>
        <v>49.350295938499208</v>
      </c>
      <c r="L25" s="166">
        <f t="shared" si="4"/>
        <v>9.7761752500170154</v>
      </c>
      <c r="N25" s="166">
        <f t="shared" si="10"/>
        <v>0.1111111111111111</v>
      </c>
      <c r="O25" s="166">
        <f t="shared" si="11"/>
        <v>1.7999999999999998</v>
      </c>
      <c r="P25" s="166">
        <f t="shared" si="12"/>
        <v>0.20000000000000018</v>
      </c>
      <c r="Q25" s="166">
        <v>1</v>
      </c>
      <c r="R25" s="166">
        <f t="shared" si="13"/>
        <v>0.6</v>
      </c>
      <c r="S25" s="166">
        <f t="shared" si="13"/>
        <v>6.6666666666666721E-2</v>
      </c>
      <c r="T25" s="166">
        <f t="shared" si="13"/>
        <v>0.33333333333333331</v>
      </c>
      <c r="U25" s="166">
        <f t="shared" si="14"/>
        <v>72.539999999999992</v>
      </c>
      <c r="V25" s="166">
        <f t="shared" si="15"/>
        <v>14.370000000000012</v>
      </c>
      <c r="W25" s="166">
        <f t="shared" si="16"/>
        <v>60.08</v>
      </c>
      <c r="X25" s="166">
        <f t="shared" si="17"/>
        <v>146.99</v>
      </c>
      <c r="Y25" s="166">
        <f t="shared" si="5"/>
        <v>100</v>
      </c>
      <c r="Z25" s="166">
        <f t="shared" si="6"/>
        <v>0.8999999999999998</v>
      </c>
      <c r="AB25" s="166">
        <v>0.83</v>
      </c>
      <c r="AC25" s="166">
        <f t="shared" si="18"/>
        <v>19.350000000000001</v>
      </c>
      <c r="AD25" s="166">
        <f t="shared" si="21"/>
        <v>2.5393916257873497</v>
      </c>
      <c r="AE25" s="166">
        <f t="shared" si="19"/>
        <v>15.336492435811364</v>
      </c>
      <c r="AG25" s="166">
        <f t="shared" si="22"/>
        <v>12.82300050468638</v>
      </c>
      <c r="AH25" s="166">
        <f t="shared" si="23"/>
        <v>3.4776143006638898</v>
      </c>
      <c r="AI25" s="166">
        <f t="shared" si="20"/>
        <v>12.195165368296705</v>
      </c>
    </row>
    <row r="26" spans="1:35" s="51" customFormat="1">
      <c r="A26" s="155">
        <v>9.5</v>
      </c>
      <c r="B26" s="153">
        <f t="shared" si="0"/>
        <v>2.85</v>
      </c>
      <c r="C26" s="153">
        <f t="shared" si="7"/>
        <v>74.025974025974023</v>
      </c>
      <c r="D26" s="147">
        <f t="shared" si="8"/>
        <v>90.476190476190482</v>
      </c>
      <c r="F26" s="153">
        <f t="shared" si="1"/>
        <v>1.5985386221294364</v>
      </c>
      <c r="G26" s="152">
        <f t="shared" si="9"/>
        <v>12.788308977035491</v>
      </c>
      <c r="J26" s="133">
        <f t="shared" si="2"/>
        <v>40.957253415052207</v>
      </c>
      <c r="K26" s="133">
        <f t="shared" si="3"/>
        <v>49.713031735313983</v>
      </c>
      <c r="L26" s="133">
        <f t="shared" si="4"/>
        <v>9.3297148496338114</v>
      </c>
      <c r="M26" s="142"/>
      <c r="N26" s="51">
        <f t="shared" si="10"/>
        <v>0.10526315789473684</v>
      </c>
      <c r="O26" s="51">
        <f t="shared" si="11"/>
        <v>1.8095238095238098</v>
      </c>
      <c r="P26" s="51">
        <f t="shared" si="12"/>
        <v>0.19047619047619024</v>
      </c>
      <c r="Q26" s="51">
        <v>1</v>
      </c>
      <c r="R26" s="51">
        <f t="shared" si="13"/>
        <v>0.60317460317460325</v>
      </c>
      <c r="S26" s="51">
        <f t="shared" si="13"/>
        <v>6.3492063492063419E-2</v>
      </c>
      <c r="T26" s="51">
        <f t="shared" si="13"/>
        <v>0.33333333333333331</v>
      </c>
      <c r="U26" s="51">
        <f t="shared" si="14"/>
        <v>72.923809523809524</v>
      </c>
      <c r="V26" s="51">
        <f t="shared" si="15"/>
        <v>13.685714285714267</v>
      </c>
      <c r="W26" s="51">
        <f t="shared" si="16"/>
        <v>60.08</v>
      </c>
      <c r="X26" s="51">
        <f t="shared" si="17"/>
        <v>146.68952380952379</v>
      </c>
      <c r="Y26" s="51">
        <f t="shared" si="5"/>
        <v>100.00000000000001</v>
      </c>
      <c r="Z26" s="51">
        <f t="shared" si="6"/>
        <v>0.90476190476190488</v>
      </c>
      <c r="AB26" s="51">
        <v>0.82</v>
      </c>
      <c r="AC26" s="51">
        <f t="shared" si="18"/>
        <v>19.350000000000001</v>
      </c>
      <c r="AD26" s="51">
        <f t="shared" si="21"/>
        <v>2.5393916257873497</v>
      </c>
      <c r="AE26" s="51">
        <f t="shared" si="19"/>
        <v>15.151627947659055</v>
      </c>
      <c r="AG26" s="51">
        <f t="shared" si="22"/>
        <v>12.195165368296705</v>
      </c>
      <c r="AH26" s="51">
        <f t="shared" si="23"/>
        <v>3.6134771847521074</v>
      </c>
      <c r="AI26" s="51">
        <f t="shared" si="20"/>
        <v>11.519548005086149</v>
      </c>
    </row>
    <row r="27" spans="1:35" s="172" customFormat="1">
      <c r="A27" s="169">
        <v>10.110999999999995</v>
      </c>
      <c r="B27" s="170">
        <f t="shared" si="0"/>
        <v>3.0332999999999983</v>
      </c>
      <c r="C27" s="170">
        <f t="shared" si="7"/>
        <v>75.206406664517871</v>
      </c>
      <c r="D27" s="171">
        <f>100*(A27)/(A27+1)</f>
        <v>90.999909999099984</v>
      </c>
      <c r="F27" s="170">
        <f t="shared" si="1"/>
        <v>1.7013498956158655</v>
      </c>
      <c r="G27" s="173">
        <f t="shared" si="9"/>
        <v>13.610799164926924</v>
      </c>
      <c r="J27" s="174">
        <f t="shared" si="2"/>
        <v>41.049731610371957</v>
      </c>
      <c r="K27" s="174">
        <f t="shared" si="3"/>
        <v>50.113692358805473</v>
      </c>
      <c r="L27" s="174">
        <f t="shared" si="4"/>
        <v>8.8365760308225649</v>
      </c>
      <c r="M27" s="175"/>
      <c r="N27" s="172">
        <f t="shared" si="10"/>
        <v>9.8902185738304865E-2</v>
      </c>
      <c r="O27" s="172">
        <f>2/(1+N27)</f>
        <v>1.8199981999819999</v>
      </c>
      <c r="P27" s="172">
        <f t="shared" si="12"/>
        <v>0.18000180001800015</v>
      </c>
      <c r="Q27" s="172">
        <v>1</v>
      </c>
      <c r="R27" s="172">
        <f t="shared" si="13"/>
        <v>0.60666606666066658</v>
      </c>
      <c r="S27" s="172">
        <f t="shared" si="13"/>
        <v>6.0000600006000049E-2</v>
      </c>
      <c r="T27" s="172">
        <f t="shared" si="13"/>
        <v>0.33333333333333331</v>
      </c>
      <c r="U27" s="172">
        <f t="shared" si="14"/>
        <v>73.345927459274591</v>
      </c>
      <c r="V27" s="172">
        <f t="shared" si="15"/>
        <v>12.93312933129331</v>
      </c>
      <c r="W27" s="172">
        <f t="shared" si="16"/>
        <v>60.08</v>
      </c>
      <c r="X27" s="172">
        <f t="shared" si="17"/>
        <v>146.35905679056791</v>
      </c>
      <c r="Y27" s="172">
        <f t="shared" si="5"/>
        <v>100</v>
      </c>
      <c r="Z27" s="172">
        <f t="shared" si="6"/>
        <v>0.90999909999099993</v>
      </c>
      <c r="AB27" s="172">
        <v>0.81</v>
      </c>
      <c r="AC27" s="172">
        <f t="shared" si="18"/>
        <v>19.350000000000001</v>
      </c>
      <c r="AD27" s="172">
        <f t="shared" si="21"/>
        <v>2.5393916257873497</v>
      </c>
      <c r="AE27" s="172">
        <f t="shared" si="19"/>
        <v>14.971167053747541</v>
      </c>
      <c r="AG27" s="172">
        <f t="shared" si="22"/>
        <v>11.519548005086149</v>
      </c>
      <c r="AH27" s="172">
        <f t="shared" si="23"/>
        <v>3.7723899404354428</v>
      </c>
      <c r="AI27" s="172">
        <f t="shared" si="20"/>
        <v>10.788616516653494</v>
      </c>
    </row>
    <row r="28" spans="1:35" s="51" customFormat="1">
      <c r="A28" s="155">
        <v>10.5</v>
      </c>
      <c r="B28" s="153">
        <f t="shared" si="0"/>
        <v>3.15</v>
      </c>
      <c r="C28" s="153">
        <f t="shared" si="7"/>
        <v>75.903614457831324</v>
      </c>
      <c r="D28" s="147">
        <f t="shared" si="8"/>
        <v>91.304347826086953</v>
      </c>
      <c r="F28" s="153">
        <f t="shared" si="1"/>
        <v>1.7668058455114821</v>
      </c>
      <c r="G28" s="152">
        <f t="shared" si="9"/>
        <v>14.134446764091857</v>
      </c>
      <c r="J28" s="133">
        <f t="shared" si="2"/>
        <v>41.103681317373827</v>
      </c>
      <c r="K28" s="133">
        <f t="shared" si="3"/>
        <v>50.347428788996503</v>
      </c>
      <c r="L28" s="133">
        <f t="shared" si="4"/>
        <v>8.5488898936296867</v>
      </c>
      <c r="M28" s="142"/>
      <c r="N28" s="51">
        <f t="shared" si="10"/>
        <v>9.5238095238095233E-2</v>
      </c>
      <c r="O28" s="51">
        <f t="shared" si="11"/>
        <v>1.826086956521739</v>
      </c>
      <c r="P28" s="51">
        <f t="shared" si="12"/>
        <v>0.17391304347826098</v>
      </c>
      <c r="Q28" s="51">
        <v>1</v>
      </c>
      <c r="R28" s="51">
        <f t="shared" si="13"/>
        <v>0.60869565217391297</v>
      </c>
      <c r="S28" s="51">
        <f t="shared" si="13"/>
        <v>5.7971014492753659E-2</v>
      </c>
      <c r="T28" s="51">
        <f t="shared" si="13"/>
        <v>0.33333333333333331</v>
      </c>
      <c r="U28" s="51">
        <f t="shared" si="14"/>
        <v>73.591304347826082</v>
      </c>
      <c r="V28" s="51">
        <f t="shared" si="15"/>
        <v>12.495652173913051</v>
      </c>
      <c r="W28" s="51">
        <f t="shared" si="16"/>
        <v>60.08</v>
      </c>
      <c r="X28" s="51">
        <f t="shared" si="17"/>
        <v>146.16695652173911</v>
      </c>
      <c r="Y28" s="51">
        <f t="shared" si="5"/>
        <v>100.00000000000001</v>
      </c>
      <c r="Z28" s="51">
        <f t="shared" si="6"/>
        <v>0.91304347826086951</v>
      </c>
      <c r="AB28" s="51">
        <v>0.8</v>
      </c>
      <c r="AC28" s="51">
        <f t="shared" si="18"/>
        <v>19.350000000000001</v>
      </c>
      <c r="AD28" s="51">
        <f t="shared" si="21"/>
        <v>2.5393916257873497</v>
      </c>
      <c r="AE28" s="51">
        <f t="shared" si="19"/>
        <v>14.794954261261452</v>
      </c>
      <c r="AG28" s="51">
        <f t="shared" si="22"/>
        <v>10.788616516653494</v>
      </c>
      <c r="AH28" s="51">
        <f t="shared" si="23"/>
        <v>3.9612949584898982</v>
      </c>
      <c r="AI28" s="51">
        <f t="shared" si="20"/>
        <v>9.9931368857494185</v>
      </c>
    </row>
    <row r="29" spans="1:35" s="51" customFormat="1">
      <c r="A29" s="155">
        <v>11</v>
      </c>
      <c r="B29" s="153">
        <f t="shared" si="0"/>
        <v>3.3</v>
      </c>
      <c r="C29" s="153">
        <f t="shared" si="7"/>
        <v>76.744186046511629</v>
      </c>
      <c r="D29" s="147">
        <f t="shared" si="8"/>
        <v>91.666666666666671</v>
      </c>
      <c r="F29" s="153">
        <f t="shared" si="1"/>
        <v>1.8509394572025051</v>
      </c>
      <c r="G29" s="152">
        <f t="shared" si="9"/>
        <v>14.807515657620041</v>
      </c>
      <c r="J29" s="133">
        <f t="shared" si="2"/>
        <v>41.168073272957756</v>
      </c>
      <c r="K29" s="133">
        <f t="shared" si="3"/>
        <v>50.626406130443229</v>
      </c>
      <c r="L29" s="133">
        <f t="shared" si="4"/>
        <v>8.2055205965990119</v>
      </c>
      <c r="M29" s="142"/>
      <c r="N29" s="51">
        <f t="shared" si="10"/>
        <v>9.0909090909090912E-2</v>
      </c>
      <c r="O29" s="51">
        <f t="shared" si="11"/>
        <v>1.8333333333333335</v>
      </c>
      <c r="P29" s="51">
        <f t="shared" si="12"/>
        <v>0.16666666666666652</v>
      </c>
      <c r="Q29" s="51">
        <v>1</v>
      </c>
      <c r="R29" s="51">
        <f t="shared" si="13"/>
        <v>0.61111111111111116</v>
      </c>
      <c r="S29" s="51">
        <f t="shared" si="13"/>
        <v>5.5555555555555504E-2</v>
      </c>
      <c r="T29" s="51">
        <f t="shared" si="13"/>
        <v>0.33333333333333331</v>
      </c>
      <c r="U29" s="51">
        <f t="shared" si="14"/>
        <v>73.88333333333334</v>
      </c>
      <c r="V29" s="51">
        <f t="shared" si="15"/>
        <v>11.974999999999989</v>
      </c>
      <c r="W29" s="51">
        <f t="shared" si="16"/>
        <v>60.08</v>
      </c>
      <c r="X29" s="51">
        <f t="shared" si="17"/>
        <v>145.93833333333333</v>
      </c>
      <c r="Y29" s="51">
        <f t="shared" si="5"/>
        <v>100</v>
      </c>
      <c r="Z29" s="51">
        <f t="shared" si="6"/>
        <v>0.91666666666666674</v>
      </c>
      <c r="AB29" s="51">
        <v>0.79</v>
      </c>
      <c r="AC29" s="51">
        <f t="shared" si="18"/>
        <v>19.350000000000001</v>
      </c>
      <c r="AD29" s="51">
        <f t="shared" si="21"/>
        <v>2.5393916257873497</v>
      </c>
      <c r="AE29" s="51">
        <f t="shared" si="19"/>
        <v>14.622841312913556</v>
      </c>
      <c r="AG29" s="51">
        <f t="shared" si="22"/>
        <v>9.9931368857494185</v>
      </c>
      <c r="AH29" s="51">
        <f t="shared" si="23"/>
        <v>4.1902970341383261</v>
      </c>
      <c r="AI29" s="51">
        <f t="shared" si="20"/>
        <v>9.1218091667809933</v>
      </c>
    </row>
    <row r="30" spans="1:35" s="51" customFormat="1">
      <c r="A30" s="155">
        <v>11.5</v>
      </c>
      <c r="B30" s="153">
        <f t="shared" si="0"/>
        <v>3.4499999999999997</v>
      </c>
      <c r="C30" s="153">
        <f t="shared" si="7"/>
        <v>77.528089887640462</v>
      </c>
      <c r="D30" s="147">
        <f t="shared" si="8"/>
        <v>92</v>
      </c>
      <c r="F30" s="153">
        <f t="shared" si="1"/>
        <v>1.935073068893528</v>
      </c>
      <c r="G30" s="152">
        <f t="shared" si="9"/>
        <v>15.480584551148224</v>
      </c>
      <c r="J30" s="133">
        <f t="shared" si="2"/>
        <v>41.227492314448831</v>
      </c>
      <c r="K30" s="133">
        <f t="shared" si="3"/>
        <v>50.883838383838381</v>
      </c>
      <c r="L30" s="133">
        <f t="shared" si="4"/>
        <v>7.888669301712774</v>
      </c>
      <c r="M30" s="142"/>
      <c r="N30" s="51">
        <f t="shared" si="10"/>
        <v>8.6956521739130432E-2</v>
      </c>
      <c r="O30" s="51">
        <f t="shared" si="11"/>
        <v>1.84</v>
      </c>
      <c r="P30" s="51">
        <f t="shared" si="12"/>
        <v>0.15999999999999992</v>
      </c>
      <c r="Q30" s="51">
        <v>1</v>
      </c>
      <c r="R30" s="51">
        <f t="shared" si="13"/>
        <v>0.6133333333333334</v>
      </c>
      <c r="S30" s="51">
        <f t="shared" si="13"/>
        <v>5.3333333333333309E-2</v>
      </c>
      <c r="T30" s="51">
        <f t="shared" si="13"/>
        <v>0.33333333333333331</v>
      </c>
      <c r="U30" s="51">
        <f t="shared" si="14"/>
        <v>74.152000000000001</v>
      </c>
      <c r="V30" s="51">
        <f t="shared" si="15"/>
        <v>11.495999999999993</v>
      </c>
      <c r="W30" s="51">
        <f t="shared" si="16"/>
        <v>60.08</v>
      </c>
      <c r="X30" s="51">
        <f t="shared" si="17"/>
        <v>145.72800000000001</v>
      </c>
      <c r="Y30" s="51">
        <f t="shared" si="5"/>
        <v>100</v>
      </c>
      <c r="Z30" s="51">
        <f t="shared" si="6"/>
        <v>0.92</v>
      </c>
      <c r="AB30" s="51">
        <v>0.78</v>
      </c>
      <c r="AC30" s="51">
        <f t="shared" si="18"/>
        <v>19.350000000000001</v>
      </c>
      <c r="AD30" s="51">
        <f t="shared" si="21"/>
        <v>2.5393916257873497</v>
      </c>
      <c r="AE30" s="51">
        <f t="shared" si="19"/>
        <v>14.454686770921978</v>
      </c>
      <c r="AG30" s="51">
        <f t="shared" si="22"/>
        <v>9.1218091667809933</v>
      </c>
      <c r="AH30" s="51">
        <f t="shared" si="23"/>
        <v>4.4746867021650596</v>
      </c>
      <c r="AI30" s="51">
        <f t="shared" si="20"/>
        <v>8.1610026754401126</v>
      </c>
    </row>
    <row r="31" spans="1:35">
      <c r="A31" s="154">
        <v>12</v>
      </c>
      <c r="B31" s="145">
        <f t="shared" si="0"/>
        <v>3.5999999999999996</v>
      </c>
      <c r="C31" s="145">
        <f t="shared" si="7"/>
        <v>78.260869565217391</v>
      </c>
      <c r="D31" s="146">
        <f t="shared" si="8"/>
        <v>92.307692307692307</v>
      </c>
      <c r="F31" s="145">
        <f t="shared" si="1"/>
        <v>2.019206680584551</v>
      </c>
      <c r="G31" s="151">
        <f t="shared" si="9"/>
        <v>16.153653444676408</v>
      </c>
      <c r="J31" s="132">
        <f t="shared" si="2"/>
        <v>41.282493102318263</v>
      </c>
      <c r="K31" s="132">
        <f t="shared" si="3"/>
        <v>51.122128608729682</v>
      </c>
      <c r="L31" s="132">
        <f t="shared" si="4"/>
        <v>7.5953782889520767</v>
      </c>
      <c r="N31">
        <f t="shared" si="10"/>
        <v>8.3333333333333329E-2</v>
      </c>
      <c r="O31">
        <f t="shared" si="11"/>
        <v>1.8461538461538463</v>
      </c>
      <c r="P31">
        <f t="shared" si="12"/>
        <v>0.15384615384615374</v>
      </c>
      <c r="Q31">
        <v>1</v>
      </c>
      <c r="R31">
        <f t="shared" si="13"/>
        <v>0.61538461538461542</v>
      </c>
      <c r="S31">
        <f t="shared" si="13"/>
        <v>5.1282051282051246E-2</v>
      </c>
      <c r="T31">
        <f t="shared" si="13"/>
        <v>0.33333333333333331</v>
      </c>
      <c r="U31">
        <f t="shared" si="14"/>
        <v>74.400000000000006</v>
      </c>
      <c r="V31">
        <f t="shared" si="15"/>
        <v>11.053846153846145</v>
      </c>
      <c r="W31">
        <f t="shared" si="16"/>
        <v>60.08</v>
      </c>
      <c r="X31">
        <f t="shared" si="17"/>
        <v>145.53384615384613</v>
      </c>
      <c r="Y31">
        <f t="shared" si="5"/>
        <v>100.00000000000003</v>
      </c>
      <c r="Z31">
        <f t="shared" si="6"/>
        <v>0.92307692307692313</v>
      </c>
      <c r="AB31">
        <v>0.77</v>
      </c>
      <c r="AC31">
        <f t="shared" si="18"/>
        <v>19.350000000000001</v>
      </c>
      <c r="AD31">
        <f t="shared" si="21"/>
        <v>2.5393916257873497</v>
      </c>
      <c r="AE31">
        <f t="shared" si="19"/>
        <v>14.290355629365337</v>
      </c>
      <c r="AG31">
        <f t="shared" si="22"/>
        <v>8.1610026754401126</v>
      </c>
      <c r="AH31">
        <f t="shared" si="23"/>
        <v>4.8387187993815619</v>
      </c>
      <c r="AI31">
        <f t="shared" si="20"/>
        <v>7.0949735731970502</v>
      </c>
    </row>
    <row r="32" spans="1:35">
      <c r="A32" s="154">
        <v>12.5</v>
      </c>
      <c r="B32" s="145">
        <f t="shared" si="0"/>
        <v>3.75</v>
      </c>
      <c r="C32" s="145">
        <f t="shared" si="7"/>
        <v>78.94736842105263</v>
      </c>
      <c r="D32" s="146">
        <f t="shared" si="8"/>
        <v>92.592592592592595</v>
      </c>
      <c r="F32" s="145">
        <f t="shared" si="1"/>
        <v>2.1033402922755742</v>
      </c>
      <c r="G32" s="151">
        <f t="shared" si="9"/>
        <v>16.826722338204593</v>
      </c>
      <c r="J32" s="132">
        <f t="shared" si="2"/>
        <v>41.33355076747457</v>
      </c>
      <c r="K32" s="132">
        <f t="shared" si="3"/>
        <v>51.34333530383023</v>
      </c>
      <c r="L32" s="132">
        <f t="shared" si="4"/>
        <v>7.3231139286952001</v>
      </c>
      <c r="N32">
        <f t="shared" si="10"/>
        <v>0.08</v>
      </c>
      <c r="O32">
        <f t="shared" si="11"/>
        <v>1.8518518518518516</v>
      </c>
      <c r="P32">
        <f t="shared" si="12"/>
        <v>0.14814814814814836</v>
      </c>
      <c r="Q32">
        <v>1</v>
      </c>
      <c r="R32">
        <f t="shared" si="13"/>
        <v>0.61728395061728392</v>
      </c>
      <c r="S32">
        <f t="shared" si="13"/>
        <v>4.938271604938279E-2</v>
      </c>
      <c r="T32">
        <f t="shared" si="13"/>
        <v>0.33333333333333331</v>
      </c>
      <c r="U32">
        <f t="shared" si="14"/>
        <v>74.629629629629619</v>
      </c>
      <c r="V32">
        <f t="shared" si="15"/>
        <v>10.644444444444458</v>
      </c>
      <c r="W32">
        <f t="shared" si="16"/>
        <v>60.08</v>
      </c>
      <c r="X32">
        <f t="shared" si="17"/>
        <v>145.35407407407408</v>
      </c>
      <c r="Y32">
        <f t="shared" si="5"/>
        <v>100</v>
      </c>
      <c r="Z32">
        <f t="shared" si="6"/>
        <v>0.92592592592592582</v>
      </c>
      <c r="AB32">
        <v>0.76</v>
      </c>
      <c r="AC32">
        <f t="shared" si="18"/>
        <v>19.350000000000001</v>
      </c>
      <c r="AD32">
        <f t="shared" si="21"/>
        <v>2.5393916257873497</v>
      </c>
      <c r="AE32">
        <f t="shared" si="19"/>
        <v>14.129718952682735</v>
      </c>
      <c r="AG32">
        <f t="shared" si="22"/>
        <v>7.0949735731970502</v>
      </c>
      <c r="AH32">
        <f t="shared" si="23"/>
        <v>5.3231788372660365</v>
      </c>
      <c r="AI32">
        <f t="shared" si="20"/>
        <v>5.9076779713934826</v>
      </c>
    </row>
    <row r="33" spans="1:35">
      <c r="A33" s="154">
        <v>13</v>
      </c>
      <c r="B33" s="145">
        <f t="shared" si="0"/>
        <v>3.9</v>
      </c>
      <c r="C33" s="145">
        <f t="shared" si="7"/>
        <v>79.591836734693871</v>
      </c>
      <c r="D33" s="146">
        <f t="shared" si="8"/>
        <v>92.857142857142861</v>
      </c>
      <c r="F33" s="145">
        <f t="shared" si="1"/>
        <v>2.1874739039665969</v>
      </c>
      <c r="G33" s="151">
        <f t="shared" si="9"/>
        <v>17.499791231732775</v>
      </c>
      <c r="J33" s="132">
        <f t="shared" si="2"/>
        <v>41.38107467209808</v>
      </c>
      <c r="K33" s="132">
        <f t="shared" si="3"/>
        <v>51.54923202566146</v>
      </c>
      <c r="L33" s="132">
        <f t="shared" si="4"/>
        <v>7.0696933022404549</v>
      </c>
      <c r="N33">
        <f t="shared" si="10"/>
        <v>7.6923076923076927E-2</v>
      </c>
      <c r="O33">
        <f t="shared" si="11"/>
        <v>1.8571428571428572</v>
      </c>
      <c r="P33">
        <f t="shared" si="12"/>
        <v>0.14285714285714279</v>
      </c>
      <c r="Q33">
        <v>1</v>
      </c>
      <c r="R33">
        <f t="shared" si="13"/>
        <v>0.61904761904761907</v>
      </c>
      <c r="S33">
        <f t="shared" si="13"/>
        <v>4.7619047619047596E-2</v>
      </c>
      <c r="T33">
        <f t="shared" si="13"/>
        <v>0.33333333333333331</v>
      </c>
      <c r="U33">
        <f t="shared" si="14"/>
        <v>74.842857142857142</v>
      </c>
      <c r="V33">
        <f t="shared" si="15"/>
        <v>10.264285714285709</v>
      </c>
      <c r="W33">
        <f t="shared" si="16"/>
        <v>60.08</v>
      </c>
      <c r="X33">
        <f t="shared" si="17"/>
        <v>145.18714285714285</v>
      </c>
      <c r="Y33">
        <f t="shared" si="5"/>
        <v>99.999999999999986</v>
      </c>
      <c r="Z33">
        <f t="shared" si="6"/>
        <v>0.9285714285714286</v>
      </c>
      <c r="AB33">
        <v>0.75</v>
      </c>
      <c r="AC33">
        <f t="shared" si="18"/>
        <v>19.350000000000001</v>
      </c>
      <c r="AD33">
        <f t="shared" si="21"/>
        <v>2.5393916257873497</v>
      </c>
      <c r="AE33">
        <f t="shared" si="19"/>
        <v>13.972653538284296</v>
      </c>
      <c r="AG33">
        <f t="shared" si="22"/>
        <v>5.9076779713934826</v>
      </c>
      <c r="AH33">
        <f t="shared" si="23"/>
        <v>6.0019156434462042</v>
      </c>
      <c r="AI33">
        <f t="shared" si="20"/>
        <v>4.589315851214919</v>
      </c>
    </row>
    <row r="34" spans="1:35">
      <c r="A34" s="154">
        <v>13.5</v>
      </c>
      <c r="B34" s="145">
        <f t="shared" si="0"/>
        <v>4.05</v>
      </c>
      <c r="C34" s="145">
        <f t="shared" si="7"/>
        <v>80.198019801980195</v>
      </c>
      <c r="D34" s="146">
        <f t="shared" si="8"/>
        <v>93.103448275862064</v>
      </c>
      <c r="F34" s="145">
        <f t="shared" si="1"/>
        <v>2.2716075156576201</v>
      </c>
      <c r="G34" s="151">
        <f t="shared" si="9"/>
        <v>18.172860125260961</v>
      </c>
      <c r="J34" s="132">
        <f t="shared" si="2"/>
        <v>41.425419408833271</v>
      </c>
      <c r="K34" s="132">
        <f t="shared" si="3"/>
        <v>51.741355042416409</v>
      </c>
      <c r="L34" s="132">
        <f t="shared" si="4"/>
        <v>6.8332255487503248</v>
      </c>
      <c r="N34">
        <f t="shared" si="10"/>
        <v>7.407407407407407E-2</v>
      </c>
      <c r="O34">
        <f t="shared" si="11"/>
        <v>1.8620689655172415</v>
      </c>
      <c r="P34">
        <f t="shared" si="12"/>
        <v>0.13793103448275845</v>
      </c>
      <c r="Q34">
        <v>1</v>
      </c>
      <c r="R34">
        <f t="shared" si="13"/>
        <v>0.62068965517241381</v>
      </c>
      <c r="S34">
        <f t="shared" si="13"/>
        <v>4.5977011494252817E-2</v>
      </c>
      <c r="T34">
        <f t="shared" si="13"/>
        <v>0.33333333333333331</v>
      </c>
      <c r="U34">
        <f t="shared" si="14"/>
        <v>75.041379310344823</v>
      </c>
      <c r="V34">
        <f t="shared" si="15"/>
        <v>9.9103448275861936</v>
      </c>
      <c r="W34">
        <f t="shared" si="16"/>
        <v>60.08</v>
      </c>
      <c r="X34">
        <f t="shared" si="17"/>
        <v>145.03172413793101</v>
      </c>
      <c r="Y34">
        <f t="shared" si="5"/>
        <v>100</v>
      </c>
      <c r="Z34">
        <f t="shared" si="6"/>
        <v>0.93103448275862077</v>
      </c>
      <c r="AB34">
        <v>0.74</v>
      </c>
      <c r="AC34">
        <f t="shared" si="18"/>
        <v>19.350000000000001</v>
      </c>
      <c r="AD34">
        <f t="shared" si="21"/>
        <v>2.5393916257873497</v>
      </c>
      <c r="AE34">
        <f t="shared" si="19"/>
        <v>13.819041601416739</v>
      </c>
      <c r="AG34">
        <f t="shared" si="22"/>
        <v>4.589315851214919</v>
      </c>
      <c r="AH34">
        <f t="shared" si="23"/>
        <v>7.0222445367843411</v>
      </c>
      <c r="AI34">
        <f t="shared" si="20"/>
        <v>3.1561846834025</v>
      </c>
    </row>
    <row r="35" spans="1:35">
      <c r="A35" s="154">
        <v>14</v>
      </c>
      <c r="B35" s="145">
        <f t="shared" si="0"/>
        <v>4.2</v>
      </c>
      <c r="C35" s="145">
        <f t="shared" si="7"/>
        <v>80.769230769230759</v>
      </c>
      <c r="D35" s="146">
        <f t="shared" si="8"/>
        <v>93.333333333333329</v>
      </c>
      <c r="F35" s="145">
        <f t="shared" si="1"/>
        <v>2.3557411273486433</v>
      </c>
      <c r="G35" s="151">
        <f t="shared" si="9"/>
        <v>18.845929018789146</v>
      </c>
      <c r="J35" s="132">
        <f t="shared" si="2"/>
        <v>41.466893664013256</v>
      </c>
      <c r="K35" s="132">
        <f t="shared" si="3"/>
        <v>51.921041733768924</v>
      </c>
      <c r="L35" s="132">
        <f t="shared" si="4"/>
        <v>6.6120646022178233</v>
      </c>
      <c r="N35">
        <f t="shared" si="10"/>
        <v>7.1428571428571425E-2</v>
      </c>
      <c r="O35">
        <f t="shared" si="11"/>
        <v>1.8666666666666667</v>
      </c>
      <c r="P35">
        <f t="shared" si="12"/>
        <v>0.1333333333333333</v>
      </c>
      <c r="Q35">
        <v>1</v>
      </c>
      <c r="R35">
        <f t="shared" si="13"/>
        <v>0.62222222222222223</v>
      </c>
      <c r="S35">
        <f t="shared" si="13"/>
        <v>4.4444444444444432E-2</v>
      </c>
      <c r="T35">
        <f t="shared" si="13"/>
        <v>0.33333333333333331</v>
      </c>
      <c r="U35">
        <f t="shared" si="14"/>
        <v>75.226666666666659</v>
      </c>
      <c r="V35">
        <f t="shared" si="15"/>
        <v>9.5799999999999965</v>
      </c>
      <c r="W35">
        <f t="shared" si="16"/>
        <v>60.08</v>
      </c>
      <c r="X35">
        <f t="shared" si="17"/>
        <v>144.88666666666666</v>
      </c>
      <c r="Y35">
        <f t="shared" si="5"/>
        <v>100</v>
      </c>
      <c r="Z35">
        <f t="shared" si="6"/>
        <v>0.93333333333333335</v>
      </c>
    </row>
    <row r="36" spans="1:35">
      <c r="A36" s="154">
        <v>14.5</v>
      </c>
      <c r="B36" s="145">
        <f t="shared" si="0"/>
        <v>4.3499999999999996</v>
      </c>
      <c r="C36" s="145">
        <f t="shared" si="7"/>
        <v>81.308411214953267</v>
      </c>
      <c r="D36" s="146">
        <f t="shared" si="8"/>
        <v>93.548387096774192</v>
      </c>
      <c r="F36" s="145">
        <f t="shared" si="1"/>
        <v>2.4398747390396656</v>
      </c>
      <c r="G36" s="151">
        <f t="shared" si="9"/>
        <v>19.518997912317325</v>
      </c>
      <c r="J36" s="132">
        <f t="shared" si="2"/>
        <v>41.50576741366708</v>
      </c>
      <c r="K36" s="132">
        <f t="shared" si="3"/>
        <v>52.089461767484984</v>
      </c>
      <c r="L36" s="132">
        <f t="shared" si="4"/>
        <v>6.4047708188479371</v>
      </c>
      <c r="N36">
        <f t="shared" si="10"/>
        <v>6.8965517241379309E-2</v>
      </c>
      <c r="O36">
        <f t="shared" si="11"/>
        <v>1.870967741935484</v>
      </c>
      <c r="P36">
        <f t="shared" si="12"/>
        <v>0.12903225806451601</v>
      </c>
      <c r="Q36">
        <v>1</v>
      </c>
      <c r="R36">
        <f t="shared" si="13"/>
        <v>0.62365591397849462</v>
      </c>
      <c r="S36">
        <f t="shared" si="13"/>
        <v>4.3010752688172005E-2</v>
      </c>
      <c r="T36">
        <f t="shared" si="13"/>
        <v>0.33333333333333331</v>
      </c>
      <c r="U36">
        <f t="shared" si="14"/>
        <v>75.400000000000006</v>
      </c>
      <c r="V36">
        <f t="shared" si="15"/>
        <v>9.2709677419354755</v>
      </c>
      <c r="W36">
        <f t="shared" si="16"/>
        <v>60.08</v>
      </c>
      <c r="X36">
        <f t="shared" si="17"/>
        <v>144.75096774193548</v>
      </c>
      <c r="Y36">
        <f t="shared" si="5"/>
        <v>100</v>
      </c>
      <c r="Z36">
        <f t="shared" si="6"/>
        <v>0.9354838709677421</v>
      </c>
    </row>
    <row r="37" spans="1:35">
      <c r="A37" s="154">
        <v>15</v>
      </c>
      <c r="B37" s="145">
        <f t="shared" si="0"/>
        <v>4.5</v>
      </c>
      <c r="C37" s="145">
        <f t="shared" si="7"/>
        <v>81.818181818181813</v>
      </c>
      <c r="D37" s="146">
        <f t="shared" si="8"/>
        <v>93.75</v>
      </c>
      <c r="F37" s="145">
        <f t="shared" si="1"/>
        <v>2.5240083507306887</v>
      </c>
      <c r="G37" s="151">
        <f t="shared" si="9"/>
        <v>20.19206680584551</v>
      </c>
      <c r="J37" s="132">
        <f t="shared" si="2"/>
        <v>41.542277807068338</v>
      </c>
      <c r="K37" s="132">
        <f t="shared" si="3"/>
        <v>52.247642589823592</v>
      </c>
      <c r="L37" s="132">
        <f t="shared" si="4"/>
        <v>6.2100796031080643</v>
      </c>
      <c r="N37">
        <f t="shared" si="10"/>
        <v>6.6666666666666666E-2</v>
      </c>
      <c r="O37">
        <f t="shared" si="11"/>
        <v>1.875</v>
      </c>
      <c r="P37">
        <f t="shared" si="12"/>
        <v>0.125</v>
      </c>
      <c r="Q37">
        <v>1</v>
      </c>
      <c r="R37">
        <f t="shared" si="13"/>
        <v>0.625</v>
      </c>
      <c r="S37">
        <f t="shared" si="13"/>
        <v>4.1666666666666664E-2</v>
      </c>
      <c r="T37">
        <f t="shared" si="13"/>
        <v>0.33333333333333331</v>
      </c>
      <c r="U37">
        <f t="shared" si="14"/>
        <v>75.5625</v>
      </c>
      <c r="V37">
        <f t="shared" si="15"/>
        <v>8.9812499999999993</v>
      </c>
      <c r="W37">
        <f t="shared" si="16"/>
        <v>60.08</v>
      </c>
      <c r="X37">
        <f t="shared" si="17"/>
        <v>144.62375</v>
      </c>
      <c r="Y37">
        <f t="shared" si="5"/>
        <v>100</v>
      </c>
      <c r="Z37">
        <f t="shared" si="6"/>
        <v>0.9375</v>
      </c>
    </row>
    <row r="38" spans="1:35">
      <c r="A38" s="154">
        <v>15.5</v>
      </c>
      <c r="B38" s="145">
        <f t="shared" si="0"/>
        <v>4.6499999999999995</v>
      </c>
      <c r="C38" s="145">
        <f t="shared" si="7"/>
        <v>82.30088495575221</v>
      </c>
      <c r="D38" s="146">
        <f t="shared" si="8"/>
        <v>93.939393939393938</v>
      </c>
      <c r="F38" s="145">
        <f t="shared" si="1"/>
        <v>2.6081419624217115</v>
      </c>
      <c r="G38" s="151">
        <f t="shared" si="9"/>
        <v>20.865135699373692</v>
      </c>
      <c r="J38" s="132">
        <f t="shared" si="2"/>
        <v>41.576634008857873</v>
      </c>
      <c r="K38" s="132">
        <f t="shared" si="3"/>
        <v>52.396490403972628</v>
      </c>
      <c r="L38" s="132">
        <f t="shared" si="4"/>
        <v>6.026875587169501</v>
      </c>
      <c r="N38">
        <f t="shared" si="10"/>
        <v>6.4516129032258063E-2</v>
      </c>
      <c r="O38">
        <f t="shared" si="11"/>
        <v>1.8787878787878789</v>
      </c>
      <c r="P38">
        <f t="shared" si="12"/>
        <v>0.1212121212121211</v>
      </c>
      <c r="Q38">
        <v>1</v>
      </c>
      <c r="R38">
        <f t="shared" si="13"/>
        <v>0.6262626262626263</v>
      </c>
      <c r="S38">
        <f t="shared" si="13"/>
        <v>4.0404040404040366E-2</v>
      </c>
      <c r="T38">
        <f t="shared" si="13"/>
        <v>0.33333333333333331</v>
      </c>
      <c r="U38">
        <f t="shared" si="14"/>
        <v>75.715151515151518</v>
      </c>
      <c r="V38">
        <f t="shared" si="15"/>
        <v>8.7090909090909001</v>
      </c>
      <c r="W38">
        <f t="shared" si="16"/>
        <v>60.08</v>
      </c>
      <c r="X38">
        <f t="shared" si="17"/>
        <v>144.50424242424242</v>
      </c>
      <c r="Y38">
        <f t="shared" si="5"/>
        <v>100</v>
      </c>
      <c r="Z38">
        <f t="shared" si="6"/>
        <v>0.93939393939393945</v>
      </c>
    </row>
    <row r="39" spans="1:35">
      <c r="A39" s="154">
        <v>16</v>
      </c>
      <c r="B39" s="145">
        <f t="shared" si="0"/>
        <v>4.8</v>
      </c>
      <c r="C39" s="145">
        <f t="shared" si="7"/>
        <v>82.758620689655174</v>
      </c>
      <c r="D39" s="146">
        <f t="shared" si="8"/>
        <v>94.117647058823536</v>
      </c>
      <c r="F39" s="145">
        <f t="shared" si="1"/>
        <v>2.6922755741127347</v>
      </c>
      <c r="G39" s="151">
        <f t="shared" si="9"/>
        <v>21.538204592901877</v>
      </c>
      <c r="J39" s="132">
        <f t="shared" si="2"/>
        <v>41.609021208639895</v>
      </c>
      <c r="K39" s="132">
        <f t="shared" si="3"/>
        <v>52.536807541573992</v>
      </c>
      <c r="L39" s="132">
        <f t="shared" si="4"/>
        <v>5.8541712497861234</v>
      </c>
      <c r="N39">
        <f t="shared" si="10"/>
        <v>6.25E-2</v>
      </c>
      <c r="O39">
        <f t="shared" si="11"/>
        <v>1.8823529411764706</v>
      </c>
      <c r="P39">
        <f t="shared" si="12"/>
        <v>0.11764705882352944</v>
      </c>
      <c r="Q39">
        <v>1</v>
      </c>
      <c r="R39">
        <f t="shared" si="13"/>
        <v>0.62745098039215685</v>
      </c>
      <c r="S39">
        <f t="shared" si="13"/>
        <v>3.921568627450981E-2</v>
      </c>
      <c r="T39">
        <f t="shared" si="13"/>
        <v>0.33333333333333331</v>
      </c>
      <c r="U39">
        <f t="shared" si="14"/>
        <v>75.858823529411765</v>
      </c>
      <c r="V39">
        <f t="shared" si="15"/>
        <v>8.4529411764705902</v>
      </c>
      <c r="W39">
        <f t="shared" si="16"/>
        <v>60.08</v>
      </c>
      <c r="X39">
        <f t="shared" si="17"/>
        <v>144.39176470588234</v>
      </c>
      <c r="Y39">
        <f t="shared" si="5"/>
        <v>100.00000000000001</v>
      </c>
      <c r="Z39">
        <f t="shared" si="6"/>
        <v>0.94117647058823528</v>
      </c>
    </row>
    <row r="40" spans="1:35">
      <c r="A40" s="154">
        <v>16.5</v>
      </c>
      <c r="B40" s="145">
        <f t="shared" si="0"/>
        <v>4.95</v>
      </c>
      <c r="C40" s="145">
        <f t="shared" si="7"/>
        <v>83.193277310924373</v>
      </c>
      <c r="D40" s="146">
        <f t="shared" si="8"/>
        <v>94.285714285714292</v>
      </c>
      <c r="F40" s="145">
        <f t="shared" si="1"/>
        <v>2.7764091858037578</v>
      </c>
      <c r="G40" s="151">
        <f t="shared" si="9"/>
        <v>22.211273486430063</v>
      </c>
      <c r="J40" s="132">
        <f t="shared" si="2"/>
        <v>41.639603960396045</v>
      </c>
      <c r="K40" s="132">
        <f t="shared" si="3"/>
        <v>52.669306930693068</v>
      </c>
      <c r="L40" s="132">
        <f t="shared" si="4"/>
        <v>5.6910891089108819</v>
      </c>
      <c r="N40">
        <f t="shared" si="10"/>
        <v>6.0606060606060608E-2</v>
      </c>
      <c r="O40">
        <f t="shared" si="11"/>
        <v>1.8857142857142859</v>
      </c>
      <c r="P40">
        <f t="shared" si="12"/>
        <v>0.1142857142857141</v>
      </c>
      <c r="Q40">
        <v>1</v>
      </c>
      <c r="R40">
        <f t="shared" si="13"/>
        <v>0.62857142857142867</v>
      </c>
      <c r="S40">
        <f t="shared" si="13"/>
        <v>3.8095238095238036E-2</v>
      </c>
      <c r="T40">
        <f t="shared" si="13"/>
        <v>0.33333333333333331</v>
      </c>
      <c r="U40">
        <f t="shared" si="14"/>
        <v>75.994285714285709</v>
      </c>
      <c r="V40">
        <f t="shared" si="15"/>
        <v>8.2114285714285575</v>
      </c>
      <c r="W40">
        <f t="shared" si="16"/>
        <v>60.08</v>
      </c>
      <c r="X40">
        <f t="shared" si="17"/>
        <v>144.28571428571428</v>
      </c>
      <c r="Y40">
        <f t="shared" si="5"/>
        <v>100</v>
      </c>
      <c r="Z40">
        <f t="shared" si="6"/>
        <v>0.94285714285714295</v>
      </c>
    </row>
    <row r="41" spans="1:35">
      <c r="A41" s="154">
        <v>17</v>
      </c>
      <c r="B41" s="145">
        <f t="shared" si="0"/>
        <v>5.0999999999999996</v>
      </c>
      <c r="C41" s="145">
        <f t="shared" si="7"/>
        <v>83.606557377049171</v>
      </c>
      <c r="D41" s="146">
        <f t="shared" si="8"/>
        <v>94.444444444444443</v>
      </c>
      <c r="F41" s="145">
        <f t="shared" si="1"/>
        <v>2.8605427974947806</v>
      </c>
      <c r="G41" s="151">
        <f t="shared" si="9"/>
        <v>22.884342379958245</v>
      </c>
      <c r="J41" s="132">
        <f t="shared" si="2"/>
        <v>41.66852897886212</v>
      </c>
      <c r="K41" s="132">
        <f t="shared" si="3"/>
        <v>52.794624211086024</v>
      </c>
      <c r="L41" s="132">
        <f t="shared" si="4"/>
        <v>5.5368468100518644</v>
      </c>
      <c r="N41">
        <f t="shared" si="10"/>
        <v>5.8823529411764705E-2</v>
      </c>
      <c r="O41">
        <f t="shared" si="11"/>
        <v>1.8888888888888888</v>
      </c>
      <c r="P41">
        <f t="shared" si="12"/>
        <v>0.11111111111111116</v>
      </c>
      <c r="Q41">
        <v>1</v>
      </c>
      <c r="R41">
        <f t="shared" si="13"/>
        <v>0.62962962962962965</v>
      </c>
      <c r="S41">
        <f t="shared" si="13"/>
        <v>3.7037037037037056E-2</v>
      </c>
      <c r="T41">
        <f t="shared" si="13"/>
        <v>0.33333333333333331</v>
      </c>
      <c r="U41">
        <f t="shared" si="14"/>
        <v>76.12222222222222</v>
      </c>
      <c r="V41">
        <f t="shared" si="15"/>
        <v>7.9833333333333361</v>
      </c>
      <c r="W41">
        <f t="shared" si="16"/>
        <v>60.08</v>
      </c>
      <c r="X41">
        <f t="shared" si="17"/>
        <v>144.18555555555554</v>
      </c>
      <c r="Y41">
        <f t="shared" si="5"/>
        <v>100.00000000000001</v>
      </c>
      <c r="Z41">
        <f t="shared" si="6"/>
        <v>0.94444444444444442</v>
      </c>
    </row>
    <row r="42" spans="1:35">
      <c r="A42" s="154">
        <v>17.5</v>
      </c>
      <c r="B42" s="145">
        <f t="shared" si="0"/>
        <v>5.25</v>
      </c>
      <c r="C42" s="145">
        <f t="shared" si="7"/>
        <v>84</v>
      </c>
      <c r="D42" s="146">
        <f t="shared" si="8"/>
        <v>94.594594594594597</v>
      </c>
      <c r="F42" s="145">
        <f t="shared" si="1"/>
        <v>2.9446764091858038</v>
      </c>
      <c r="G42" s="151">
        <f t="shared" si="9"/>
        <v>23.55741127348643</v>
      </c>
      <c r="J42" s="132">
        <f t="shared" si="2"/>
        <v>41.695927493172476</v>
      </c>
      <c r="K42" s="132">
        <f t="shared" si="3"/>
        <v>52.913327931334592</v>
      </c>
      <c r="L42" s="132">
        <f t="shared" si="4"/>
        <v>5.3907445754929322</v>
      </c>
      <c r="N42">
        <f t="shared" si="10"/>
        <v>5.7142857142857141E-2</v>
      </c>
      <c r="O42">
        <f t="shared" si="11"/>
        <v>1.8918918918918919</v>
      </c>
      <c r="P42">
        <f t="shared" si="12"/>
        <v>0.10810810810810811</v>
      </c>
      <c r="Q42">
        <v>1</v>
      </c>
      <c r="R42">
        <f t="shared" si="13"/>
        <v>0.63063063063063063</v>
      </c>
      <c r="S42">
        <f t="shared" si="13"/>
        <v>3.6036036036036036E-2</v>
      </c>
      <c r="T42">
        <f t="shared" si="13"/>
        <v>0.33333333333333331</v>
      </c>
      <c r="U42">
        <f t="shared" si="14"/>
        <v>76.243243243243242</v>
      </c>
      <c r="V42">
        <f t="shared" si="15"/>
        <v>7.7675675675675677</v>
      </c>
      <c r="W42">
        <f t="shared" si="16"/>
        <v>60.08</v>
      </c>
      <c r="X42">
        <f t="shared" si="17"/>
        <v>144.09081081081081</v>
      </c>
      <c r="Y42">
        <f t="shared" si="5"/>
        <v>100</v>
      </c>
      <c r="Z42">
        <f t="shared" si="6"/>
        <v>0.94594594594594594</v>
      </c>
    </row>
    <row r="43" spans="1:35">
      <c r="A43" s="154">
        <v>18</v>
      </c>
      <c r="B43" s="145">
        <f t="shared" si="0"/>
        <v>5.3999999999999995</v>
      </c>
      <c r="C43" s="145">
        <f t="shared" si="7"/>
        <v>84.375</v>
      </c>
      <c r="D43" s="146">
        <f t="shared" si="8"/>
        <v>94.736842105263165</v>
      </c>
      <c r="F43" s="145">
        <f t="shared" si="1"/>
        <v>3.0288100208768265</v>
      </c>
      <c r="G43" s="151">
        <f t="shared" si="9"/>
        <v>24.230480167014612</v>
      </c>
      <c r="J43" s="132">
        <f t="shared" si="2"/>
        <v>41.721917237447094</v>
      </c>
      <c r="K43" s="132">
        <f t="shared" si="3"/>
        <v>53.025928173039667</v>
      </c>
      <c r="L43" s="132">
        <f t="shared" si="4"/>
        <v>5.25215458951324</v>
      </c>
      <c r="N43">
        <f t="shared" si="10"/>
        <v>5.5555555555555552E-2</v>
      </c>
      <c r="O43">
        <f t="shared" si="11"/>
        <v>1.8947368421052631</v>
      </c>
      <c r="P43">
        <f t="shared" si="12"/>
        <v>0.10526315789473695</v>
      </c>
      <c r="Q43">
        <v>1</v>
      </c>
      <c r="R43">
        <f t="shared" si="13"/>
        <v>0.63157894736842102</v>
      </c>
      <c r="S43">
        <f t="shared" si="13"/>
        <v>3.5087719298245647E-2</v>
      </c>
      <c r="T43">
        <f t="shared" si="13"/>
        <v>0.33333333333333331</v>
      </c>
      <c r="U43">
        <f t="shared" si="14"/>
        <v>76.357894736842098</v>
      </c>
      <c r="V43">
        <f t="shared" si="15"/>
        <v>7.5631578947368494</v>
      </c>
      <c r="W43">
        <f t="shared" si="16"/>
        <v>60.08</v>
      </c>
      <c r="X43">
        <f t="shared" si="17"/>
        <v>144.00105263157894</v>
      </c>
      <c r="Y43">
        <f t="shared" si="5"/>
        <v>100</v>
      </c>
      <c r="Z43">
        <f t="shared" si="6"/>
        <v>0.94736842105263153</v>
      </c>
    </row>
    <row r="44" spans="1:35">
      <c r="A44" s="154">
        <v>18.5</v>
      </c>
      <c r="B44" s="145">
        <f t="shared" si="0"/>
        <v>5.55</v>
      </c>
      <c r="C44" s="145">
        <f t="shared" si="7"/>
        <v>84.732824427480921</v>
      </c>
      <c r="D44" s="146">
        <f t="shared" si="8"/>
        <v>94.871794871794876</v>
      </c>
      <c r="F44" s="145">
        <f t="shared" si="1"/>
        <v>3.1129436325678497</v>
      </c>
      <c r="G44" s="151">
        <f t="shared" si="9"/>
        <v>24.903549060542797</v>
      </c>
      <c r="J44" s="132">
        <f t="shared" si="2"/>
        <v>41.746604142020274</v>
      </c>
      <c r="K44" s="132">
        <f t="shared" si="3"/>
        <v>53.132883878048439</v>
      </c>
      <c r="L44" s="132">
        <f t="shared" si="4"/>
        <v>5.1205119799312913</v>
      </c>
      <c r="N44">
        <f t="shared" si="10"/>
        <v>5.4054054054054057E-2</v>
      </c>
      <c r="O44">
        <f t="shared" si="11"/>
        <v>1.8974358974358976</v>
      </c>
      <c r="P44">
        <f t="shared" si="12"/>
        <v>0.10256410256410242</v>
      </c>
      <c r="Q44">
        <v>1</v>
      </c>
      <c r="R44">
        <f t="shared" si="13"/>
        <v>0.63247863247863256</v>
      </c>
      <c r="S44">
        <f t="shared" si="13"/>
        <v>3.4188034188034143E-2</v>
      </c>
      <c r="T44">
        <f t="shared" si="13"/>
        <v>0.33333333333333331</v>
      </c>
      <c r="U44">
        <f t="shared" si="14"/>
        <v>76.466666666666669</v>
      </c>
      <c r="V44">
        <f t="shared" si="15"/>
        <v>7.3692307692307581</v>
      </c>
      <c r="W44">
        <f t="shared" si="16"/>
        <v>60.08</v>
      </c>
      <c r="X44">
        <f t="shared" si="17"/>
        <v>143.91589743589742</v>
      </c>
      <c r="Y44">
        <f t="shared" si="5"/>
        <v>100.00000000000001</v>
      </c>
      <c r="Z44">
        <f t="shared" si="6"/>
        <v>0.94871794871794879</v>
      </c>
    </row>
    <row r="45" spans="1:35">
      <c r="A45" s="154">
        <v>19</v>
      </c>
      <c r="B45" s="145">
        <f t="shared" si="0"/>
        <v>5.7</v>
      </c>
      <c r="C45" s="145">
        <f t="shared" si="7"/>
        <v>85.074626865671632</v>
      </c>
      <c r="D45" s="146">
        <f t="shared" si="8"/>
        <v>95</v>
      </c>
      <c r="F45" s="145">
        <f t="shared" si="1"/>
        <v>3.1970772442588729</v>
      </c>
      <c r="G45" s="151">
        <f t="shared" si="9"/>
        <v>25.576617954070983</v>
      </c>
      <c r="J45" s="132">
        <f t="shared" si="2"/>
        <v>41.770083776549527</v>
      </c>
      <c r="K45" s="132">
        <f t="shared" si="3"/>
        <v>53.234609100705669</v>
      </c>
      <c r="L45" s="132">
        <f t="shared" si="4"/>
        <v>4.9953071227448049</v>
      </c>
      <c r="N45">
        <f t="shared" si="10"/>
        <v>5.2631578947368418E-2</v>
      </c>
      <c r="O45">
        <f t="shared" si="11"/>
        <v>1.9000000000000001</v>
      </c>
      <c r="P45">
        <f t="shared" si="12"/>
        <v>9.9999999999999867E-2</v>
      </c>
      <c r="Q45">
        <v>1</v>
      </c>
      <c r="R45">
        <f t="shared" si="13"/>
        <v>0.63333333333333341</v>
      </c>
      <c r="S45">
        <f t="shared" si="13"/>
        <v>3.3333333333333291E-2</v>
      </c>
      <c r="T45">
        <f t="shared" si="13"/>
        <v>0.33333333333333331</v>
      </c>
      <c r="U45">
        <f t="shared" si="14"/>
        <v>76.569999999999993</v>
      </c>
      <c r="V45">
        <f t="shared" si="15"/>
        <v>7.1849999999999898</v>
      </c>
      <c r="W45">
        <f t="shared" si="16"/>
        <v>60.08</v>
      </c>
      <c r="X45">
        <f t="shared" si="17"/>
        <v>143.83499999999998</v>
      </c>
      <c r="Y45">
        <f t="shared" si="5"/>
        <v>100</v>
      </c>
      <c r="Z45">
        <f t="shared" si="6"/>
        <v>0.95000000000000007</v>
      </c>
    </row>
    <row r="46" spans="1:35">
      <c r="A46" s="154">
        <v>19.5</v>
      </c>
      <c r="B46" s="145">
        <f t="shared" si="0"/>
        <v>5.85</v>
      </c>
      <c r="C46" s="145">
        <f t="shared" si="7"/>
        <v>85.401459854014604</v>
      </c>
      <c r="D46" s="146">
        <f t="shared" si="8"/>
        <v>95.121951219512198</v>
      </c>
      <c r="F46" s="145">
        <f t="shared" si="1"/>
        <v>3.2812108559498956</v>
      </c>
      <c r="G46" s="151">
        <f t="shared" si="9"/>
        <v>26.249686847599165</v>
      </c>
      <c r="J46" s="132">
        <f t="shared" si="2"/>
        <v>41.792442586459636</v>
      </c>
      <c r="K46" s="132">
        <f t="shared" si="3"/>
        <v>53.331478364732071</v>
      </c>
      <c r="L46" s="132">
        <f t="shared" si="4"/>
        <v>4.8760790488082995</v>
      </c>
      <c r="N46">
        <f t="shared" si="10"/>
        <v>5.128205128205128E-2</v>
      </c>
      <c r="O46">
        <f t="shared" si="11"/>
        <v>1.9024390243902438</v>
      </c>
      <c r="P46">
        <f t="shared" si="12"/>
        <v>9.7560975609756184E-2</v>
      </c>
      <c r="Q46">
        <v>1</v>
      </c>
      <c r="R46">
        <f t="shared" si="13"/>
        <v>0.63414634146341464</v>
      </c>
      <c r="S46">
        <f t="shared" si="13"/>
        <v>3.2520325203252064E-2</v>
      </c>
      <c r="T46">
        <f t="shared" si="13"/>
        <v>0.33333333333333331</v>
      </c>
      <c r="U46">
        <f t="shared" si="14"/>
        <v>76.668292682926818</v>
      </c>
      <c r="V46">
        <f t="shared" si="15"/>
        <v>7.0097560975609809</v>
      </c>
      <c r="W46">
        <f t="shared" si="16"/>
        <v>60.08</v>
      </c>
      <c r="X46">
        <f t="shared" si="17"/>
        <v>143.7580487804878</v>
      </c>
      <c r="Y46">
        <f t="shared" si="5"/>
        <v>100</v>
      </c>
      <c r="Z46">
        <f t="shared" si="6"/>
        <v>0.95121951219512191</v>
      </c>
    </row>
    <row r="47" spans="1:35">
      <c r="A47" s="154">
        <v>20</v>
      </c>
      <c r="B47" s="145">
        <f t="shared" si="0"/>
        <v>6</v>
      </c>
      <c r="C47" s="145">
        <f t="shared" si="7"/>
        <v>85.714285714285708</v>
      </c>
      <c r="D47" s="146">
        <f t="shared" si="8"/>
        <v>95.238095238095241</v>
      </c>
      <c r="F47" s="145">
        <f t="shared" si="1"/>
        <v>3.3653444676409183</v>
      </c>
      <c r="G47" s="151">
        <f t="shared" si="9"/>
        <v>26.922755741127347</v>
      </c>
      <c r="J47" s="132">
        <f t="shared" si="2"/>
        <v>41.81375895644566</v>
      </c>
      <c r="K47" s="132">
        <f t="shared" si="3"/>
        <v>53.423831270837617</v>
      </c>
      <c r="L47" s="132">
        <f t="shared" si="4"/>
        <v>4.7624097727167332</v>
      </c>
      <c r="N47">
        <f t="shared" si="10"/>
        <v>0.05</v>
      </c>
      <c r="O47">
        <f t="shared" si="11"/>
        <v>1.9047619047619047</v>
      </c>
      <c r="P47">
        <f t="shared" si="12"/>
        <v>9.5238095238095344E-2</v>
      </c>
      <c r="Q47">
        <v>1</v>
      </c>
      <c r="R47">
        <f t="shared" si="13"/>
        <v>0.63492063492063489</v>
      </c>
      <c r="S47">
        <f t="shared" si="13"/>
        <v>3.1746031746031779E-2</v>
      </c>
      <c r="T47">
        <f t="shared" si="13"/>
        <v>0.33333333333333331</v>
      </c>
      <c r="U47">
        <f t="shared" si="14"/>
        <v>76.761904761904759</v>
      </c>
      <c r="V47">
        <f t="shared" si="15"/>
        <v>6.8428571428571496</v>
      </c>
      <c r="W47">
        <f t="shared" si="16"/>
        <v>60.08</v>
      </c>
      <c r="X47">
        <f t="shared" si="17"/>
        <v>143.6847619047619</v>
      </c>
      <c r="Y47">
        <f t="shared" si="5"/>
        <v>100.00000000000001</v>
      </c>
      <c r="Z47">
        <f t="shared" si="6"/>
        <v>0.95238095238095233</v>
      </c>
    </row>
    <row r="48" spans="1:35">
      <c r="A48" s="154">
        <v>20.5</v>
      </c>
      <c r="B48" s="145">
        <f t="shared" si="0"/>
        <v>6.1499999999999995</v>
      </c>
      <c r="C48" s="145">
        <f t="shared" si="7"/>
        <v>86.013986013986028</v>
      </c>
      <c r="D48" s="146">
        <f t="shared" si="8"/>
        <v>95.348837209302332</v>
      </c>
      <c r="F48" s="145">
        <f t="shared" si="1"/>
        <v>3.4494780793319411</v>
      </c>
      <c r="G48" s="151">
        <f t="shared" si="9"/>
        <v>27.595824634655528</v>
      </c>
      <c r="J48" s="132">
        <f t="shared" si="2"/>
        <v>41.834104128612708</v>
      </c>
      <c r="K48" s="132">
        <f t="shared" si="3"/>
        <v>53.511976474550792</v>
      </c>
      <c r="L48" s="132">
        <f t="shared" si="4"/>
        <v>4.6539193968365096</v>
      </c>
      <c r="N48">
        <f t="shared" si="10"/>
        <v>4.878048780487805E-2</v>
      </c>
      <c r="O48">
        <f t="shared" si="11"/>
        <v>1.9069767441860463</v>
      </c>
      <c r="P48">
        <f t="shared" si="12"/>
        <v>9.3023255813953654E-2</v>
      </c>
      <c r="Q48">
        <v>1</v>
      </c>
      <c r="R48">
        <f t="shared" si="13"/>
        <v>0.63565891472868208</v>
      </c>
      <c r="S48">
        <f t="shared" si="13"/>
        <v>3.1007751937984551E-2</v>
      </c>
      <c r="T48">
        <f t="shared" si="13"/>
        <v>0.33333333333333331</v>
      </c>
      <c r="U48">
        <f t="shared" si="14"/>
        <v>76.851162790697657</v>
      </c>
      <c r="V48">
        <f t="shared" si="15"/>
        <v>6.6837209302325693</v>
      </c>
      <c r="W48">
        <f t="shared" si="16"/>
        <v>60.08</v>
      </c>
      <c r="X48">
        <f t="shared" si="17"/>
        <v>143.61488372093021</v>
      </c>
      <c r="Y48">
        <f t="shared" si="5"/>
        <v>100.00000000000001</v>
      </c>
      <c r="Z48">
        <f t="shared" si="6"/>
        <v>0.95348837209302317</v>
      </c>
    </row>
    <row r="49" spans="1:26">
      <c r="A49" s="154">
        <v>21</v>
      </c>
      <c r="B49" s="145">
        <f t="shared" si="0"/>
        <v>6.3</v>
      </c>
      <c r="C49" s="145">
        <f t="shared" si="7"/>
        <v>86.301369863013704</v>
      </c>
      <c r="D49" s="146">
        <f t="shared" si="8"/>
        <v>95.454545454545453</v>
      </c>
      <c r="F49" s="145">
        <f t="shared" si="1"/>
        <v>3.5336116910229642</v>
      </c>
      <c r="G49" s="151">
        <f t="shared" si="9"/>
        <v>28.268893528183714</v>
      </c>
      <c r="J49" s="132">
        <f t="shared" si="2"/>
        <v>41.853542997916442</v>
      </c>
      <c r="K49" s="132">
        <f t="shared" si="3"/>
        <v>53.596195132454717</v>
      </c>
      <c r="L49" s="132">
        <f t="shared" si="4"/>
        <v>4.5502618696288293</v>
      </c>
      <c r="N49">
        <f t="shared" si="10"/>
        <v>4.7619047619047616E-2</v>
      </c>
      <c r="O49">
        <f t="shared" si="11"/>
        <v>1.9090909090909089</v>
      </c>
      <c r="P49">
        <f t="shared" si="12"/>
        <v>9.090909090909105E-2</v>
      </c>
      <c r="Q49">
        <v>1</v>
      </c>
      <c r="R49">
        <f t="shared" si="13"/>
        <v>0.63636363636363635</v>
      </c>
      <c r="S49">
        <f t="shared" si="13"/>
        <v>3.0303030303030349E-2</v>
      </c>
      <c r="T49">
        <f t="shared" si="13"/>
        <v>0.33333333333333331</v>
      </c>
      <c r="U49">
        <f t="shared" si="14"/>
        <v>76.936363636363623</v>
      </c>
      <c r="V49">
        <f t="shared" si="15"/>
        <v>6.5318181818181911</v>
      </c>
      <c r="W49">
        <f t="shared" si="16"/>
        <v>60.08</v>
      </c>
      <c r="X49">
        <f t="shared" si="17"/>
        <v>143.54818181818183</v>
      </c>
      <c r="Y49">
        <f t="shared" si="5"/>
        <v>99.999999999999986</v>
      </c>
      <c r="Z49">
        <f t="shared" si="6"/>
        <v>0.95454545454545447</v>
      </c>
    </row>
  </sheetData>
  <phoneticPr fontId="4"/>
  <pageMargins left="0.75" right="0.75" top="1" bottom="1" header="0.5" footer="0.5"/>
  <pageSetup paperSize="0"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Olivine-liq thermometry_corrMM</vt:lpstr>
      <vt:lpstr>Olivine-liq thermometry_noFo2</vt:lpstr>
      <vt:lpstr>Instructions</vt:lpstr>
      <vt:lpstr>Olivine-liq thermometry</vt:lpstr>
      <vt:lpstr>Rhodes Diag Calcs</vt:lpstr>
      <vt:lpstr>RECalcs</vt:lpstr>
      <vt:lpstr>Mg# Worksheet</vt:lpstr>
      <vt:lpstr>Rhodes Diagram</vt:lpstr>
      <vt:lpstr>R&amp;E Chart</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2005-01-20T23:39:57Z</dcterms:created>
  <dcterms:modified xsi:type="dcterms:W3CDTF">2021-05-27T18:30:05Z</dcterms:modified>
</cp:coreProperties>
</file>