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ate1904="1"/>
  <mc:AlternateContent xmlns:mc="http://schemas.openxmlformats.org/markup-compatibility/2006">
    <mc:Choice Requires="x15">
      <x15ac:absPath xmlns:x15ac="http://schemas.microsoft.com/office/spreadsheetml/2010/11/ac" url="https://oregonstateuniversity-my.sharepoint.com/personal/wieserp_oregonstate_edu/Documents/Postdoc/PyMME/MyBarometers/Thermobar_outer/Benchmarking/two_pyroxene/"/>
    </mc:Choice>
  </mc:AlternateContent>
  <xr:revisionPtr revIDLastSave="0" documentId="13_ncr:4000b_{25D34F05-BCD2-4F22-A475-7691FD2AACB3}" xr6:coauthVersionLast="47" xr6:coauthVersionMax="47" xr10:uidLastSave="{00000000-0000-0000-0000-000000000000}"/>
  <bookViews>
    <workbookView xWindow="-108" yWindow="-108" windowWidth="23256" windowHeight="12720" tabRatio="500" activeTab="1" xr2:uid="{00000000-000D-0000-FFFF-FFFF00000000}"/>
  </bookViews>
  <sheets>
    <sheet name="Instructions" sheetId="3" r:id="rId1"/>
    <sheet name="Two-pyx Input &amp; Models"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Z17" i="1" l="1"/>
  <c r="BL17" i="1" s="1"/>
  <c r="AT17" i="1"/>
  <c r="BF17" i="1" s="1"/>
  <c r="AU17" i="1"/>
  <c r="AV17" i="1"/>
  <c r="BH17" i="1" s="1"/>
  <c r="AW17" i="1"/>
  <c r="BI17" i="1" s="1"/>
  <c r="AX17" i="1"/>
  <c r="BJ17" i="1" s="1"/>
  <c r="AY17" i="1"/>
  <c r="AE17" i="1" s="1"/>
  <c r="BA17" i="1"/>
  <c r="BB17" i="1"/>
  <c r="BC9" i="1"/>
  <c r="BC17" i="1" s="1"/>
  <c r="DJ17" i="1"/>
  <c r="DV17" i="1" s="1"/>
  <c r="DD17" i="1"/>
  <c r="DP17" i="1" s="1"/>
  <c r="DE17" i="1"/>
  <c r="DF17" i="1"/>
  <c r="DG17" i="1"/>
  <c r="DS17" i="1" s="1"/>
  <c r="DH17" i="1"/>
  <c r="DI17" i="1"/>
  <c r="DU17" i="1" s="1"/>
  <c r="DK17" i="1"/>
  <c r="DW17" i="1" s="1"/>
  <c r="DL17" i="1"/>
  <c r="DX17" i="1" s="1"/>
  <c r="AZ18" i="1"/>
  <c r="AT18" i="1"/>
  <c r="BF18" i="1"/>
  <c r="AU18" i="1"/>
  <c r="BG18" i="1" s="1"/>
  <c r="AV18" i="1"/>
  <c r="BH18" i="1" s="1"/>
  <c r="AW18" i="1"/>
  <c r="BI18" i="1" s="1"/>
  <c r="AX18" i="1"/>
  <c r="BJ18" i="1"/>
  <c r="AY18" i="1"/>
  <c r="BK18" i="1" s="1"/>
  <c r="BA18" i="1"/>
  <c r="BM18" i="1" s="1"/>
  <c r="BB18" i="1"/>
  <c r="BN18" i="1" s="1"/>
  <c r="DJ18" i="1"/>
  <c r="DV18" i="1" s="1"/>
  <c r="DD18" i="1"/>
  <c r="DP18" i="1" s="1"/>
  <c r="DE18" i="1"/>
  <c r="DQ18" i="1"/>
  <c r="DF18" i="1"/>
  <c r="DR18" i="1" s="1"/>
  <c r="DG18" i="1"/>
  <c r="DH18" i="1"/>
  <c r="DI18" i="1"/>
  <c r="DU18" i="1" s="1"/>
  <c r="DK18" i="1"/>
  <c r="DW18" i="1" s="1"/>
  <c r="DL18" i="1"/>
  <c r="DX18" i="1" s="1"/>
  <c r="DM18" i="1"/>
  <c r="DY18" i="1" s="1"/>
  <c r="AZ19" i="1"/>
  <c r="AT19" i="1"/>
  <c r="BF19" i="1"/>
  <c r="AU19" i="1"/>
  <c r="BG19" i="1" s="1"/>
  <c r="AV19" i="1"/>
  <c r="BH19" i="1" s="1"/>
  <c r="AW19" i="1"/>
  <c r="BI19" i="1" s="1"/>
  <c r="AX19" i="1"/>
  <c r="BJ19" i="1"/>
  <c r="AY19" i="1"/>
  <c r="BA19" i="1"/>
  <c r="BM19" i="1"/>
  <c r="BB19" i="1"/>
  <c r="BC19" i="1"/>
  <c r="BO19" i="1" s="1"/>
  <c r="DJ19" i="1"/>
  <c r="DV19" i="1"/>
  <c r="DD19" i="1"/>
  <c r="DP19" i="1" s="1"/>
  <c r="DE19" i="1"/>
  <c r="DF19" i="1"/>
  <c r="DR19" i="1" s="1"/>
  <c r="DG19" i="1"/>
  <c r="DS19" i="1" s="1"/>
  <c r="DH19" i="1"/>
  <c r="DT19" i="1" s="1"/>
  <c r="DI19" i="1"/>
  <c r="DU19" i="1" s="1"/>
  <c r="DK19" i="1"/>
  <c r="DW19" i="1" s="1"/>
  <c r="DL19" i="1"/>
  <c r="DX19" i="1"/>
  <c r="DM19" i="1"/>
  <c r="DY19" i="1" s="1"/>
  <c r="AZ20" i="1"/>
  <c r="AT20" i="1"/>
  <c r="AU20" i="1"/>
  <c r="AV20" i="1"/>
  <c r="BH20" i="1" s="1"/>
  <c r="AW20" i="1"/>
  <c r="BI20" i="1" s="1"/>
  <c r="AX20" i="1"/>
  <c r="BJ20" i="1"/>
  <c r="AY20" i="1"/>
  <c r="BL20" i="1"/>
  <c r="BA20" i="1"/>
  <c r="BB20" i="1"/>
  <c r="BN20" i="1" s="1"/>
  <c r="BC20" i="1"/>
  <c r="BO20" i="1" s="1"/>
  <c r="DJ20" i="1"/>
  <c r="DV20" i="1" s="1"/>
  <c r="DD20" i="1"/>
  <c r="DP20" i="1" s="1"/>
  <c r="DE20" i="1"/>
  <c r="DQ20" i="1" s="1"/>
  <c r="DF20" i="1"/>
  <c r="DR20" i="1" s="1"/>
  <c r="DG20" i="1"/>
  <c r="DS20" i="1"/>
  <c r="DH20" i="1"/>
  <c r="DT20" i="1" s="1"/>
  <c r="DI20" i="1"/>
  <c r="DU20" i="1" s="1"/>
  <c r="DK20" i="1"/>
  <c r="DW20" i="1" s="1"/>
  <c r="DL20" i="1"/>
  <c r="DX20" i="1"/>
  <c r="DM20" i="1"/>
  <c r="AZ21" i="1"/>
  <c r="BL21" i="1"/>
  <c r="AT21" i="1"/>
  <c r="BF21" i="1" s="1"/>
  <c r="AU21" i="1"/>
  <c r="BG21" i="1" s="1"/>
  <c r="AV21" i="1"/>
  <c r="AW21" i="1"/>
  <c r="BI21" i="1" s="1"/>
  <c r="AX21" i="1"/>
  <c r="BJ21" i="1" s="1"/>
  <c r="AY21" i="1"/>
  <c r="AE21" i="1" s="1"/>
  <c r="BA21" i="1"/>
  <c r="BM21" i="1" s="1"/>
  <c r="BB21" i="1"/>
  <c r="BN21" i="1" s="1"/>
  <c r="BC21" i="1"/>
  <c r="BO21" i="1" s="1"/>
  <c r="DJ21" i="1"/>
  <c r="DV21" i="1" s="1"/>
  <c r="DD21" i="1"/>
  <c r="DP21" i="1" s="1"/>
  <c r="DE21" i="1"/>
  <c r="DQ21" i="1" s="1"/>
  <c r="DF21" i="1"/>
  <c r="DR21" i="1" s="1"/>
  <c r="DG21" i="1"/>
  <c r="DS21" i="1" s="1"/>
  <c r="DH21" i="1"/>
  <c r="DI21" i="1"/>
  <c r="DU21" i="1" s="1"/>
  <c r="DK21" i="1"/>
  <c r="DW21" i="1" s="1"/>
  <c r="DL21" i="1"/>
  <c r="DX21" i="1" s="1"/>
  <c r="DM21" i="1"/>
  <c r="DY21" i="1" s="1"/>
  <c r="AZ22" i="1"/>
  <c r="BL22" i="1" s="1"/>
  <c r="AT22" i="1"/>
  <c r="BF22" i="1" s="1"/>
  <c r="AU22" i="1"/>
  <c r="BG22" i="1" s="1"/>
  <c r="AV22" i="1"/>
  <c r="AW22" i="1"/>
  <c r="BI22" i="1" s="1"/>
  <c r="AX22" i="1"/>
  <c r="AY22" i="1"/>
  <c r="BA22" i="1"/>
  <c r="BM22" i="1" s="1"/>
  <c r="BB22" i="1"/>
  <c r="BN22" i="1" s="1"/>
  <c r="BC22" i="1"/>
  <c r="BO22" i="1"/>
  <c r="DJ22" i="1"/>
  <c r="DV22" i="1" s="1"/>
  <c r="DD22" i="1"/>
  <c r="DP22" i="1"/>
  <c r="DE22" i="1"/>
  <c r="DF22" i="1"/>
  <c r="DR22" i="1" s="1"/>
  <c r="DG22" i="1"/>
  <c r="DS22" i="1" s="1"/>
  <c r="DH22" i="1"/>
  <c r="DT22" i="1" s="1"/>
  <c r="DI22" i="1"/>
  <c r="DU22" i="1" s="1"/>
  <c r="DK22" i="1"/>
  <c r="DW22" i="1" s="1"/>
  <c r="DL22" i="1"/>
  <c r="DX22" i="1"/>
  <c r="DM22" i="1"/>
  <c r="DY22" i="1" s="1"/>
  <c r="AZ23" i="1"/>
  <c r="BL23" i="1" s="1"/>
  <c r="AT23" i="1"/>
  <c r="AU23" i="1"/>
  <c r="BG23" i="1" s="1"/>
  <c r="AV23" i="1"/>
  <c r="BH23" i="1" s="1"/>
  <c r="AW23" i="1"/>
  <c r="AX23" i="1"/>
  <c r="BJ23" i="1" s="1"/>
  <c r="AY23" i="1"/>
  <c r="BA23" i="1"/>
  <c r="BM23" i="1" s="1"/>
  <c r="BB23" i="1"/>
  <c r="BN23" i="1" s="1"/>
  <c r="BC23" i="1"/>
  <c r="BO23" i="1" s="1"/>
  <c r="DJ23" i="1"/>
  <c r="DV23" i="1" s="1"/>
  <c r="DD23" i="1"/>
  <c r="DP23" i="1" s="1"/>
  <c r="DE23" i="1"/>
  <c r="DF23" i="1"/>
  <c r="DR23" i="1" s="1"/>
  <c r="DG23" i="1"/>
  <c r="DS23" i="1"/>
  <c r="DH23" i="1"/>
  <c r="DT23" i="1" s="1"/>
  <c r="DI23" i="1"/>
  <c r="DK23" i="1"/>
  <c r="DL23" i="1"/>
  <c r="DX23" i="1" s="1"/>
  <c r="DM23" i="1"/>
  <c r="DY23" i="1" s="1"/>
  <c r="AZ24" i="1"/>
  <c r="BL24" i="1" s="1"/>
  <c r="AT24" i="1"/>
  <c r="AU24" i="1"/>
  <c r="BG24" i="1" s="1"/>
  <c r="AV24" i="1"/>
  <c r="BH24" i="1" s="1"/>
  <c r="AW24" i="1"/>
  <c r="BI24" i="1" s="1"/>
  <c r="AX24" i="1"/>
  <c r="BJ24" i="1" s="1"/>
  <c r="AY24" i="1"/>
  <c r="BK24" i="1" s="1"/>
  <c r="BA24" i="1"/>
  <c r="BM24" i="1"/>
  <c r="BB24" i="1"/>
  <c r="BN24" i="1" s="1"/>
  <c r="BC24" i="1"/>
  <c r="DJ24" i="1"/>
  <c r="DV24" i="1"/>
  <c r="DD24" i="1"/>
  <c r="DP24" i="1" s="1"/>
  <c r="DE24" i="1"/>
  <c r="DF24" i="1"/>
  <c r="DR24" i="1" s="1"/>
  <c r="DG24" i="1"/>
  <c r="DS24" i="1" s="1"/>
  <c r="DH24" i="1"/>
  <c r="DT24" i="1" s="1"/>
  <c r="DI24" i="1"/>
  <c r="DU24" i="1"/>
  <c r="DK24" i="1"/>
  <c r="DL24" i="1"/>
  <c r="DX24" i="1" s="1"/>
  <c r="DM24" i="1"/>
  <c r="DY24" i="1" s="1"/>
  <c r="AZ25" i="1"/>
  <c r="AT25" i="1"/>
  <c r="BF25" i="1"/>
  <c r="AU25" i="1"/>
  <c r="BG25" i="1" s="1"/>
  <c r="AV25" i="1"/>
  <c r="BH25" i="1"/>
  <c r="AW25" i="1"/>
  <c r="BI25" i="1" s="1"/>
  <c r="AX25" i="1"/>
  <c r="BJ25" i="1" s="1"/>
  <c r="AY25" i="1"/>
  <c r="BK25" i="1" s="1"/>
  <c r="BL25" i="1"/>
  <c r="BA25" i="1"/>
  <c r="BM25" i="1" s="1"/>
  <c r="BB25" i="1"/>
  <c r="BN25" i="1" s="1"/>
  <c r="BC25" i="1"/>
  <c r="DJ25" i="1"/>
  <c r="DV25" i="1" s="1"/>
  <c r="DD25" i="1"/>
  <c r="DP25" i="1"/>
  <c r="DE25" i="1"/>
  <c r="DQ25" i="1"/>
  <c r="DF25" i="1"/>
  <c r="DR25" i="1" s="1"/>
  <c r="DG25" i="1"/>
  <c r="DH25" i="1"/>
  <c r="DT25" i="1" s="1"/>
  <c r="DI25" i="1"/>
  <c r="DU25" i="1" s="1"/>
  <c r="DK25" i="1"/>
  <c r="DL25" i="1"/>
  <c r="DX25" i="1" s="1"/>
  <c r="DM25" i="1"/>
  <c r="AZ26" i="1"/>
  <c r="BL26" i="1" s="1"/>
  <c r="AT26" i="1"/>
  <c r="BF26" i="1" s="1"/>
  <c r="AU26" i="1"/>
  <c r="BG26" i="1" s="1"/>
  <c r="AV26" i="1"/>
  <c r="BH26" i="1" s="1"/>
  <c r="AW26" i="1"/>
  <c r="BI26" i="1" s="1"/>
  <c r="AX26" i="1"/>
  <c r="BJ26" i="1"/>
  <c r="AY26" i="1"/>
  <c r="AE26" i="1" s="1"/>
  <c r="BA26" i="1"/>
  <c r="BM26" i="1"/>
  <c r="BB26" i="1"/>
  <c r="BN26" i="1" s="1"/>
  <c r="BC26" i="1"/>
  <c r="BO26" i="1" s="1"/>
  <c r="DJ26" i="1"/>
  <c r="DV26" i="1" s="1"/>
  <c r="DD26" i="1"/>
  <c r="DE26" i="1"/>
  <c r="DQ26" i="1"/>
  <c r="DF26" i="1"/>
  <c r="DR26" i="1" s="1"/>
  <c r="DG26" i="1"/>
  <c r="DH26" i="1"/>
  <c r="DI26" i="1"/>
  <c r="DU26" i="1" s="1"/>
  <c r="DK26" i="1"/>
  <c r="DL26" i="1"/>
  <c r="DX26" i="1" s="1"/>
  <c r="DM26" i="1"/>
  <c r="DY26" i="1" s="1"/>
  <c r="AZ27" i="1"/>
  <c r="BL27" i="1" s="1"/>
  <c r="AT27" i="1"/>
  <c r="BF27" i="1" s="1"/>
  <c r="AU27" i="1"/>
  <c r="BG27" i="1" s="1"/>
  <c r="AV27" i="1"/>
  <c r="BH27" i="1" s="1"/>
  <c r="AW27" i="1"/>
  <c r="AX27" i="1"/>
  <c r="BJ27" i="1" s="1"/>
  <c r="AY27" i="1"/>
  <c r="BA27" i="1"/>
  <c r="BM27" i="1" s="1"/>
  <c r="BB27" i="1"/>
  <c r="BN27" i="1" s="1"/>
  <c r="BC27" i="1"/>
  <c r="BO27" i="1" s="1"/>
  <c r="DJ27" i="1"/>
  <c r="DV27" i="1" s="1"/>
  <c r="DD27" i="1"/>
  <c r="DP27" i="1"/>
  <c r="DE27" i="1"/>
  <c r="DQ27" i="1"/>
  <c r="DF27" i="1"/>
  <c r="DR27" i="1" s="1"/>
  <c r="DG27" i="1"/>
  <c r="DH27" i="1"/>
  <c r="DT27" i="1" s="1"/>
  <c r="DI27" i="1"/>
  <c r="DU27" i="1" s="1"/>
  <c r="DK27" i="1"/>
  <c r="DL27" i="1"/>
  <c r="DX27" i="1" s="1"/>
  <c r="DM27" i="1"/>
  <c r="DY27" i="1" s="1"/>
  <c r="AZ28" i="1"/>
  <c r="AT28" i="1"/>
  <c r="BF28" i="1"/>
  <c r="AU28" i="1"/>
  <c r="BG28" i="1"/>
  <c r="AV28" i="1"/>
  <c r="AW28" i="1"/>
  <c r="BI28" i="1" s="1"/>
  <c r="AX28" i="1"/>
  <c r="BJ28" i="1" s="1"/>
  <c r="AY28" i="1"/>
  <c r="AE28" i="1" s="1"/>
  <c r="BL28" i="1"/>
  <c r="BA28" i="1"/>
  <c r="BM28" i="1" s="1"/>
  <c r="BB28" i="1"/>
  <c r="BN28" i="1" s="1"/>
  <c r="BC28" i="1"/>
  <c r="BO28" i="1" s="1"/>
  <c r="DJ28" i="1"/>
  <c r="DV28" i="1"/>
  <c r="DD28" i="1"/>
  <c r="DP28" i="1" s="1"/>
  <c r="DE28" i="1"/>
  <c r="DQ28" i="1"/>
  <c r="DF28" i="1"/>
  <c r="DR28" i="1" s="1"/>
  <c r="DG28" i="1"/>
  <c r="DS28" i="1" s="1"/>
  <c r="DH28" i="1"/>
  <c r="DT28" i="1" s="1"/>
  <c r="DI28" i="1"/>
  <c r="DK28" i="1"/>
  <c r="DW28" i="1" s="1"/>
  <c r="DL28" i="1"/>
  <c r="DX28" i="1" s="1"/>
  <c r="DM28" i="1"/>
  <c r="DY28" i="1" s="1"/>
  <c r="AZ29" i="1"/>
  <c r="AT29" i="1"/>
  <c r="BF29" i="1" s="1"/>
  <c r="AU29" i="1"/>
  <c r="AV29" i="1"/>
  <c r="BH29" i="1" s="1"/>
  <c r="AW29" i="1"/>
  <c r="AX29" i="1"/>
  <c r="BJ29" i="1" s="1"/>
  <c r="AY29" i="1"/>
  <c r="BK29" i="1" s="1"/>
  <c r="BL29" i="1"/>
  <c r="BA29" i="1"/>
  <c r="BB29" i="1"/>
  <c r="BN29" i="1" s="1"/>
  <c r="BC29" i="1"/>
  <c r="BO29" i="1" s="1"/>
  <c r="DJ29" i="1"/>
  <c r="DV29" i="1" s="1"/>
  <c r="DD29" i="1"/>
  <c r="DP29" i="1" s="1"/>
  <c r="DE29" i="1"/>
  <c r="DQ29" i="1" s="1"/>
  <c r="DF29" i="1"/>
  <c r="DR29" i="1" s="1"/>
  <c r="DG29" i="1"/>
  <c r="DS29" i="1"/>
  <c r="DH29" i="1"/>
  <c r="DT29" i="1" s="1"/>
  <c r="DI29" i="1"/>
  <c r="DU29" i="1"/>
  <c r="DK29" i="1"/>
  <c r="DW29" i="1" s="1"/>
  <c r="DL29" i="1"/>
  <c r="DX29" i="1"/>
  <c r="DM29" i="1"/>
  <c r="AZ30" i="1"/>
  <c r="AT30" i="1"/>
  <c r="AU30" i="1"/>
  <c r="BG30" i="1" s="1"/>
  <c r="AV30" i="1"/>
  <c r="BH30" i="1" s="1"/>
  <c r="AW30" i="1"/>
  <c r="BI30" i="1" s="1"/>
  <c r="AX30" i="1"/>
  <c r="BJ30" i="1" s="1"/>
  <c r="AY30" i="1"/>
  <c r="BA30" i="1"/>
  <c r="BB30" i="1"/>
  <c r="BN30" i="1" s="1"/>
  <c r="BC30" i="1"/>
  <c r="BO30" i="1" s="1"/>
  <c r="DJ30" i="1"/>
  <c r="DD30" i="1"/>
  <c r="DP30" i="1" s="1"/>
  <c r="DE30" i="1"/>
  <c r="DQ30" i="1" s="1"/>
  <c r="DF30" i="1"/>
  <c r="DR30" i="1"/>
  <c r="DG30" i="1"/>
  <c r="DS30" i="1"/>
  <c r="DH30" i="1"/>
  <c r="DT30" i="1" s="1"/>
  <c r="DI30" i="1"/>
  <c r="DU30" i="1"/>
  <c r="DK30" i="1"/>
  <c r="DW30" i="1" s="1"/>
  <c r="DL30" i="1"/>
  <c r="DX30" i="1" s="1"/>
  <c r="DM30" i="1"/>
  <c r="DY30" i="1" s="1"/>
  <c r="AZ31" i="1"/>
  <c r="AT31" i="1"/>
  <c r="BF31" i="1"/>
  <c r="AU31" i="1"/>
  <c r="BG31" i="1" s="1"/>
  <c r="AV31" i="1"/>
  <c r="BH31" i="1"/>
  <c r="AW31" i="1"/>
  <c r="BI31" i="1" s="1"/>
  <c r="AX31" i="1"/>
  <c r="AY31" i="1"/>
  <c r="BK31" i="1" s="1"/>
  <c r="AE31" i="1"/>
  <c r="BL31" i="1"/>
  <c r="BA31" i="1"/>
  <c r="BB31" i="1"/>
  <c r="BN31" i="1" s="1"/>
  <c r="BC31" i="1"/>
  <c r="BO31" i="1" s="1"/>
  <c r="DJ31" i="1"/>
  <c r="DV31" i="1" s="1"/>
  <c r="DD31" i="1"/>
  <c r="DP31" i="1" s="1"/>
  <c r="DE31" i="1"/>
  <c r="DF31" i="1"/>
  <c r="DR31" i="1" s="1"/>
  <c r="DG31" i="1"/>
  <c r="DS31" i="1" s="1"/>
  <c r="DH31" i="1"/>
  <c r="DT31" i="1" s="1"/>
  <c r="DI31" i="1"/>
  <c r="DU31" i="1" s="1"/>
  <c r="DK31" i="1"/>
  <c r="DW31" i="1" s="1"/>
  <c r="DL31" i="1"/>
  <c r="DX31" i="1"/>
  <c r="DM31" i="1"/>
  <c r="DY31" i="1" s="1"/>
  <c r="AZ32" i="1"/>
  <c r="BL32" i="1" s="1"/>
  <c r="AT32" i="1"/>
  <c r="BF32" i="1" s="1"/>
  <c r="AU32" i="1"/>
  <c r="BG32" i="1" s="1"/>
  <c r="AV32" i="1"/>
  <c r="BH32" i="1"/>
  <c r="AW32" i="1"/>
  <c r="BI32" i="1" s="1"/>
  <c r="AX32" i="1"/>
  <c r="AY32" i="1"/>
  <c r="BA32" i="1"/>
  <c r="BM32" i="1" s="1"/>
  <c r="BB32" i="1"/>
  <c r="BN32" i="1" s="1"/>
  <c r="BC32" i="1"/>
  <c r="BO32" i="1" s="1"/>
  <c r="DJ32" i="1"/>
  <c r="DV32" i="1"/>
  <c r="DD32" i="1"/>
  <c r="DP32" i="1" s="1"/>
  <c r="DE32" i="1"/>
  <c r="DF32" i="1"/>
  <c r="DR32" i="1" s="1"/>
  <c r="DG32" i="1"/>
  <c r="DS32" i="1" s="1"/>
  <c r="DH32" i="1"/>
  <c r="DT32" i="1" s="1"/>
  <c r="DI32" i="1"/>
  <c r="DU32" i="1" s="1"/>
  <c r="DK32" i="1"/>
  <c r="DW32" i="1" s="1"/>
  <c r="DL32" i="1"/>
  <c r="DX32" i="1"/>
  <c r="DM32" i="1"/>
  <c r="DY32" i="1" s="1"/>
  <c r="AZ33" i="1"/>
  <c r="BL33" i="1" s="1"/>
  <c r="AT33" i="1"/>
  <c r="AU33" i="1"/>
  <c r="BG33" i="1" s="1"/>
  <c r="AV33" i="1"/>
  <c r="AW33" i="1"/>
  <c r="AX33" i="1"/>
  <c r="BJ33" i="1" s="1"/>
  <c r="AY33" i="1"/>
  <c r="BA33" i="1"/>
  <c r="BM33" i="1"/>
  <c r="BB33" i="1"/>
  <c r="BN33" i="1" s="1"/>
  <c r="BC33" i="1"/>
  <c r="BO33" i="1" s="1"/>
  <c r="DJ33" i="1"/>
  <c r="DV33" i="1" s="1"/>
  <c r="DD33" i="1"/>
  <c r="DP33" i="1" s="1"/>
  <c r="DE33" i="1"/>
  <c r="DQ33" i="1" s="1"/>
  <c r="DF33" i="1"/>
  <c r="DR33" i="1"/>
  <c r="DG33" i="1"/>
  <c r="DH33" i="1"/>
  <c r="DT33" i="1" s="1"/>
  <c r="DI33" i="1"/>
  <c r="DU33" i="1" s="1"/>
  <c r="DK33" i="1"/>
  <c r="DW33" i="1" s="1"/>
  <c r="DL33" i="1"/>
  <c r="DM33" i="1"/>
  <c r="DY33" i="1" s="1"/>
  <c r="AZ34" i="1"/>
  <c r="BL34" i="1" s="1"/>
  <c r="AT34" i="1"/>
  <c r="BF34" i="1"/>
  <c r="AU34" i="1"/>
  <c r="AV34" i="1"/>
  <c r="BH34" i="1" s="1"/>
  <c r="AW34" i="1"/>
  <c r="BI34" i="1" s="1"/>
  <c r="AX34" i="1"/>
  <c r="BJ34" i="1" s="1"/>
  <c r="AY34" i="1"/>
  <c r="BK34" i="1" s="1"/>
  <c r="BA34" i="1"/>
  <c r="BM34" i="1" s="1"/>
  <c r="BB34" i="1"/>
  <c r="BN34" i="1" s="1"/>
  <c r="BC34" i="1"/>
  <c r="BO34" i="1" s="1"/>
  <c r="DJ34" i="1"/>
  <c r="DV34" i="1" s="1"/>
  <c r="DD34" i="1"/>
  <c r="DE34" i="1"/>
  <c r="DQ34" i="1"/>
  <c r="DF34" i="1"/>
  <c r="DR34" i="1" s="1"/>
  <c r="DG34" i="1"/>
  <c r="DS34" i="1" s="1"/>
  <c r="DH34" i="1"/>
  <c r="DT34" i="1" s="1"/>
  <c r="DI34" i="1"/>
  <c r="DK34" i="1"/>
  <c r="DW34" i="1" s="1"/>
  <c r="DL34" i="1"/>
  <c r="DX34" i="1" s="1"/>
  <c r="DM34" i="1"/>
  <c r="DY34" i="1" s="1"/>
  <c r="AZ35" i="1"/>
  <c r="AT35" i="1"/>
  <c r="BF35" i="1" s="1"/>
  <c r="AU35" i="1"/>
  <c r="BG35" i="1" s="1"/>
  <c r="AV35" i="1"/>
  <c r="BH35" i="1" s="1"/>
  <c r="AW35" i="1"/>
  <c r="BI35" i="1" s="1"/>
  <c r="AX35" i="1"/>
  <c r="AY35" i="1"/>
  <c r="BA35" i="1"/>
  <c r="BM35" i="1" s="1"/>
  <c r="BB35" i="1"/>
  <c r="BN35" i="1" s="1"/>
  <c r="BC35" i="1"/>
  <c r="BO35" i="1" s="1"/>
  <c r="DJ35" i="1"/>
  <c r="DV35" i="1" s="1"/>
  <c r="DD35" i="1"/>
  <c r="DP35" i="1" s="1"/>
  <c r="DE35" i="1"/>
  <c r="DQ35" i="1" s="1"/>
  <c r="DF35" i="1"/>
  <c r="DR35" i="1" s="1"/>
  <c r="DG35" i="1"/>
  <c r="DS35" i="1" s="1"/>
  <c r="DH35" i="1"/>
  <c r="DT35" i="1" s="1"/>
  <c r="DI35" i="1"/>
  <c r="DU35" i="1" s="1"/>
  <c r="DK35" i="1"/>
  <c r="DW35" i="1" s="1"/>
  <c r="DL35" i="1"/>
  <c r="DX35" i="1"/>
  <c r="DM35" i="1"/>
  <c r="AZ36" i="1"/>
  <c r="AT36" i="1"/>
  <c r="BF36" i="1" s="1"/>
  <c r="AU36" i="1"/>
  <c r="BG36" i="1" s="1"/>
  <c r="AV36" i="1"/>
  <c r="BH36" i="1" s="1"/>
  <c r="AW36" i="1"/>
  <c r="BI36" i="1" s="1"/>
  <c r="AX36" i="1"/>
  <c r="BJ36" i="1"/>
  <c r="AY36" i="1"/>
  <c r="BK36" i="1" s="1"/>
  <c r="BA36" i="1"/>
  <c r="BM36" i="1"/>
  <c r="BB36" i="1"/>
  <c r="BN36" i="1" s="1"/>
  <c r="BC36" i="1"/>
  <c r="BO36" i="1"/>
  <c r="DJ36" i="1"/>
  <c r="DD36" i="1"/>
  <c r="DP36" i="1"/>
  <c r="DE36" i="1"/>
  <c r="DQ36" i="1"/>
  <c r="DF36" i="1"/>
  <c r="DR36" i="1" s="1"/>
  <c r="DG36" i="1"/>
  <c r="DH36" i="1"/>
  <c r="DT36" i="1" s="1"/>
  <c r="DI36" i="1"/>
  <c r="DU36" i="1"/>
  <c r="DV36" i="1"/>
  <c r="DK36" i="1"/>
  <c r="DW36" i="1" s="1"/>
  <c r="DL36" i="1"/>
  <c r="DX36" i="1" s="1"/>
  <c r="DM36" i="1"/>
  <c r="DY36" i="1" s="1"/>
  <c r="AZ37" i="1"/>
  <c r="AT37" i="1"/>
  <c r="BF37" i="1" s="1"/>
  <c r="AU37" i="1"/>
  <c r="BG37" i="1" s="1"/>
  <c r="AV37" i="1"/>
  <c r="BH37" i="1" s="1"/>
  <c r="AW37" i="1"/>
  <c r="BI37" i="1" s="1"/>
  <c r="AX37" i="1"/>
  <c r="BJ37" i="1" s="1"/>
  <c r="AY37" i="1"/>
  <c r="AE37" i="1" s="1"/>
  <c r="BA37" i="1"/>
  <c r="BB37" i="1"/>
  <c r="BC37" i="1"/>
  <c r="BO37" i="1" s="1"/>
  <c r="DJ37" i="1"/>
  <c r="DV37" i="1" s="1"/>
  <c r="DD37" i="1"/>
  <c r="DP37" i="1" s="1"/>
  <c r="DE37" i="1"/>
  <c r="DF37" i="1"/>
  <c r="DG37" i="1"/>
  <c r="DS37" i="1" s="1"/>
  <c r="DH37" i="1"/>
  <c r="DT37" i="1" s="1"/>
  <c r="DI37" i="1"/>
  <c r="DK37" i="1"/>
  <c r="DW37" i="1" s="1"/>
  <c r="DL37" i="1"/>
  <c r="DX37" i="1" s="1"/>
  <c r="DM37" i="1"/>
  <c r="DY37" i="1"/>
  <c r="AZ38" i="1"/>
  <c r="BL38" i="1" s="1"/>
  <c r="AT38" i="1"/>
  <c r="AU38" i="1"/>
  <c r="BG38" i="1" s="1"/>
  <c r="AV38" i="1"/>
  <c r="BH38" i="1" s="1"/>
  <c r="AW38" i="1"/>
  <c r="BI38" i="1" s="1"/>
  <c r="AX38" i="1"/>
  <c r="BJ38" i="1" s="1"/>
  <c r="AY38" i="1"/>
  <c r="BK38" i="1" s="1"/>
  <c r="BA38" i="1"/>
  <c r="BM38" i="1" s="1"/>
  <c r="BB38" i="1"/>
  <c r="BN38" i="1" s="1"/>
  <c r="BC38" i="1"/>
  <c r="BO38" i="1" s="1"/>
  <c r="DJ38" i="1"/>
  <c r="DV38" i="1"/>
  <c r="DD38" i="1"/>
  <c r="DP38" i="1" s="1"/>
  <c r="DE38" i="1"/>
  <c r="DQ38" i="1" s="1"/>
  <c r="DF38" i="1"/>
  <c r="DR38" i="1" s="1"/>
  <c r="DG38" i="1"/>
  <c r="DN38" i="1" s="1"/>
  <c r="DH38" i="1"/>
  <c r="DT38" i="1" s="1"/>
  <c r="DI38" i="1"/>
  <c r="DU38" i="1" s="1"/>
  <c r="DK38" i="1"/>
  <c r="DW38" i="1" s="1"/>
  <c r="DL38" i="1"/>
  <c r="DX38" i="1" s="1"/>
  <c r="DM38" i="1"/>
  <c r="DY38" i="1" s="1"/>
  <c r="AZ16" i="1"/>
  <c r="AT16" i="1"/>
  <c r="AU16" i="1"/>
  <c r="BG16" i="1" s="1"/>
  <c r="AV16" i="1"/>
  <c r="BH16" i="1"/>
  <c r="AW16" i="1"/>
  <c r="BI16" i="1" s="1"/>
  <c r="AX16" i="1"/>
  <c r="BJ16" i="1" s="1"/>
  <c r="AY16" i="1"/>
  <c r="BK16" i="1" s="1"/>
  <c r="BL16" i="1"/>
  <c r="BA16" i="1"/>
  <c r="BB16" i="1"/>
  <c r="BN16" i="1" s="1"/>
  <c r="BC16" i="1"/>
  <c r="BO16" i="1" s="1"/>
  <c r="DJ16" i="1"/>
  <c r="DV16" i="1" s="1"/>
  <c r="DD16" i="1"/>
  <c r="DP16" i="1"/>
  <c r="DE16" i="1"/>
  <c r="DQ16" i="1" s="1"/>
  <c r="DF16" i="1"/>
  <c r="DR16" i="1" s="1"/>
  <c r="DG16" i="1"/>
  <c r="DH16" i="1"/>
  <c r="DT16" i="1" s="1"/>
  <c r="DI16" i="1"/>
  <c r="DK16" i="1"/>
  <c r="DW16" i="1" s="1"/>
  <c r="DL16" i="1"/>
  <c r="DX16" i="1" s="1"/>
  <c r="DM16" i="1"/>
  <c r="DY16" i="1" s="1"/>
  <c r="GS23" i="1"/>
  <c r="FM23" i="1" s="1"/>
  <c r="GG23" i="1" s="1"/>
  <c r="GS21" i="1"/>
  <c r="FM21" i="1" s="1"/>
  <c r="GS22" i="1"/>
  <c r="FM22" i="1" s="1"/>
  <c r="GS24" i="1"/>
  <c r="FM24" i="1" s="1"/>
  <c r="GS25" i="1"/>
  <c r="FM25" i="1" s="1"/>
  <c r="GS26" i="1"/>
  <c r="FM26" i="1" s="1"/>
  <c r="GS27" i="1"/>
  <c r="FM27" i="1" s="1"/>
  <c r="GS16" i="1"/>
  <c r="FM16" i="1" s="1"/>
  <c r="GS17" i="1"/>
  <c r="FM17" i="1" s="1"/>
  <c r="GS18" i="1"/>
  <c r="FM18" i="1" s="1"/>
  <c r="GF18" i="1" s="1"/>
  <c r="GS19" i="1"/>
  <c r="FM19" i="1" s="1"/>
  <c r="GS20" i="1"/>
  <c r="FM20" i="1" s="1"/>
  <c r="GS28" i="1"/>
  <c r="FM28" i="1"/>
  <c r="GH28" i="1" s="1"/>
  <c r="GS29" i="1"/>
  <c r="FM29" i="1" s="1"/>
  <c r="GS30" i="1"/>
  <c r="FM30" i="1" s="1"/>
  <c r="GS31" i="1"/>
  <c r="FM31" i="1" s="1"/>
  <c r="GS32" i="1"/>
  <c r="FM32" i="1" s="1"/>
  <c r="GS33" i="1"/>
  <c r="FM33" i="1" s="1"/>
  <c r="GS34" i="1"/>
  <c r="FM34" i="1" s="1"/>
  <c r="GG34" i="1" s="1"/>
  <c r="GS35" i="1"/>
  <c r="FM35" i="1" s="1"/>
  <c r="GS36" i="1"/>
  <c r="FM36" i="1"/>
  <c r="GF36" i="1" s="1"/>
  <c r="GS37" i="1"/>
  <c r="FM37" i="1" s="1"/>
  <c r="GS38" i="1"/>
  <c r="FM38" i="1" s="1"/>
  <c r="FL16" i="1"/>
  <c r="FL23" i="1"/>
  <c r="FL24" i="1"/>
  <c r="FL25" i="1"/>
  <c r="FL26" i="1"/>
  <c r="FL27" i="1"/>
  <c r="FL38" i="1"/>
  <c r="FL37" i="1"/>
  <c r="FL36" i="1"/>
  <c r="FL35" i="1"/>
  <c r="FL34" i="1"/>
  <c r="FL33" i="1"/>
  <c r="FL32" i="1"/>
  <c r="FL31" i="1"/>
  <c r="FL30" i="1"/>
  <c r="FL29" i="1"/>
  <c r="FL28" i="1"/>
  <c r="FL22" i="1"/>
  <c r="FL21" i="1"/>
  <c r="FL20" i="1"/>
  <c r="FL19" i="1"/>
  <c r="FL18" i="1"/>
  <c r="FL17" i="1"/>
  <c r="GD11" i="1"/>
  <c r="FS11" i="1"/>
  <c r="GD10" i="1"/>
  <c r="FS10" i="1"/>
  <c r="GD9" i="1"/>
  <c r="FS9" i="1"/>
  <c r="GD1" i="1"/>
  <c r="FS1" i="1"/>
  <c r="GG28" i="1"/>
  <c r="GF28" i="1"/>
  <c r="GF33" i="1"/>
  <c r="GG22" i="1"/>
  <c r="AE30" i="1"/>
  <c r="BK30" i="1"/>
  <c r="BL30" i="1"/>
  <c r="BM16" i="1"/>
  <c r="DU16" i="1"/>
  <c r="BM37" i="1"/>
  <c r="DV30" i="1"/>
  <c r="AE16" i="1"/>
  <c r="BI33" i="1"/>
  <c r="DW27" i="1"/>
  <c r="DP34" i="1"/>
  <c r="BL36" i="1"/>
  <c r="DU37" i="1"/>
  <c r="DQ37" i="1"/>
  <c r="DY35" i="1"/>
  <c r="BK35" i="1"/>
  <c r="BF24" i="1"/>
  <c r="BM20" i="1"/>
  <c r="DQ17" i="1"/>
  <c r="AE38" i="1"/>
  <c r="BJ31" i="1"/>
  <c r="BM29" i="1"/>
  <c r="BJ22" i="1"/>
  <c r="BL18" i="1"/>
  <c r="BM30" i="1"/>
  <c r="BI27" i="1"/>
  <c r="DT26" i="1"/>
  <c r="DY29" i="1"/>
  <c r="BG29" i="1"/>
  <c r="DS26" i="1"/>
  <c r="BO24" i="1"/>
  <c r="DW23" i="1"/>
  <c r="BG20" i="1"/>
  <c r="DW25" i="1"/>
  <c r="DQ23" i="1"/>
  <c r="DQ22" i="1"/>
  <c r="AE18" i="1"/>
  <c r="DT17" i="1"/>
  <c r="DU23" i="1"/>
  <c r="BI23" i="1"/>
  <c r="BK19" i="1"/>
  <c r="AE19" i="1"/>
  <c r="BO17" i="1"/>
  <c r="AE27" i="1"/>
  <c r="DY20" i="1"/>
  <c r="BL19" i="1"/>
  <c r="DW24" i="1"/>
  <c r="DP26" i="1"/>
  <c r="DY25" i="1"/>
  <c r="BK22" i="1"/>
  <c r="BM17" i="1"/>
  <c r="BG17" i="1"/>
  <c r="BK26" i="1"/>
  <c r="DT18" i="1"/>
  <c r="BD33" i="1" l="1"/>
  <c r="GH36" i="1"/>
  <c r="DN35" i="1"/>
  <c r="DZ23" i="1"/>
  <c r="EA23" i="1" s="1"/>
  <c r="EM23" i="1" s="1"/>
  <c r="GG36" i="1"/>
  <c r="AE35" i="1"/>
  <c r="AE34" i="1"/>
  <c r="DN28" i="1"/>
  <c r="BK28" i="1"/>
  <c r="AE32" i="1"/>
  <c r="AE24" i="1"/>
  <c r="BK37" i="1"/>
  <c r="AE23" i="1"/>
  <c r="GH32" i="1"/>
  <c r="GG32" i="1"/>
  <c r="GF32" i="1"/>
  <c r="GG19" i="1"/>
  <c r="GF19" i="1"/>
  <c r="GH19" i="1"/>
  <c r="GG17" i="1"/>
  <c r="GF17" i="1"/>
  <c r="GH17" i="1"/>
  <c r="GH16" i="1"/>
  <c r="GG16" i="1"/>
  <c r="GF16" i="1"/>
  <c r="EJ23" i="1"/>
  <c r="EL23" i="1"/>
  <c r="ER23" i="1" s="1"/>
  <c r="EC23" i="1"/>
  <c r="EE23" i="1" s="1"/>
  <c r="EG23" i="1"/>
  <c r="EF23" i="1" s="1"/>
  <c r="DZ20" i="1"/>
  <c r="EA20" i="1" s="1"/>
  <c r="BK17" i="1"/>
  <c r="DN20" i="1"/>
  <c r="DN30" i="1"/>
  <c r="BD26" i="1"/>
  <c r="BK32" i="1"/>
  <c r="AE22" i="1"/>
  <c r="BD36" i="1"/>
  <c r="DS38" i="1"/>
  <c r="BH33" i="1"/>
  <c r="DU28" i="1"/>
  <c r="DZ28" i="1" s="1"/>
  <c r="EA28" i="1" s="1"/>
  <c r="BP26" i="1"/>
  <c r="BQ26" i="1" s="1"/>
  <c r="CB26" i="1" s="1"/>
  <c r="BP24" i="1"/>
  <c r="BQ24" i="1" s="1"/>
  <c r="BY24" i="1" s="1"/>
  <c r="AE36" i="1"/>
  <c r="DN22" i="1"/>
  <c r="AE25" i="1"/>
  <c r="BD24" i="1"/>
  <c r="DZ30" i="1"/>
  <c r="EA30" i="1" s="1"/>
  <c r="BK23" i="1"/>
  <c r="DN23" i="1"/>
  <c r="EI23" i="1"/>
  <c r="DN29" i="1"/>
  <c r="DZ38" i="1"/>
  <c r="EA38" i="1" s="1"/>
  <c r="EH38" i="1" s="1"/>
  <c r="BF38" i="1"/>
  <c r="BP38" i="1" s="1"/>
  <c r="BQ38" i="1" s="1"/>
  <c r="BS38" i="1" s="1"/>
  <c r="BD38" i="1"/>
  <c r="BD25" i="1"/>
  <c r="BO25" i="1"/>
  <c r="GG38" i="1"/>
  <c r="GF38" i="1"/>
  <c r="GH38" i="1"/>
  <c r="GF24" i="1"/>
  <c r="GG24" i="1"/>
  <c r="GH24" i="1"/>
  <c r="BN37" i="1"/>
  <c r="DZ29" i="1"/>
  <c r="EA29" i="1" s="1"/>
  <c r="BI29" i="1"/>
  <c r="BD29" i="1"/>
  <c r="AE29" i="1"/>
  <c r="BH28" i="1"/>
  <c r="BP28" i="1" s="1"/>
  <c r="BQ28" i="1" s="1"/>
  <c r="BW28" i="1" s="1"/>
  <c r="BD28" i="1"/>
  <c r="DW26" i="1"/>
  <c r="DN26" i="1"/>
  <c r="DZ26" i="1"/>
  <c r="EA26" i="1" s="1"/>
  <c r="BX24" i="1"/>
  <c r="CA24" i="1"/>
  <c r="BZ24" i="1"/>
  <c r="BW24" i="1"/>
  <c r="GG20" i="1"/>
  <c r="GF20" i="1"/>
  <c r="GH20" i="1"/>
  <c r="GH21" i="1"/>
  <c r="GF21" i="1"/>
  <c r="GG21" i="1"/>
  <c r="DS33" i="1"/>
  <c r="DN33" i="1"/>
  <c r="BM31" i="1"/>
  <c r="BP31" i="1" s="1"/>
  <c r="BQ31" i="1" s="1"/>
  <c r="BD31" i="1"/>
  <c r="BS26" i="1"/>
  <c r="CD26" i="1"/>
  <c r="CK26" i="1" s="1"/>
  <c r="GG30" i="1"/>
  <c r="GF30" i="1"/>
  <c r="GH30" i="1"/>
  <c r="GF26" i="1"/>
  <c r="GH26" i="1"/>
  <c r="GG26" i="1"/>
  <c r="BL35" i="1"/>
  <c r="DX33" i="1"/>
  <c r="EG20" i="1"/>
  <c r="EJ20" i="1"/>
  <c r="EK20" i="1"/>
  <c r="GL20" i="1" s="1"/>
  <c r="EI20" i="1"/>
  <c r="ED20" i="1"/>
  <c r="ES20" i="1" s="1"/>
  <c r="BF33" i="1"/>
  <c r="GG37" i="1"/>
  <c r="GF37" i="1"/>
  <c r="GH37" i="1"/>
  <c r="GH33" i="1"/>
  <c r="GG33" i="1"/>
  <c r="DQ19" i="1"/>
  <c r="DZ19" i="1" s="1"/>
  <c r="EA19" i="1" s="1"/>
  <c r="ED19" i="1" s="1"/>
  <c r="ES19" i="1" s="1"/>
  <c r="DN19" i="1"/>
  <c r="GG27" i="1"/>
  <c r="GH27" i="1"/>
  <c r="GF27" i="1"/>
  <c r="BF16" i="1"/>
  <c r="BP16" i="1" s="1"/>
  <c r="BQ16" i="1" s="1"/>
  <c r="BD16" i="1"/>
  <c r="BD37" i="1"/>
  <c r="BL37" i="1"/>
  <c r="DQ31" i="1"/>
  <c r="DZ31" i="1" s="1"/>
  <c r="EA31" i="1" s="1"/>
  <c r="DN31" i="1"/>
  <c r="BK27" i="1"/>
  <c r="BP27" i="1" s="1"/>
  <c r="BQ27" i="1" s="1"/>
  <c r="BD27" i="1"/>
  <c r="BP25" i="1"/>
  <c r="BQ25" i="1" s="1"/>
  <c r="CD25" i="1" s="1"/>
  <c r="CK25" i="1" s="1"/>
  <c r="BH22" i="1"/>
  <c r="BP22" i="1" s="1"/>
  <c r="BQ22" i="1" s="1"/>
  <c r="BD22" i="1"/>
  <c r="GG35" i="1"/>
  <c r="GF35" i="1"/>
  <c r="GH35" i="1"/>
  <c r="GG25" i="1"/>
  <c r="GH25" i="1"/>
  <c r="GF25" i="1"/>
  <c r="BP29" i="1"/>
  <c r="BQ29" i="1" s="1"/>
  <c r="GG31" i="1"/>
  <c r="GF31" i="1"/>
  <c r="GH31" i="1"/>
  <c r="DS16" i="1"/>
  <c r="DZ16" i="1" s="1"/>
  <c r="EA16" i="1" s="1"/>
  <c r="DN16" i="1"/>
  <c r="DR37" i="1"/>
  <c r="DZ37" i="1" s="1"/>
  <c r="EA37" i="1" s="1"/>
  <c r="DN37" i="1"/>
  <c r="DS36" i="1"/>
  <c r="DZ36" i="1" s="1"/>
  <c r="EA36" i="1" s="1"/>
  <c r="DN36" i="1"/>
  <c r="DU34" i="1"/>
  <c r="DZ34" i="1" s="1"/>
  <c r="EA34" i="1" s="1"/>
  <c r="DN34" i="1"/>
  <c r="BJ32" i="1"/>
  <c r="BD32" i="1"/>
  <c r="DS18" i="1"/>
  <c r="DZ18" i="1" s="1"/>
  <c r="EA18" i="1" s="1"/>
  <c r="DN18" i="1"/>
  <c r="DR17" i="1"/>
  <c r="BF23" i="1"/>
  <c r="BD23" i="1"/>
  <c r="GF34" i="1"/>
  <c r="GH34" i="1"/>
  <c r="GG29" i="1"/>
  <c r="GF29" i="1"/>
  <c r="GH29" i="1"/>
  <c r="GH18" i="1"/>
  <c r="GG18" i="1"/>
  <c r="DZ35" i="1"/>
  <c r="EA35" i="1" s="1"/>
  <c r="DS27" i="1"/>
  <c r="DZ27" i="1" s="1"/>
  <c r="EA27" i="1" s="1"/>
  <c r="DN27" i="1"/>
  <c r="DT21" i="1"/>
  <c r="DZ21" i="1" s="1"/>
  <c r="EA21" i="1" s="1"/>
  <c r="DN21" i="1"/>
  <c r="BH21" i="1"/>
  <c r="BP21" i="1" s="1"/>
  <c r="BQ21" i="1" s="1"/>
  <c r="BD21" i="1"/>
  <c r="BP36" i="1"/>
  <c r="BQ36" i="1" s="1"/>
  <c r="BJ35" i="1"/>
  <c r="BD35" i="1"/>
  <c r="BG34" i="1"/>
  <c r="BP34" i="1" s="1"/>
  <c r="BQ34" i="1" s="1"/>
  <c r="BD34" i="1"/>
  <c r="BK33" i="1"/>
  <c r="AE33" i="1"/>
  <c r="BF20" i="1"/>
  <c r="BD20" i="1"/>
  <c r="AE20" i="1"/>
  <c r="BK20" i="1"/>
  <c r="BN19" i="1"/>
  <c r="BP19" i="1" s="1"/>
  <c r="BQ19" i="1" s="1"/>
  <c r="BD19" i="1"/>
  <c r="BN17" i="1"/>
  <c r="BP17" i="1" s="1"/>
  <c r="BQ17" i="1" s="1"/>
  <c r="BD17" i="1"/>
  <c r="GF22" i="1"/>
  <c r="GH22" i="1"/>
  <c r="DQ32" i="1"/>
  <c r="DZ32" i="1" s="1"/>
  <c r="EA32" i="1" s="1"/>
  <c r="DN32" i="1"/>
  <c r="BF30" i="1"/>
  <c r="BP30" i="1" s="1"/>
  <c r="BQ30" i="1" s="1"/>
  <c r="BD30" i="1"/>
  <c r="DS25" i="1"/>
  <c r="DZ25" i="1" s="1"/>
  <c r="EA25" i="1" s="1"/>
  <c r="EH25" i="1" s="1"/>
  <c r="DN25" i="1"/>
  <c r="DN24" i="1"/>
  <c r="DQ24" i="1"/>
  <c r="DZ24" i="1" s="1"/>
  <c r="EA24" i="1" s="1"/>
  <c r="DZ22" i="1"/>
  <c r="EA22" i="1" s="1"/>
  <c r="BK21" i="1"/>
  <c r="BC18" i="1"/>
  <c r="GH23" i="1"/>
  <c r="DM17" i="1"/>
  <c r="DN17" i="1" s="1"/>
  <c r="GF23" i="1"/>
  <c r="EK23" i="1" l="1"/>
  <c r="EO23" i="1" s="1"/>
  <c r="EQ23" i="1" s="1"/>
  <c r="BP32" i="1"/>
  <c r="BQ32" i="1" s="1"/>
  <c r="BY32" i="1" s="1"/>
  <c r="ED23" i="1"/>
  <c r="ES23" i="1" s="1"/>
  <c r="DZ33" i="1"/>
  <c r="EA33" i="1" s="1"/>
  <c r="EM38" i="1"/>
  <c r="EN38" i="1"/>
  <c r="ET38" i="1" s="1"/>
  <c r="CB24" i="1"/>
  <c r="CE24" i="1" s="1"/>
  <c r="CG24" i="1" s="1"/>
  <c r="BP37" i="1"/>
  <c r="BQ37" i="1" s="1"/>
  <c r="BZ37" i="1" s="1"/>
  <c r="EN23" i="1"/>
  <c r="ET23" i="1" s="1"/>
  <c r="EU23" i="1" s="1"/>
  <c r="EH23" i="1"/>
  <c r="BT26" i="1"/>
  <c r="BT24" i="1"/>
  <c r="BP23" i="1"/>
  <c r="BQ23" i="1" s="1"/>
  <c r="BY23" i="1" s="1"/>
  <c r="BS24" i="1"/>
  <c r="EC28" i="1"/>
  <c r="EE28" i="1" s="1"/>
  <c r="EI28" i="1"/>
  <c r="EH28" i="1"/>
  <c r="ED28" i="1"/>
  <c r="ES28" i="1" s="1"/>
  <c r="EL28" i="1"/>
  <c r="EK28" i="1"/>
  <c r="EJ28" i="1"/>
  <c r="EM28" i="1"/>
  <c r="EG28" i="1"/>
  <c r="EF28" i="1" s="1"/>
  <c r="EN28" i="1"/>
  <c r="ET28" i="1" s="1"/>
  <c r="CA26" i="1"/>
  <c r="EK38" i="1"/>
  <c r="GA23" i="1"/>
  <c r="BX26" i="1"/>
  <c r="BZ26" i="1"/>
  <c r="AP26" i="1" s="1"/>
  <c r="EJ38" i="1"/>
  <c r="EL38" i="1"/>
  <c r="ER38" i="1" s="1"/>
  <c r="BY26" i="1"/>
  <c r="BW26" i="1"/>
  <c r="ED38" i="1"/>
  <c r="ES38" i="1" s="1"/>
  <c r="EC20" i="1"/>
  <c r="EE20" i="1" s="1"/>
  <c r="EL20" i="1"/>
  <c r="ER20" i="1" s="1"/>
  <c r="EM20" i="1"/>
  <c r="EN20" i="1"/>
  <c r="ET20" i="1" s="1"/>
  <c r="EF20" i="1"/>
  <c r="GA20" i="1" s="1"/>
  <c r="EI38" i="1"/>
  <c r="EH20" i="1"/>
  <c r="CC26" i="1"/>
  <c r="EG38" i="1"/>
  <c r="CC24" i="1"/>
  <c r="EC38" i="1"/>
  <c r="EE38" i="1" s="1"/>
  <c r="EF38" i="1" s="1"/>
  <c r="EM30" i="1"/>
  <c r="EI30" i="1"/>
  <c r="EK30" i="1"/>
  <c r="ED30" i="1"/>
  <c r="ES30" i="1" s="1"/>
  <c r="EC30" i="1"/>
  <c r="EG30" i="1"/>
  <c r="EL30" i="1"/>
  <c r="EH30" i="1"/>
  <c r="EN30" i="1"/>
  <c r="ET30" i="1" s="1"/>
  <c r="EJ30" i="1"/>
  <c r="BP35" i="1"/>
  <c r="BQ35" i="1" s="1"/>
  <c r="BS35" i="1" s="1"/>
  <c r="CD24" i="1"/>
  <c r="CK24" i="1" s="1"/>
  <c r="BU38" i="1"/>
  <c r="EM18" i="1"/>
  <c r="EN18" i="1"/>
  <c r="ET18" i="1" s="1"/>
  <c r="EI18" i="1"/>
  <c r="EJ18" i="1"/>
  <c r="EH18" i="1"/>
  <c r="EG18" i="1"/>
  <c r="EL18" i="1"/>
  <c r="EK18" i="1"/>
  <c r="EC18" i="1"/>
  <c r="ED18" i="1"/>
  <c r="ES18" i="1" s="1"/>
  <c r="EN37" i="1"/>
  <c r="ET37" i="1" s="1"/>
  <c r="EK37" i="1"/>
  <c r="EM37" i="1"/>
  <c r="EL37" i="1"/>
  <c r="EJ37" i="1"/>
  <c r="EH37" i="1"/>
  <c r="EG37" i="1"/>
  <c r="EC37" i="1"/>
  <c r="EI37" i="1"/>
  <c r="ED37" i="1"/>
  <c r="ES37" i="1" s="1"/>
  <c r="BZ35" i="1"/>
  <c r="BW35" i="1"/>
  <c r="BX35" i="1"/>
  <c r="BY35" i="1"/>
  <c r="CD35" i="1"/>
  <c r="CK35" i="1" s="1"/>
  <c r="CA35" i="1"/>
  <c r="EC31" i="1"/>
  <c r="EK31" i="1"/>
  <c r="EH31" i="1"/>
  <c r="EM31" i="1"/>
  <c r="EL31" i="1"/>
  <c r="EG31" i="1"/>
  <c r="EI31" i="1"/>
  <c r="EJ31" i="1"/>
  <c r="EN31" i="1"/>
  <c r="ET31" i="1" s="1"/>
  <c r="ED31" i="1"/>
  <c r="ES31" i="1" s="1"/>
  <c r="BX19" i="1"/>
  <c r="CD19" i="1"/>
  <c r="CK19" i="1" s="1"/>
  <c r="CB19" i="1"/>
  <c r="BT19" i="1"/>
  <c r="BY19" i="1"/>
  <c r="CC19" i="1"/>
  <c r="CA19" i="1"/>
  <c r="BZ19" i="1"/>
  <c r="BS19" i="1"/>
  <c r="BW19" i="1"/>
  <c r="BW31" i="1"/>
  <c r="BY31" i="1"/>
  <c r="CC31" i="1"/>
  <c r="BT31" i="1"/>
  <c r="CD31" i="1"/>
  <c r="CK31" i="1" s="1"/>
  <c r="BX31" i="1"/>
  <c r="BZ31" i="1"/>
  <c r="BS31" i="1"/>
  <c r="CA31" i="1"/>
  <c r="CB31" i="1"/>
  <c r="CB17" i="1"/>
  <c r="CC17" i="1"/>
  <c r="BX17" i="1"/>
  <c r="BT17" i="1"/>
  <c r="CA17" i="1"/>
  <c r="BS17" i="1"/>
  <c r="CD17" i="1"/>
  <c r="CK17" i="1" s="1"/>
  <c r="BW17" i="1"/>
  <c r="BZ17" i="1"/>
  <c r="BY17" i="1"/>
  <c r="EK33" i="1"/>
  <c r="ED33" i="1"/>
  <c r="ES33" i="1" s="1"/>
  <c r="EG33" i="1"/>
  <c r="EN33" i="1"/>
  <c r="ET33" i="1" s="1"/>
  <c r="EI33" i="1"/>
  <c r="EL33" i="1"/>
  <c r="EC33" i="1"/>
  <c r="EJ33" i="1"/>
  <c r="EM33" i="1"/>
  <c r="EH33" i="1"/>
  <c r="EI25" i="1"/>
  <c r="EJ25" i="1"/>
  <c r="EN25" i="1"/>
  <c r="ET25" i="1" s="1"/>
  <c r="EG25" i="1"/>
  <c r="EK25" i="1"/>
  <c r="EC25" i="1"/>
  <c r="EL25" i="1"/>
  <c r="EM25" i="1"/>
  <c r="ED25" i="1"/>
  <c r="ES25" i="1" s="1"/>
  <c r="EO38" i="1"/>
  <c r="EQ38" i="1" s="1"/>
  <c r="EM26" i="1"/>
  <c r="ED26" i="1"/>
  <c r="ES26" i="1" s="1"/>
  <c r="EI26" i="1"/>
  <c r="EN26" i="1"/>
  <c r="ET26" i="1" s="1"/>
  <c r="EH26" i="1"/>
  <c r="EK26" i="1"/>
  <c r="EJ26" i="1"/>
  <c r="EG26" i="1"/>
  <c r="EC26" i="1"/>
  <c r="CA30" i="1"/>
  <c r="CD30" i="1"/>
  <c r="CK30" i="1" s="1"/>
  <c r="BX30" i="1"/>
  <c r="BW30" i="1"/>
  <c r="BZ30" i="1"/>
  <c r="CB30" i="1"/>
  <c r="BY30" i="1"/>
  <c r="BS30" i="1"/>
  <c r="BT30" i="1"/>
  <c r="CC30" i="1"/>
  <c r="EJ21" i="1"/>
  <c r="EG21" i="1"/>
  <c r="EC21" i="1"/>
  <c r="EM21" i="1"/>
  <c r="ED21" i="1"/>
  <c r="ES21" i="1" s="1"/>
  <c r="EH21" i="1"/>
  <c r="EK21" i="1"/>
  <c r="EN21" i="1"/>
  <c r="ET21" i="1" s="1"/>
  <c r="EL21" i="1"/>
  <c r="EL26" i="1"/>
  <c r="EI22" i="1"/>
  <c r="EK22" i="1"/>
  <c r="EG22" i="1"/>
  <c r="EM22" i="1"/>
  <c r="EL22" i="1"/>
  <c r="EC22" i="1"/>
  <c r="EN22" i="1"/>
  <c r="ET22" i="1" s="1"/>
  <c r="EJ22" i="1"/>
  <c r="EH22" i="1"/>
  <c r="ED22" i="1"/>
  <c r="ES22" i="1" s="1"/>
  <c r="CD23" i="1"/>
  <c r="CK23" i="1" s="1"/>
  <c r="BX23" i="1"/>
  <c r="BW23" i="1"/>
  <c r="BT23" i="1"/>
  <c r="CA23" i="1"/>
  <c r="BP33" i="1"/>
  <c r="BQ33" i="1" s="1"/>
  <c r="EP20" i="1"/>
  <c r="EZ20" i="1" s="1"/>
  <c r="BW27" i="1"/>
  <c r="CC27" i="1"/>
  <c r="BZ27" i="1"/>
  <c r="CD27" i="1"/>
  <c r="CK27" i="1" s="1"/>
  <c r="CB27" i="1"/>
  <c r="CA27" i="1"/>
  <c r="BS27" i="1"/>
  <c r="BX27" i="1"/>
  <c r="BY27" i="1"/>
  <c r="BT27" i="1"/>
  <c r="EV28" i="1"/>
  <c r="GL28" i="1"/>
  <c r="EH29" i="1"/>
  <c r="EC29" i="1"/>
  <c r="EJ29" i="1"/>
  <c r="EG29" i="1"/>
  <c r="EL29" i="1"/>
  <c r="EK29" i="1"/>
  <c r="EN29" i="1"/>
  <c r="ET29" i="1" s="1"/>
  <c r="EI29" i="1"/>
  <c r="ED29" i="1"/>
  <c r="ES29" i="1" s="1"/>
  <c r="EM29" i="1"/>
  <c r="CD37" i="1"/>
  <c r="CK37" i="1" s="1"/>
  <c r="BY37" i="1"/>
  <c r="BX37" i="1"/>
  <c r="BW37" i="1"/>
  <c r="BT37" i="1"/>
  <c r="BX22" i="1"/>
  <c r="CB22" i="1"/>
  <c r="CD22" i="1"/>
  <c r="CK22" i="1" s="1"/>
  <c r="BS22" i="1"/>
  <c r="BY22" i="1"/>
  <c r="CA22" i="1"/>
  <c r="CC22" i="1"/>
  <c r="BZ22" i="1"/>
  <c r="BT22" i="1"/>
  <c r="BW22" i="1"/>
  <c r="BY29" i="1"/>
  <c r="CB29" i="1"/>
  <c r="BS29" i="1"/>
  <c r="CC29" i="1"/>
  <c r="CD29" i="1"/>
  <c r="CK29" i="1" s="1"/>
  <c r="BW29" i="1"/>
  <c r="BZ29" i="1"/>
  <c r="CA29" i="1"/>
  <c r="BT29" i="1"/>
  <c r="EK32" i="1"/>
  <c r="EI32" i="1"/>
  <c r="EG32" i="1"/>
  <c r="EN32" i="1"/>
  <c r="ET32" i="1" s="1"/>
  <c r="EL32" i="1"/>
  <c r="EH32" i="1"/>
  <c r="EJ32" i="1"/>
  <c r="EM32" i="1"/>
  <c r="ED32" i="1"/>
  <c r="ES32" i="1" s="1"/>
  <c r="EC32" i="1"/>
  <c r="EN24" i="1"/>
  <c r="ET24" i="1" s="1"/>
  <c r="EJ24" i="1"/>
  <c r="ED24" i="1"/>
  <c r="ES24" i="1" s="1"/>
  <c r="EC24" i="1"/>
  <c r="EI24" i="1"/>
  <c r="EK24" i="1"/>
  <c r="EL24" i="1"/>
  <c r="EG24" i="1"/>
  <c r="EM24" i="1"/>
  <c r="EH24" i="1"/>
  <c r="AP24" i="1" s="1"/>
  <c r="EI21" i="1"/>
  <c r="ER28" i="1"/>
  <c r="GM28" i="1"/>
  <c r="BX21" i="1"/>
  <c r="CA21" i="1"/>
  <c r="BY21" i="1"/>
  <c r="CC21" i="1"/>
  <c r="CB21" i="1"/>
  <c r="BZ21" i="1"/>
  <c r="CD21" i="1"/>
  <c r="CK21" i="1" s="1"/>
  <c r="BS21" i="1"/>
  <c r="BW21" i="1"/>
  <c r="BT21" i="1"/>
  <c r="BU24" i="1"/>
  <c r="BW34" i="1"/>
  <c r="BS34" i="1"/>
  <c r="BX34" i="1"/>
  <c r="CA34" i="1"/>
  <c r="CB34" i="1"/>
  <c r="BT34" i="1"/>
  <c r="BZ34" i="1"/>
  <c r="BY34" i="1"/>
  <c r="CC34" i="1"/>
  <c r="CD34" i="1"/>
  <c r="CK34" i="1" s="1"/>
  <c r="EM34" i="1"/>
  <c r="EL34" i="1"/>
  <c r="EC34" i="1"/>
  <c r="ED34" i="1"/>
  <c r="ES34" i="1" s="1"/>
  <c r="EK34" i="1"/>
  <c r="EI34" i="1"/>
  <c r="EJ34" i="1"/>
  <c r="EN34" i="1"/>
  <c r="ET34" i="1" s="1"/>
  <c r="EH34" i="1"/>
  <c r="EG34" i="1"/>
  <c r="EH16" i="1"/>
  <c r="EN16" i="1"/>
  <c r="ET16" i="1" s="1"/>
  <c r="EK16" i="1"/>
  <c r="EJ16" i="1"/>
  <c r="EM16" i="1"/>
  <c r="EG16" i="1"/>
  <c r="EC16" i="1"/>
  <c r="EL16" i="1"/>
  <c r="ED16" i="1"/>
  <c r="ES16" i="1" s="1"/>
  <c r="EI16" i="1"/>
  <c r="BW25" i="1"/>
  <c r="CC25" i="1"/>
  <c r="BS25" i="1"/>
  <c r="BZ25" i="1"/>
  <c r="CB25" i="1"/>
  <c r="BX25" i="1"/>
  <c r="BY25" i="1"/>
  <c r="CA25" i="1"/>
  <c r="BT25" i="1"/>
  <c r="CC16" i="1"/>
  <c r="CD16" i="1"/>
  <c r="CK16" i="1" s="1"/>
  <c r="BX16" i="1"/>
  <c r="BS16" i="1"/>
  <c r="CB16" i="1"/>
  <c r="CA16" i="1"/>
  <c r="BT16" i="1"/>
  <c r="BZ16" i="1"/>
  <c r="BW16" i="1"/>
  <c r="BY16" i="1"/>
  <c r="EP23" i="1"/>
  <c r="EZ23" i="1" s="1"/>
  <c r="BY36" i="1"/>
  <c r="CC36" i="1"/>
  <c r="BW36" i="1"/>
  <c r="CB36" i="1"/>
  <c r="CA36" i="1"/>
  <c r="BX36" i="1"/>
  <c r="BZ36" i="1"/>
  <c r="BS36" i="1"/>
  <c r="CD36" i="1"/>
  <c r="CK36" i="1" s="1"/>
  <c r="BT36" i="1"/>
  <c r="EN35" i="1"/>
  <c r="ET35" i="1" s="1"/>
  <c r="EG35" i="1"/>
  <c r="EH35" i="1"/>
  <c r="EJ35" i="1"/>
  <c r="ED35" i="1"/>
  <c r="ES35" i="1" s="1"/>
  <c r="EC35" i="1"/>
  <c r="EM35" i="1"/>
  <c r="EL35" i="1"/>
  <c r="EK35" i="1"/>
  <c r="EI35" i="1"/>
  <c r="DY17" i="1"/>
  <c r="DZ17" i="1" s="1"/>
  <c r="EA17" i="1" s="1"/>
  <c r="EN17" i="1" s="1"/>
  <c r="ET17" i="1" s="1"/>
  <c r="BX32" i="1"/>
  <c r="BZ32" i="1"/>
  <c r="BS32" i="1"/>
  <c r="CB32" i="1"/>
  <c r="BW32" i="1"/>
  <c r="CA32" i="1"/>
  <c r="CD32" i="1"/>
  <c r="CK32" i="1" s="1"/>
  <c r="CC32" i="1"/>
  <c r="BT32" i="1"/>
  <c r="EV20" i="1"/>
  <c r="BX28" i="1"/>
  <c r="BZ28" i="1"/>
  <c r="BY28" i="1"/>
  <c r="BS28" i="1"/>
  <c r="CB28" i="1"/>
  <c r="CD28" i="1"/>
  <c r="CK28" i="1" s="1"/>
  <c r="CA28" i="1"/>
  <c r="BT28" i="1"/>
  <c r="CC28" i="1"/>
  <c r="CC37" i="1"/>
  <c r="BP20" i="1"/>
  <c r="BQ20" i="1" s="1"/>
  <c r="EC27" i="1"/>
  <c r="ED27" i="1"/>
  <c r="ES27" i="1" s="1"/>
  <c r="EM27" i="1"/>
  <c r="EN27" i="1"/>
  <c r="ET27" i="1" s="1"/>
  <c r="EJ27" i="1"/>
  <c r="EK27" i="1"/>
  <c r="EL27" i="1"/>
  <c r="EH27" i="1"/>
  <c r="EG27" i="1"/>
  <c r="EI27" i="1"/>
  <c r="EK36" i="1"/>
  <c r="EI36" i="1"/>
  <c r="EC36" i="1"/>
  <c r="EH36" i="1"/>
  <c r="EJ36" i="1"/>
  <c r="EG36" i="1"/>
  <c r="ED36" i="1"/>
  <c r="ES36" i="1" s="1"/>
  <c r="EM36" i="1"/>
  <c r="EL36" i="1"/>
  <c r="EN36" i="1"/>
  <c r="ET36" i="1" s="1"/>
  <c r="EM19" i="1"/>
  <c r="EG19" i="1"/>
  <c r="EK19" i="1"/>
  <c r="EL19" i="1"/>
  <c r="EI19" i="1"/>
  <c r="EC19" i="1"/>
  <c r="EJ19" i="1"/>
  <c r="EH19" i="1"/>
  <c r="EN19" i="1"/>
  <c r="ET19" i="1" s="1"/>
  <c r="BU26" i="1"/>
  <c r="BV26" i="1" s="1"/>
  <c r="CI26" i="1" s="1"/>
  <c r="BX29" i="1"/>
  <c r="BD18" i="1"/>
  <c r="BO18" i="1"/>
  <c r="BP18" i="1" s="1"/>
  <c r="BQ18" i="1" s="1"/>
  <c r="CD18" i="1" s="1"/>
  <c r="CK18" i="1" s="1"/>
  <c r="BW38" i="1"/>
  <c r="BY38" i="1"/>
  <c r="CA38" i="1"/>
  <c r="BX38" i="1"/>
  <c r="CD38" i="1"/>
  <c r="CK38" i="1" s="1"/>
  <c r="CB38" i="1"/>
  <c r="BT38" i="1"/>
  <c r="CC38" i="1"/>
  <c r="BZ38" i="1"/>
  <c r="FO24" i="1" l="1"/>
  <c r="FP24" i="1" s="1"/>
  <c r="BS37" i="1"/>
  <c r="BS23" i="1"/>
  <c r="CC23" i="1"/>
  <c r="BT35" i="1"/>
  <c r="CE35" i="1" s="1"/>
  <c r="CG35" i="1" s="1"/>
  <c r="CA37" i="1"/>
  <c r="BZ23" i="1"/>
  <c r="CE23" i="1" s="1"/>
  <c r="CG23" i="1" s="1"/>
  <c r="CC35" i="1"/>
  <c r="CB37" i="1"/>
  <c r="CB23" i="1"/>
  <c r="CB35" i="1"/>
  <c r="BV24" i="1"/>
  <c r="CI24" i="1" s="1"/>
  <c r="CE26" i="1"/>
  <c r="CG26" i="1" s="1"/>
  <c r="GC38" i="1"/>
  <c r="GL23" i="1"/>
  <c r="EV23" i="1"/>
  <c r="EY23" i="1" s="1"/>
  <c r="FD20" i="1"/>
  <c r="FH20" i="1" s="1"/>
  <c r="GL38" i="1"/>
  <c r="FC20" i="1"/>
  <c r="EV38" i="1"/>
  <c r="EO20" i="1"/>
  <c r="EQ20" i="1" s="1"/>
  <c r="ER30" i="1"/>
  <c r="FB23" i="1"/>
  <c r="EO28" i="1"/>
  <c r="EQ28" i="1" s="1"/>
  <c r="CE38" i="1"/>
  <c r="CG38" i="1" s="1"/>
  <c r="EP38" i="1"/>
  <c r="FC38" i="1" s="1"/>
  <c r="EU20" i="1"/>
  <c r="EW20" i="1" s="1"/>
  <c r="EX20" i="1" s="1"/>
  <c r="EE30" i="1"/>
  <c r="EF30" i="1" s="1"/>
  <c r="EO30" i="1"/>
  <c r="EQ30" i="1" s="1"/>
  <c r="GL30" i="1"/>
  <c r="EV30" i="1"/>
  <c r="EY30" i="1" s="1"/>
  <c r="FD38" i="1"/>
  <c r="FF38" i="1" s="1"/>
  <c r="AP38" i="1"/>
  <c r="EE36" i="1"/>
  <c r="EF36" i="1" s="1"/>
  <c r="EO36" i="1"/>
  <c r="EQ36" i="1" s="1"/>
  <c r="GM35" i="1"/>
  <c r="ER35" i="1"/>
  <c r="AP25" i="1"/>
  <c r="GM34" i="1"/>
  <c r="ER34" i="1"/>
  <c r="EY28" i="1"/>
  <c r="BU23" i="1"/>
  <c r="BX18" i="1"/>
  <c r="BY18" i="1"/>
  <c r="BZ18" i="1"/>
  <c r="BS18" i="1"/>
  <c r="BT18" i="1"/>
  <c r="CB18" i="1"/>
  <c r="CC18" i="1"/>
  <c r="BW18" i="1"/>
  <c r="CA18" i="1"/>
  <c r="AR18" i="1" s="1"/>
  <c r="AP21" i="1"/>
  <c r="GM29" i="1"/>
  <c r="ER29" i="1"/>
  <c r="GD22" i="1"/>
  <c r="AR22" i="1"/>
  <c r="GL22" i="1"/>
  <c r="EV22" i="1"/>
  <c r="GC22" i="1"/>
  <c r="GD30" i="1"/>
  <c r="AR30" i="1"/>
  <c r="GC30" i="1"/>
  <c r="EE19" i="1"/>
  <c r="EF19" i="1" s="1"/>
  <c r="EO19" i="1"/>
  <c r="EQ19" i="1" s="1"/>
  <c r="EO35" i="1"/>
  <c r="EQ35" i="1" s="1"/>
  <c r="EE35" i="1"/>
  <c r="EF35" i="1" s="1"/>
  <c r="AP34" i="1"/>
  <c r="FO27" i="1"/>
  <c r="FP27" i="1" s="1"/>
  <c r="CJ26" i="1"/>
  <c r="CL26" i="1" s="1"/>
  <c r="CM26" i="1" s="1"/>
  <c r="CE34" i="1"/>
  <c r="CG34" i="1" s="1"/>
  <c r="BU34" i="1"/>
  <c r="GD28" i="1"/>
  <c r="AP27" i="1"/>
  <c r="GM23" i="1"/>
  <c r="ER26" i="1"/>
  <c r="GM26" i="1"/>
  <c r="BU19" i="1"/>
  <c r="CE19" i="1"/>
  <c r="CG19" i="1" s="1"/>
  <c r="AP19" i="1"/>
  <c r="EO18" i="1"/>
  <c r="EQ18" i="1" s="1"/>
  <c r="EE18" i="1"/>
  <c r="GD27" i="1"/>
  <c r="AR27" i="1"/>
  <c r="EV27" i="1"/>
  <c r="GC27" i="1"/>
  <c r="GL27" i="1"/>
  <c r="FO36" i="1"/>
  <c r="FP36" i="1" s="1"/>
  <c r="EE24" i="1"/>
  <c r="EF24" i="1" s="1"/>
  <c r="EO24" i="1"/>
  <c r="EQ24" i="1" s="1"/>
  <c r="EV29" i="1"/>
  <c r="GD29" i="1"/>
  <c r="AR29" i="1"/>
  <c r="GL29" i="1"/>
  <c r="GC29" i="1"/>
  <c r="GA28" i="1"/>
  <c r="EU28" i="1"/>
  <c r="EW28" i="1" s="1"/>
  <c r="FO21" i="1"/>
  <c r="FP21" i="1" s="1"/>
  <c r="GM32" i="1"/>
  <c r="ER32" i="1"/>
  <c r="AP31" i="1"/>
  <c r="GL36" i="1"/>
  <c r="EV36" i="1"/>
  <c r="AR36" i="1"/>
  <c r="GC36" i="1"/>
  <c r="GD36" i="1"/>
  <c r="EE26" i="1"/>
  <c r="EO26" i="1"/>
  <c r="EQ26" i="1" s="1"/>
  <c r="EO37" i="1"/>
  <c r="EQ37" i="1" s="1"/>
  <c r="EE37" i="1"/>
  <c r="BV38" i="1"/>
  <c r="CI38" i="1" s="1"/>
  <c r="CJ38" i="1" s="1"/>
  <c r="CL38" i="1" s="1"/>
  <c r="CM38" i="1" s="1"/>
  <c r="FO38" i="1"/>
  <c r="FP38" i="1" s="1"/>
  <c r="EJ17" i="1"/>
  <c r="ED17" i="1"/>
  <c r="ES17" i="1" s="1"/>
  <c r="EL17" i="1"/>
  <c r="EH17" i="1"/>
  <c r="EM17" i="1"/>
  <c r="EK17" i="1"/>
  <c r="EI17" i="1"/>
  <c r="EC17" i="1"/>
  <c r="EG17" i="1"/>
  <c r="BU36" i="1"/>
  <c r="CE36" i="1"/>
  <c r="CG36" i="1" s="1"/>
  <c r="BU25" i="1"/>
  <c r="CE25" i="1"/>
  <c r="CG25" i="1" s="1"/>
  <c r="FJ28" i="1"/>
  <c r="AP29" i="1"/>
  <c r="GM19" i="1"/>
  <c r="ER19" i="1"/>
  <c r="FG20" i="1"/>
  <c r="FO32" i="1"/>
  <c r="FP32" i="1" s="1"/>
  <c r="FO16" i="1"/>
  <c r="FP16" i="1" s="1"/>
  <c r="FO34" i="1"/>
  <c r="FP34" i="1" s="1"/>
  <c r="EE32" i="1"/>
  <c r="EF32" i="1" s="1"/>
  <c r="EO32" i="1"/>
  <c r="EQ32" i="1" s="1"/>
  <c r="BU29" i="1"/>
  <c r="BV29" i="1" s="1"/>
  <c r="CI29" i="1" s="1"/>
  <c r="CE29" i="1"/>
  <c r="CG29" i="1" s="1"/>
  <c r="FO37" i="1"/>
  <c r="FP37" i="1" s="1"/>
  <c r="EE29" i="1"/>
  <c r="EO29" i="1"/>
  <c r="EQ29" i="1" s="1"/>
  <c r="AR28" i="1"/>
  <c r="BU27" i="1"/>
  <c r="BV27" i="1" s="1"/>
  <c r="CE27" i="1"/>
  <c r="CG27" i="1" s="1"/>
  <c r="FF20" i="1"/>
  <c r="GM30" i="1"/>
  <c r="BU17" i="1"/>
  <c r="CE17" i="1"/>
  <c r="GC31" i="1"/>
  <c r="GD31" i="1"/>
  <c r="AR31" i="1"/>
  <c r="EV31" i="1"/>
  <c r="GL31" i="1"/>
  <c r="BU35" i="1"/>
  <c r="GL18" i="1"/>
  <c r="EV18" i="1"/>
  <c r="AP28" i="1"/>
  <c r="CE16" i="1"/>
  <c r="CG16" i="1" s="1"/>
  <c r="BU16" i="1"/>
  <c r="GM31" i="1"/>
  <c r="ER31" i="1"/>
  <c r="BZ33" i="1"/>
  <c r="BW33" i="1"/>
  <c r="BX33" i="1"/>
  <c r="BT33" i="1"/>
  <c r="CD33" i="1"/>
  <c r="CK33" i="1" s="1"/>
  <c r="CC33" i="1"/>
  <c r="BY33" i="1"/>
  <c r="CA33" i="1"/>
  <c r="CB33" i="1"/>
  <c r="BS33" i="1"/>
  <c r="BV23" i="1"/>
  <c r="CI23" i="1" s="1"/>
  <c r="FO23" i="1"/>
  <c r="FP23" i="1" s="1"/>
  <c r="EE22" i="1"/>
  <c r="EF22" i="1" s="1"/>
  <c r="EO22" i="1"/>
  <c r="EQ22" i="1" s="1"/>
  <c r="FB20" i="1"/>
  <c r="EE21" i="1"/>
  <c r="EO21" i="1"/>
  <c r="EQ21" i="1" s="1"/>
  <c r="GD26" i="1"/>
  <c r="EV26" i="1"/>
  <c r="AR26" i="1"/>
  <c r="GC26" i="1"/>
  <c r="GL26" i="1"/>
  <c r="EE31" i="1"/>
  <c r="EO31" i="1"/>
  <c r="EQ31" i="1" s="1"/>
  <c r="AP35" i="1"/>
  <c r="ER18" i="1"/>
  <c r="GA38" i="1"/>
  <c r="EU38" i="1"/>
  <c r="EW38" i="1" s="1"/>
  <c r="ER16" i="1"/>
  <c r="GM16" i="1"/>
  <c r="FO29" i="1"/>
  <c r="FP29" i="1" s="1"/>
  <c r="AR21" i="1"/>
  <c r="GD21" i="1"/>
  <c r="GC21" i="1"/>
  <c r="EV21" i="1"/>
  <c r="GL21" i="1"/>
  <c r="GC25" i="1"/>
  <c r="GD25" i="1"/>
  <c r="EV25" i="1"/>
  <c r="AR25" i="1"/>
  <c r="GL25" i="1"/>
  <c r="ER36" i="1"/>
  <c r="GM36" i="1"/>
  <c r="AP16" i="1"/>
  <c r="CE21" i="1"/>
  <c r="CG21" i="1" s="1"/>
  <c r="BU21" i="1"/>
  <c r="GD19" i="1"/>
  <c r="EV19" i="1"/>
  <c r="GL19" i="1"/>
  <c r="AR19" i="1"/>
  <c r="GC19" i="1"/>
  <c r="CF26" i="1"/>
  <c r="AP36" i="1"/>
  <c r="FE23" i="1"/>
  <c r="FC23" i="1"/>
  <c r="FO25" i="1"/>
  <c r="FP25" i="1" s="1"/>
  <c r="GC16" i="1"/>
  <c r="GL16" i="1"/>
  <c r="GD16" i="1"/>
  <c r="EV16" i="1"/>
  <c r="AR16" i="1"/>
  <c r="GC34" i="1"/>
  <c r="EV34" i="1"/>
  <c r="AR34" i="1"/>
  <c r="GD34" i="1"/>
  <c r="GL34" i="1"/>
  <c r="ER24" i="1"/>
  <c r="GM24" i="1"/>
  <c r="GL32" i="1"/>
  <c r="GD32" i="1"/>
  <c r="EV32" i="1"/>
  <c r="GC32" i="1"/>
  <c r="AR32" i="1"/>
  <c r="FD23" i="1"/>
  <c r="FF23" i="1" s="1"/>
  <c r="BU22" i="1"/>
  <c r="CE22" i="1"/>
  <c r="CG22" i="1" s="1"/>
  <c r="AP37" i="1"/>
  <c r="EY38" i="1"/>
  <c r="GM38" i="1"/>
  <c r="CB20" i="1"/>
  <c r="BZ20" i="1"/>
  <c r="BY20" i="1"/>
  <c r="CD20" i="1"/>
  <c r="CK20" i="1" s="1"/>
  <c r="BW20" i="1"/>
  <c r="CA20" i="1"/>
  <c r="CC20" i="1"/>
  <c r="BT20" i="1"/>
  <c r="BS20" i="1"/>
  <c r="BX20" i="1"/>
  <c r="CE28" i="1"/>
  <c r="CG28" i="1" s="1"/>
  <c r="BU28" i="1"/>
  <c r="CH26" i="1"/>
  <c r="CP26" i="1" s="1"/>
  <c r="EY20" i="1"/>
  <c r="CE32" i="1"/>
  <c r="CG32" i="1" s="1"/>
  <c r="BU32" i="1"/>
  <c r="CH24" i="1"/>
  <c r="DC26" i="1"/>
  <c r="GD24" i="1"/>
  <c r="AR24" i="1"/>
  <c r="GC24" i="1"/>
  <c r="EV24" i="1"/>
  <c r="GL24" i="1"/>
  <c r="CE37" i="1"/>
  <c r="CG37" i="1" s="1"/>
  <c r="BU37" i="1"/>
  <c r="BV37" i="1" s="1"/>
  <c r="CI37" i="1" s="1"/>
  <c r="AR38" i="1"/>
  <c r="AP23" i="1"/>
  <c r="ER22" i="1"/>
  <c r="GM22" i="1"/>
  <c r="EF21" i="1"/>
  <c r="FO30" i="1"/>
  <c r="FP30" i="1" s="1"/>
  <c r="FO31" i="1"/>
  <c r="FP31" i="1" s="1"/>
  <c r="FO35" i="1"/>
  <c r="FP35" i="1" s="1"/>
  <c r="GM37" i="1"/>
  <c r="ER37" i="1"/>
  <c r="EF18" i="1"/>
  <c r="AP32" i="1"/>
  <c r="AP22" i="1"/>
  <c r="EO16" i="1"/>
  <c r="EQ16" i="1" s="1"/>
  <c r="EE16" i="1"/>
  <c r="EP28" i="1"/>
  <c r="EO33" i="1"/>
  <c r="EQ33" i="1" s="1"/>
  <c r="EE33" i="1"/>
  <c r="EF33" i="1" s="1"/>
  <c r="EF16" i="1"/>
  <c r="BU30" i="1"/>
  <c r="CE30" i="1"/>
  <c r="CG30" i="1" s="1"/>
  <c r="ER33" i="1"/>
  <c r="FO19" i="1"/>
  <c r="FP19" i="1" s="1"/>
  <c r="BV19" i="1"/>
  <c r="CI19" i="1" s="1"/>
  <c r="EE27" i="1"/>
  <c r="EF27" i="1" s="1"/>
  <c r="EO27" i="1"/>
  <c r="EQ27" i="1" s="1"/>
  <c r="FJ20" i="1"/>
  <c r="ER27" i="1"/>
  <c r="GM27" i="1"/>
  <c r="GD35" i="1"/>
  <c r="AR35" i="1"/>
  <c r="GL35" i="1"/>
  <c r="EV35" i="1"/>
  <c r="GC35" i="1"/>
  <c r="CF24" i="1"/>
  <c r="EE34" i="1"/>
  <c r="EF34" i="1" s="1"/>
  <c r="EO34" i="1"/>
  <c r="EQ34" i="1" s="1"/>
  <c r="CJ24" i="1"/>
  <c r="CL24" i="1" s="1"/>
  <c r="CM24" i="1" s="1"/>
  <c r="FO22" i="1"/>
  <c r="FP22" i="1" s="1"/>
  <c r="GD38" i="1"/>
  <c r="GC28" i="1"/>
  <c r="AR23" i="1"/>
  <c r="GD23" i="1"/>
  <c r="GC23" i="1"/>
  <c r="EP21" i="1"/>
  <c r="ER21" i="1"/>
  <c r="GM21" i="1"/>
  <c r="AP30" i="1"/>
  <c r="ER25" i="1"/>
  <c r="GM25" i="1"/>
  <c r="EV33" i="1"/>
  <c r="AR33" i="1"/>
  <c r="GL33" i="1"/>
  <c r="GD33" i="1"/>
  <c r="GC33" i="1"/>
  <c r="AP17" i="1"/>
  <c r="BU31" i="1"/>
  <c r="CE31" i="1"/>
  <c r="CG31" i="1" s="1"/>
  <c r="FO28" i="1"/>
  <c r="FP28" i="1" s="1"/>
  <c r="FO26" i="1"/>
  <c r="FP26" i="1" s="1"/>
  <c r="EE25" i="1"/>
  <c r="EF25" i="1" s="1"/>
  <c r="EO25" i="1"/>
  <c r="EQ25" i="1" s="1"/>
  <c r="EF31" i="1"/>
  <c r="GD37" i="1"/>
  <c r="GC37" i="1"/>
  <c r="AR37" i="1"/>
  <c r="GL37" i="1"/>
  <c r="EV37" i="1"/>
  <c r="EZ38" i="1" l="1"/>
  <c r="FB38" i="1"/>
  <c r="FE38" i="1"/>
  <c r="DC24" i="1"/>
  <c r="CF38" i="1"/>
  <c r="CT38" i="1" s="1"/>
  <c r="CS38" i="1" s="1"/>
  <c r="CZ38" i="1" s="1"/>
  <c r="EP31" i="1"/>
  <c r="EZ31" i="1" s="1"/>
  <c r="EP30" i="1"/>
  <c r="EZ30" i="1" s="1"/>
  <c r="EW23" i="1"/>
  <c r="BV16" i="1"/>
  <c r="CI16" i="1" s="1"/>
  <c r="EU30" i="1"/>
  <c r="GA30" i="1"/>
  <c r="GD18" i="1"/>
  <c r="CP24" i="1"/>
  <c r="CH38" i="1"/>
  <c r="DC38" i="1"/>
  <c r="GC18" i="1"/>
  <c r="FE20" i="1"/>
  <c r="EP18" i="1"/>
  <c r="FC18" i="1" s="1"/>
  <c r="EP16" i="1"/>
  <c r="FE12" i="1" s="1"/>
  <c r="CW38" i="1"/>
  <c r="EU25" i="1"/>
  <c r="EW25" i="1" s="1"/>
  <c r="GA25" i="1"/>
  <c r="GA27" i="1"/>
  <c r="EU27" i="1"/>
  <c r="EW27" i="1" s="1"/>
  <c r="GA33" i="1"/>
  <c r="EU33" i="1"/>
  <c r="EW33" i="1" s="1"/>
  <c r="CN38" i="1"/>
  <c r="EU22" i="1"/>
  <c r="EW22" i="1" s="1"/>
  <c r="GA22" i="1"/>
  <c r="EP22" i="1"/>
  <c r="FB18" i="1"/>
  <c r="CI27" i="1"/>
  <c r="CJ27" i="1" s="1"/>
  <c r="CL27" i="1" s="1"/>
  <c r="CM27" i="1" s="1"/>
  <c r="CH27" i="1"/>
  <c r="DC27" i="1"/>
  <c r="CF27" i="1"/>
  <c r="EU24" i="1"/>
  <c r="EW24" i="1" s="1"/>
  <c r="GA24" i="1"/>
  <c r="EP24" i="1"/>
  <c r="EZ16" i="1"/>
  <c r="FD16" i="1"/>
  <c r="EU32" i="1"/>
  <c r="EW32" i="1" s="1"/>
  <c r="GA32" i="1"/>
  <c r="GA34" i="1"/>
  <c r="EU34" i="1"/>
  <c r="EW34" i="1" s="1"/>
  <c r="GA35" i="1"/>
  <c r="EU35" i="1"/>
  <c r="EW35" i="1" s="1"/>
  <c r="GA18" i="1"/>
  <c r="EU18" i="1"/>
  <c r="EW18" i="1" s="1"/>
  <c r="GL17" i="1"/>
  <c r="GD17" i="1"/>
  <c r="EV17" i="1"/>
  <c r="GC17" i="1"/>
  <c r="AR17" i="1"/>
  <c r="BV28" i="1"/>
  <c r="DC28" i="1" s="1"/>
  <c r="EF37" i="1"/>
  <c r="EP35" i="1"/>
  <c r="FO20" i="1"/>
  <c r="FP20" i="1" s="1"/>
  <c r="EY22" i="1"/>
  <c r="CV24" i="1"/>
  <c r="CT24" i="1"/>
  <c r="CS24" i="1" s="1"/>
  <c r="CX24" i="1" s="1"/>
  <c r="CU24" i="1"/>
  <c r="CW24" i="1"/>
  <c r="EY24" i="1"/>
  <c r="EU19" i="1"/>
  <c r="EW19" i="1" s="1"/>
  <c r="GA19" i="1"/>
  <c r="GA31" i="1"/>
  <c r="EU31" i="1"/>
  <c r="EW31" i="1" s="1"/>
  <c r="BV22" i="1"/>
  <c r="EY35" i="1"/>
  <c r="GA36" i="1"/>
  <c r="EU36" i="1"/>
  <c r="EW36" i="1" s="1"/>
  <c r="AP20" i="1"/>
  <c r="FH23" i="1"/>
  <c r="FG23" i="1"/>
  <c r="EY16" i="1"/>
  <c r="BV25" i="1"/>
  <c r="CY26" i="1"/>
  <c r="CX26" i="1"/>
  <c r="CU26" i="1"/>
  <c r="CT26" i="1"/>
  <c r="CS26" i="1" s="1"/>
  <c r="CV26" i="1"/>
  <c r="CW26" i="1"/>
  <c r="CQ38" i="1"/>
  <c r="FT38" i="1" s="1"/>
  <c r="GM17" i="1"/>
  <c r="ER17" i="1"/>
  <c r="EY27" i="1"/>
  <c r="CF23" i="1"/>
  <c r="CE18" i="1"/>
  <c r="CG18" i="1" s="1"/>
  <c r="BU18" i="1"/>
  <c r="CF29" i="1"/>
  <c r="CE33" i="1"/>
  <c r="CG33" i="1" s="1"/>
  <c r="BU33" i="1"/>
  <c r="BV33" i="1" s="1"/>
  <c r="CI33" i="1" s="1"/>
  <c r="CH29" i="1"/>
  <c r="CJ37" i="1"/>
  <c r="BU20" i="1"/>
  <c r="BV20" i="1" s="1"/>
  <c r="CE20" i="1"/>
  <c r="CG20" i="1" s="1"/>
  <c r="GM20" i="1"/>
  <c r="EP36" i="1"/>
  <c r="DC37" i="1"/>
  <c r="GM18" i="1"/>
  <c r="DC19" i="1"/>
  <c r="CJ16" i="1"/>
  <c r="CJ29" i="1"/>
  <c r="CL29" i="1" s="1"/>
  <c r="CM29" i="1" s="1"/>
  <c r="BV32" i="1"/>
  <c r="DC32" i="1" s="1"/>
  <c r="EY36" i="1"/>
  <c r="FJ32" i="1"/>
  <c r="EX28" i="1"/>
  <c r="CJ19" i="1"/>
  <c r="CL19" i="1" s="1"/>
  <c r="CM19" i="1" s="1"/>
  <c r="CH23" i="1"/>
  <c r="CN26" i="1"/>
  <c r="EF29" i="1"/>
  <c r="EP29" i="1" s="1"/>
  <c r="EY21" i="1"/>
  <c r="DC29" i="1"/>
  <c r="EU21" i="1"/>
  <c r="EW21" i="1" s="1"/>
  <c r="GA21" i="1"/>
  <c r="EY33" i="1"/>
  <c r="EZ21" i="1"/>
  <c r="EP25" i="1"/>
  <c r="FC21" i="1"/>
  <c r="EP27" i="1"/>
  <c r="BV35" i="1"/>
  <c r="FD31" i="1"/>
  <c r="FF31" i="1" s="1"/>
  <c r="CP38" i="1"/>
  <c r="CF28" i="1"/>
  <c r="EY19" i="1"/>
  <c r="CH37" i="1"/>
  <c r="EY18" i="1"/>
  <c r="BV34" i="1"/>
  <c r="CF34" i="1" s="1"/>
  <c r="FI20" i="1"/>
  <c r="FA20" i="1"/>
  <c r="FB31" i="1"/>
  <c r="EF26" i="1"/>
  <c r="EP26" i="1" s="1"/>
  <c r="FO17" i="1"/>
  <c r="FP17" i="1" s="1"/>
  <c r="CF19" i="1"/>
  <c r="EP34" i="1"/>
  <c r="FG38" i="1"/>
  <c r="FH38" i="1"/>
  <c r="AP33" i="1"/>
  <c r="EY31" i="1"/>
  <c r="EY37" i="1"/>
  <c r="FD21" i="1"/>
  <c r="DC23" i="1"/>
  <c r="CN24" i="1"/>
  <c r="GM33" i="1"/>
  <c r="FF28" i="1"/>
  <c r="FE28" i="1"/>
  <c r="FD28" i="1"/>
  <c r="EZ28" i="1"/>
  <c r="FC28" i="1"/>
  <c r="FB28" i="1"/>
  <c r="DC25" i="1"/>
  <c r="CX38" i="1"/>
  <c r="CY38" i="1"/>
  <c r="CF37" i="1"/>
  <c r="EY26" i="1"/>
  <c r="CF16" i="1"/>
  <c r="FJ19" i="1"/>
  <c r="EE17" i="1"/>
  <c r="EF17" i="1" s="1"/>
  <c r="EO17" i="1"/>
  <c r="EP32" i="1"/>
  <c r="EY29" i="1"/>
  <c r="BV36" i="1"/>
  <c r="BV17" i="1"/>
  <c r="CH19" i="1"/>
  <c r="AP18" i="1"/>
  <c r="CQ24" i="1"/>
  <c r="CO24" i="1" s="1"/>
  <c r="FJ33" i="1"/>
  <c r="EY34" i="1"/>
  <c r="EY32" i="1"/>
  <c r="EX38" i="1"/>
  <c r="FO33" i="1"/>
  <c r="FP33" i="1" s="1"/>
  <c r="FB21" i="1"/>
  <c r="EY25" i="1"/>
  <c r="CG17" i="1"/>
  <c r="EP33" i="1"/>
  <c r="EU16" i="1"/>
  <c r="EW16" i="1" s="1"/>
  <c r="GA16" i="1"/>
  <c r="BV31" i="1"/>
  <c r="BV30" i="1"/>
  <c r="AR20" i="1"/>
  <c r="AJ20" i="1" s="1"/>
  <c r="GQ20" i="1" s="1"/>
  <c r="GR20" i="1" s="1"/>
  <c r="GD20" i="1"/>
  <c r="GC20" i="1"/>
  <c r="FJ38" i="1"/>
  <c r="CH16" i="1"/>
  <c r="EP19" i="1"/>
  <c r="BV21" i="1"/>
  <c r="FO18" i="1"/>
  <c r="FP18" i="1" s="1"/>
  <c r="CJ23" i="1"/>
  <c r="DC21" i="1"/>
  <c r="CQ26" i="1"/>
  <c r="CO26" i="1" s="1"/>
  <c r="EX23" i="1" l="1"/>
  <c r="FJ23" i="1"/>
  <c r="FC31" i="1"/>
  <c r="FJ34" i="1"/>
  <c r="CU38" i="1"/>
  <c r="FE16" i="1"/>
  <c r="CV38" i="1"/>
  <c r="FB16" i="1"/>
  <c r="CP19" i="1"/>
  <c r="FJ18" i="1"/>
  <c r="FF16" i="1"/>
  <c r="EZ18" i="1"/>
  <c r="DA38" i="1"/>
  <c r="FB30" i="1"/>
  <c r="FC16" i="1"/>
  <c r="FD30" i="1"/>
  <c r="FH30" i="1" s="1"/>
  <c r="FJ36" i="1"/>
  <c r="FD18" i="1"/>
  <c r="FC30" i="1"/>
  <c r="FJ24" i="1"/>
  <c r="FJ27" i="1"/>
  <c r="AJ23" i="1"/>
  <c r="GQ23" i="1" s="1"/>
  <c r="GR23" i="1" s="1"/>
  <c r="FJ21" i="1"/>
  <c r="FG30" i="1"/>
  <c r="EW30" i="1"/>
  <c r="FJ30" i="1" s="1"/>
  <c r="CF33" i="1"/>
  <c r="CT33" i="1" s="1"/>
  <c r="CS33" i="1" s="1"/>
  <c r="CY33" i="1" s="1"/>
  <c r="CE14" i="1"/>
  <c r="CY24" i="1"/>
  <c r="CH33" i="1"/>
  <c r="FE30" i="1"/>
  <c r="FJ25" i="1"/>
  <c r="BV18" i="1"/>
  <c r="CF18" i="1" s="1"/>
  <c r="CP29" i="1"/>
  <c r="FJ31" i="1"/>
  <c r="DC33" i="1"/>
  <c r="DC16" i="1"/>
  <c r="CW34" i="1"/>
  <c r="CT34" i="1"/>
  <c r="CS34" i="1" s="1"/>
  <c r="CY34" i="1" s="1"/>
  <c r="CV34" i="1"/>
  <c r="CU34" i="1"/>
  <c r="GA17" i="1"/>
  <c r="EU17" i="1"/>
  <c r="EW17" i="1" s="1"/>
  <c r="FD29" i="1"/>
  <c r="FF29" i="1" s="1"/>
  <c r="EZ29" i="1"/>
  <c r="FB29" i="1"/>
  <c r="FC29" i="1"/>
  <c r="CI20" i="1"/>
  <c r="CF20" i="1"/>
  <c r="CH20" i="1"/>
  <c r="DC20" i="1"/>
  <c r="FE26" i="1"/>
  <c r="FF26" i="1"/>
  <c r="FC26" i="1"/>
  <c r="FB26" i="1"/>
  <c r="FD26" i="1"/>
  <c r="EZ26" i="1"/>
  <c r="EX16" i="1"/>
  <c r="EX22" i="1"/>
  <c r="CN27" i="1"/>
  <c r="EX19" i="1"/>
  <c r="CI17" i="1"/>
  <c r="DC17" i="1"/>
  <c r="CH17" i="1"/>
  <c r="FB34" i="1"/>
  <c r="FD34" i="1"/>
  <c r="FF34" i="1" s="1"/>
  <c r="FC34" i="1"/>
  <c r="EZ34" i="1"/>
  <c r="EX21" i="1"/>
  <c r="EZ36" i="1"/>
  <c r="FB36" i="1"/>
  <c r="FD36" i="1"/>
  <c r="FC36" i="1"/>
  <c r="CL37" i="1"/>
  <c r="CM37" i="1" s="1"/>
  <c r="CQ37" i="1"/>
  <c r="DA26" i="1"/>
  <c r="CZ26" i="1"/>
  <c r="CI22" i="1"/>
  <c r="CH22" i="1"/>
  <c r="FR24" i="1"/>
  <c r="EX32" i="1"/>
  <c r="FB24" i="1"/>
  <c r="EZ24" i="1"/>
  <c r="FC24" i="1"/>
  <c r="FD24" i="1"/>
  <c r="FE24" i="1" s="1"/>
  <c r="CQ27" i="1"/>
  <c r="GA26" i="1"/>
  <c r="EU26" i="1"/>
  <c r="EX35" i="1"/>
  <c r="FC33" i="1"/>
  <c r="EZ33" i="1"/>
  <c r="FB33" i="1"/>
  <c r="FD33" i="1"/>
  <c r="FE33" i="1" s="1"/>
  <c r="CT28" i="1"/>
  <c r="CS28" i="1" s="1"/>
  <c r="CY28" i="1" s="1"/>
  <c r="CU28" i="1"/>
  <c r="CW28" i="1"/>
  <c r="CV28" i="1"/>
  <c r="CI36" i="1"/>
  <c r="DC36" i="1"/>
  <c r="CF36" i="1"/>
  <c r="CH36" i="1"/>
  <c r="CW16" i="1"/>
  <c r="CV16" i="1"/>
  <c r="CU16" i="1"/>
  <c r="CT16" i="1"/>
  <c r="CS16" i="1" s="1"/>
  <c r="CX16" i="1" s="1"/>
  <c r="CU19" i="1"/>
  <c r="CW19" i="1"/>
  <c r="CT19" i="1"/>
  <c r="CS19" i="1" s="1"/>
  <c r="CV19" i="1"/>
  <c r="FG31" i="1"/>
  <c r="FH31" i="1"/>
  <c r="CN19" i="1"/>
  <c r="CI32" i="1"/>
  <c r="CF32" i="1"/>
  <c r="CH32" i="1"/>
  <c r="FJ22" i="1"/>
  <c r="CF17" i="1"/>
  <c r="CF22" i="1"/>
  <c r="FE31" i="1"/>
  <c r="EX34" i="1"/>
  <c r="CQ19" i="1"/>
  <c r="FT19" i="1" s="1"/>
  <c r="CQ29" i="1"/>
  <c r="CV29" i="1"/>
  <c r="CT29" i="1"/>
  <c r="CS29" i="1" s="1"/>
  <c r="CY29" i="1" s="1"/>
  <c r="CU29" i="1"/>
  <c r="CW29" i="1"/>
  <c r="DC34" i="1"/>
  <c r="CI30" i="1"/>
  <c r="CH30" i="1"/>
  <c r="FG28" i="1"/>
  <c r="FH28" i="1"/>
  <c r="FG21" i="1"/>
  <c r="FH21" i="1"/>
  <c r="CI35" i="1"/>
  <c r="DC35" i="1"/>
  <c r="CH35" i="1"/>
  <c r="CF35" i="1"/>
  <c r="CN29" i="1"/>
  <c r="EP17" i="1"/>
  <c r="EX31" i="1"/>
  <c r="DC22" i="1"/>
  <c r="CI28" i="1"/>
  <c r="CH28" i="1"/>
  <c r="EX18" i="1"/>
  <c r="AJ18" i="1" s="1"/>
  <c r="GQ18" i="1" s="1"/>
  <c r="GR18" i="1" s="1"/>
  <c r="FD12" i="1"/>
  <c r="FH16" i="1"/>
  <c r="FG16" i="1"/>
  <c r="EX33" i="1"/>
  <c r="FJ35" i="1"/>
  <c r="CF30" i="1"/>
  <c r="DC30" i="1"/>
  <c r="EU37" i="1"/>
  <c r="GA37" i="1"/>
  <c r="EY17" i="1"/>
  <c r="EX24" i="1"/>
  <c r="FS24" i="1" s="1"/>
  <c r="FT24" i="1"/>
  <c r="FH18" i="1"/>
  <c r="FG18" i="1"/>
  <c r="FI38" i="1"/>
  <c r="FA38" i="1"/>
  <c r="FX38" i="1" s="1"/>
  <c r="CL23" i="1"/>
  <c r="CM23" i="1" s="1"/>
  <c r="CQ23" i="1"/>
  <c r="FI23" i="1"/>
  <c r="FA23" i="1"/>
  <c r="FE35" i="1"/>
  <c r="EZ35" i="1"/>
  <c r="FB35" i="1"/>
  <c r="FC35" i="1"/>
  <c r="FD35" i="1"/>
  <c r="FF35" i="1" s="1"/>
  <c r="CP27" i="1"/>
  <c r="AJ38" i="1"/>
  <c r="GQ38" i="1" s="1"/>
  <c r="GR38" i="1" s="1"/>
  <c r="FD32" i="1"/>
  <c r="FF32" i="1" s="1"/>
  <c r="EZ32" i="1"/>
  <c r="FB32" i="1"/>
  <c r="FC32" i="1"/>
  <c r="GA29" i="1"/>
  <c r="EU29" i="1"/>
  <c r="CL16" i="1"/>
  <c r="CM16" i="1" s="1"/>
  <c r="CQ16" i="1"/>
  <c r="CJ33" i="1"/>
  <c r="CL33" i="1" s="1"/>
  <c r="CM33" i="1" s="1"/>
  <c r="CW23" i="1"/>
  <c r="CT23" i="1"/>
  <c r="CS23" i="1" s="1"/>
  <c r="CU23" i="1"/>
  <c r="CV23" i="1"/>
  <c r="CO38" i="1"/>
  <c r="FU38" i="1" s="1"/>
  <c r="FR38" i="1"/>
  <c r="CI25" i="1"/>
  <c r="CF25" i="1"/>
  <c r="CH25" i="1"/>
  <c r="EX36" i="1"/>
  <c r="AJ36" i="1" s="1"/>
  <c r="GQ36" i="1" s="1"/>
  <c r="GR36" i="1" s="1"/>
  <c r="FF21" i="1"/>
  <c r="AJ28" i="1"/>
  <c r="GQ28" i="1" s="1"/>
  <c r="GR28" i="1" s="1"/>
  <c r="FD22" i="1"/>
  <c r="FF22" i="1" s="1"/>
  <c r="FB22" i="1"/>
  <c r="FC22" i="1"/>
  <c r="EZ22" i="1"/>
  <c r="DB38" i="1"/>
  <c r="EX27" i="1"/>
  <c r="EX25" i="1"/>
  <c r="FJ16" i="1"/>
  <c r="CI34" i="1"/>
  <c r="CH34" i="1"/>
  <c r="FB25" i="1"/>
  <c r="EZ25" i="1"/>
  <c r="FC25" i="1"/>
  <c r="FD25" i="1"/>
  <c r="FE25" i="1" s="1"/>
  <c r="CI21" i="1"/>
  <c r="CF21" i="1"/>
  <c r="CH21" i="1"/>
  <c r="CI31" i="1"/>
  <c r="CH31" i="1"/>
  <c r="DC31" i="1"/>
  <c r="FB19" i="1"/>
  <c r="FC19" i="1"/>
  <c r="EZ19" i="1"/>
  <c r="FD19" i="1"/>
  <c r="FF19" i="1" s="1"/>
  <c r="AJ16" i="1"/>
  <c r="GQ16" i="1" s="1"/>
  <c r="GR16" i="1" s="1"/>
  <c r="CF31" i="1"/>
  <c r="EQ17" i="1"/>
  <c r="EO14" i="1"/>
  <c r="CU37" i="1"/>
  <c r="CT37" i="1"/>
  <c r="CS37" i="1" s="1"/>
  <c r="CW37" i="1"/>
  <c r="CV37" i="1"/>
  <c r="FD27" i="1"/>
  <c r="FE27" i="1" s="1"/>
  <c r="FB27" i="1"/>
  <c r="EZ27" i="1"/>
  <c r="AJ27" i="1" s="1"/>
  <c r="GQ27" i="1" s="1"/>
  <c r="GR27" i="1" s="1"/>
  <c r="FC27" i="1"/>
  <c r="CJ20" i="1"/>
  <c r="CL20" i="1" s="1"/>
  <c r="CM20" i="1" s="1"/>
  <c r="AJ19" i="1"/>
  <c r="GQ19" i="1" s="1"/>
  <c r="GR19" i="1" s="1"/>
  <c r="DA24" i="1"/>
  <c r="CZ24" i="1"/>
  <c r="FE21" i="1"/>
  <c r="CT27" i="1"/>
  <c r="CS27" i="1" s="1"/>
  <c r="CY27" i="1" s="1"/>
  <c r="CW27" i="1"/>
  <c r="CV27" i="1"/>
  <c r="CU27" i="1"/>
  <c r="EP37" i="1"/>
  <c r="FF27" i="1" l="1"/>
  <c r="FE32" i="1"/>
  <c r="AJ33" i="1"/>
  <c r="GQ33" i="1" s="1"/>
  <c r="GR33" i="1" s="1"/>
  <c r="AJ22" i="1"/>
  <c r="GQ22" i="1" s="1"/>
  <c r="GR22" i="1" s="1"/>
  <c r="FF30" i="1"/>
  <c r="FE34" i="1"/>
  <c r="FE18" i="1"/>
  <c r="FF18" i="1"/>
  <c r="FI18" i="1" s="1"/>
  <c r="CV18" i="1"/>
  <c r="CW18" i="1"/>
  <c r="CT18" i="1"/>
  <c r="CS18" i="1" s="1"/>
  <c r="CU18" i="1"/>
  <c r="FE19" i="1"/>
  <c r="CU33" i="1"/>
  <c r="AJ35" i="1"/>
  <c r="GQ35" i="1" s="1"/>
  <c r="GR35" i="1" s="1"/>
  <c r="CW33" i="1"/>
  <c r="CI18" i="1"/>
  <c r="CJ18" i="1" s="1"/>
  <c r="DC18" i="1"/>
  <c r="FJ17" i="1"/>
  <c r="DB26" i="1"/>
  <c r="CP23" i="1"/>
  <c r="EX30" i="1"/>
  <c r="AJ30" i="1" s="1"/>
  <c r="GQ30" i="1" s="1"/>
  <c r="GR30" i="1" s="1"/>
  <c r="FT16" i="1"/>
  <c r="CP37" i="1"/>
  <c r="CH18" i="1"/>
  <c r="FF33" i="1"/>
  <c r="CV33" i="1"/>
  <c r="FA30" i="1"/>
  <c r="FI30" i="1"/>
  <c r="CN37" i="1"/>
  <c r="CU32" i="1"/>
  <c r="CT32" i="1"/>
  <c r="CS32" i="1" s="1"/>
  <c r="CX32" i="1" s="1"/>
  <c r="CV32" i="1"/>
  <c r="CW32" i="1"/>
  <c r="AJ21" i="1"/>
  <c r="GQ21" i="1" s="1"/>
  <c r="GR21" i="1" s="1"/>
  <c r="CZ18" i="1"/>
  <c r="DA18" i="1"/>
  <c r="EZ37" i="1"/>
  <c r="FD37" i="1"/>
  <c r="FE37" i="1" s="1"/>
  <c r="FC37" i="1"/>
  <c r="FB37" i="1"/>
  <c r="CX27" i="1"/>
  <c r="CP16" i="1"/>
  <c r="FH25" i="1"/>
  <c r="FG25" i="1"/>
  <c r="FX23" i="1"/>
  <c r="CJ32" i="1"/>
  <c r="CL32" i="1" s="1"/>
  <c r="CM32" i="1" s="1"/>
  <c r="CZ19" i="1"/>
  <c r="DA19" i="1"/>
  <c r="CX28" i="1"/>
  <c r="CJ22" i="1"/>
  <c r="CL22" i="1" s="1"/>
  <c r="CM22" i="1" s="1"/>
  <c r="FG36" i="1"/>
  <c r="FH36" i="1"/>
  <c r="FE29" i="1"/>
  <c r="CJ21" i="1"/>
  <c r="CL21" i="1" s="1"/>
  <c r="CM21" i="1" s="1"/>
  <c r="FS38" i="1"/>
  <c r="CZ37" i="1"/>
  <c r="DA37" i="1"/>
  <c r="CX22" i="1"/>
  <c r="CY22" i="1"/>
  <c r="CV22" i="1"/>
  <c r="CT22" i="1"/>
  <c r="CS22" i="1" s="1"/>
  <c r="CW22" i="1"/>
  <c r="CU22" i="1"/>
  <c r="CP20" i="1"/>
  <c r="FZ38" i="1"/>
  <c r="AL38" i="1" s="1"/>
  <c r="FV38" i="1"/>
  <c r="FW38" i="1" s="1"/>
  <c r="GJ38" i="1"/>
  <c r="GI38" i="1"/>
  <c r="GO38" i="1"/>
  <c r="AN38" i="1" s="1"/>
  <c r="AM38" i="1" s="1"/>
  <c r="AJ34" i="1"/>
  <c r="GQ34" i="1" s="1"/>
  <c r="GR34" i="1" s="1"/>
  <c r="CO27" i="1"/>
  <c r="FR27" i="1"/>
  <c r="CO16" i="1"/>
  <c r="FR16" i="1"/>
  <c r="CV30" i="1"/>
  <c r="CU30" i="1"/>
  <c r="CW30" i="1"/>
  <c r="CT30" i="1"/>
  <c r="CS30" i="1" s="1"/>
  <c r="CX30" i="1" s="1"/>
  <c r="FI28" i="1"/>
  <c r="FA28" i="1"/>
  <c r="FX28" i="1" s="1"/>
  <c r="CZ28" i="1"/>
  <c r="DA28" i="1"/>
  <c r="CZ34" i="1"/>
  <c r="DA34" i="1"/>
  <c r="DA23" i="1"/>
  <c r="CZ23" i="1"/>
  <c r="FA18" i="1"/>
  <c r="FX18" i="1" s="1"/>
  <c r="EW29" i="1"/>
  <c r="FJ29" i="1" s="1"/>
  <c r="FG35" i="1"/>
  <c r="FH35" i="1"/>
  <c r="FE17" i="1"/>
  <c r="FB17" i="1"/>
  <c r="FC17" i="1"/>
  <c r="EZ17" i="1"/>
  <c r="FD17" i="1"/>
  <c r="FF17" i="1" s="1"/>
  <c r="FH33" i="1"/>
  <c r="FG33" i="1"/>
  <c r="EW26" i="1"/>
  <c r="FJ26" i="1" s="1"/>
  <c r="FF24" i="1"/>
  <c r="CV20" i="1"/>
  <c r="CW20" i="1"/>
  <c r="CT20" i="1"/>
  <c r="CS20" i="1" s="1"/>
  <c r="CX20" i="1" s="1"/>
  <c r="CU20" i="1"/>
  <c r="EX17" i="1"/>
  <c r="AJ17" i="1" s="1"/>
  <c r="GQ17" i="1" s="1"/>
  <c r="GR17" i="1" s="1"/>
  <c r="CX34" i="1"/>
  <c r="CY18" i="1"/>
  <c r="CN33" i="1"/>
  <c r="CZ16" i="1"/>
  <c r="DA16" i="1"/>
  <c r="FI16" i="1"/>
  <c r="FA16" i="1"/>
  <c r="FX16" i="1" s="1"/>
  <c r="CN20" i="1"/>
  <c r="CJ34" i="1"/>
  <c r="CL34" i="1" s="1"/>
  <c r="CM34" i="1" s="1"/>
  <c r="CN16" i="1"/>
  <c r="FU16" i="1" s="1"/>
  <c r="CP22" i="1"/>
  <c r="FG29" i="1"/>
  <c r="FH29" i="1"/>
  <c r="CT31" i="1"/>
  <c r="CS31" i="1" s="1"/>
  <c r="CY31" i="1" s="1"/>
  <c r="CU31" i="1"/>
  <c r="CW31" i="1"/>
  <c r="CV31" i="1"/>
  <c r="AJ25" i="1"/>
  <c r="GQ25" i="1" s="1"/>
  <c r="GR25" i="1" s="1"/>
  <c r="CZ33" i="1"/>
  <c r="DA33" i="1"/>
  <c r="CJ35" i="1"/>
  <c r="CL35" i="1" s="1"/>
  <c r="CM35" i="1" s="1"/>
  <c r="CY16" i="1"/>
  <c r="FE22" i="1"/>
  <c r="DB24" i="1"/>
  <c r="CX37" i="1"/>
  <c r="FH19" i="1"/>
  <c r="FG19" i="1"/>
  <c r="CQ31" i="1"/>
  <c r="CJ31" i="1"/>
  <c r="CL31" i="1" s="1"/>
  <c r="CM31" i="1" s="1"/>
  <c r="FU27" i="1"/>
  <c r="CT25" i="1"/>
  <c r="CS25" i="1" s="1"/>
  <c r="CX25" i="1" s="1"/>
  <c r="CW25" i="1"/>
  <c r="CU25" i="1"/>
  <c r="CV25" i="1"/>
  <c r="CY23" i="1"/>
  <c r="FH32" i="1"/>
  <c r="FG32" i="1"/>
  <c r="CO23" i="1"/>
  <c r="FR23" i="1"/>
  <c r="EW37" i="1"/>
  <c r="CT17" i="1"/>
  <c r="CS17" i="1" s="1"/>
  <c r="CU17" i="1"/>
  <c r="CV17" i="1"/>
  <c r="CW17" i="1"/>
  <c r="CY19" i="1"/>
  <c r="FE36" i="1"/>
  <c r="FH34" i="1"/>
  <c r="FG34" i="1"/>
  <c r="CX33" i="1"/>
  <c r="FH26" i="1"/>
  <c r="FG26" i="1"/>
  <c r="CQ20" i="1"/>
  <c r="CX18" i="1"/>
  <c r="FU24" i="1"/>
  <c r="AJ24" i="1"/>
  <c r="GQ24" i="1" s="1"/>
  <c r="GR24" i="1" s="1"/>
  <c r="CP33" i="1"/>
  <c r="CP32" i="1"/>
  <c r="FH22" i="1"/>
  <c r="FG22" i="1"/>
  <c r="DA29" i="1"/>
  <c r="CZ29" i="1"/>
  <c r="FG27" i="1"/>
  <c r="FH27" i="1"/>
  <c r="CY37" i="1"/>
  <c r="CP21" i="1"/>
  <c r="FF25" i="1"/>
  <c r="FT27" i="1"/>
  <c r="CQ25" i="1"/>
  <c r="CJ25" i="1"/>
  <c r="CL25" i="1" s="1"/>
  <c r="CM25" i="1" s="1"/>
  <c r="CX23" i="1"/>
  <c r="CN23" i="1"/>
  <c r="FU23" i="1" s="1"/>
  <c r="FT23" i="1"/>
  <c r="FI21" i="1"/>
  <c r="FA21" i="1"/>
  <c r="CJ30" i="1"/>
  <c r="CL30" i="1" s="1"/>
  <c r="CM30" i="1" s="1"/>
  <c r="CX29" i="1"/>
  <c r="CO19" i="1"/>
  <c r="FU19" i="1" s="1"/>
  <c r="FR19" i="1"/>
  <c r="CQ18" i="1"/>
  <c r="CL18" i="1"/>
  <c r="CM18" i="1" s="1"/>
  <c r="CX19" i="1"/>
  <c r="CV36" i="1"/>
  <c r="CW36" i="1"/>
  <c r="CT36" i="1"/>
  <c r="CS36" i="1" s="1"/>
  <c r="CY36" i="1" s="1"/>
  <c r="CU36" i="1"/>
  <c r="AJ32" i="1"/>
  <c r="GQ32" i="1" s="1"/>
  <c r="GR32" i="1" s="1"/>
  <c r="FF36" i="1"/>
  <c r="CJ17" i="1"/>
  <c r="CL17" i="1" s="1"/>
  <c r="CM17" i="1" s="1"/>
  <c r="AJ31" i="1"/>
  <c r="GQ31" i="1" s="1"/>
  <c r="GR31" i="1" s="1"/>
  <c r="CQ33" i="1"/>
  <c r="CT21" i="1"/>
  <c r="CS21" i="1" s="1"/>
  <c r="CU21" i="1"/>
  <c r="CV21" i="1"/>
  <c r="CW21" i="1"/>
  <c r="CJ28" i="1"/>
  <c r="CL28" i="1" s="1"/>
  <c r="CM28" i="1" s="1"/>
  <c r="FI31" i="1"/>
  <c r="FA31" i="1"/>
  <c r="CO37" i="1"/>
  <c r="CO29" i="1"/>
  <c r="FR29" i="1"/>
  <c r="CZ27" i="1"/>
  <c r="DA27" i="1"/>
  <c r="CX35" i="1"/>
  <c r="CY35" i="1"/>
  <c r="CW35" i="1"/>
  <c r="CT35" i="1"/>
  <c r="CS35" i="1" s="1"/>
  <c r="CV35" i="1"/>
  <c r="CU35" i="1"/>
  <c r="CJ36" i="1"/>
  <c r="CL36" i="1" s="1"/>
  <c r="CM36" i="1" s="1"/>
  <c r="FG24" i="1"/>
  <c r="FH24" i="1"/>
  <c r="DB33" i="1" l="1"/>
  <c r="CP34" i="1"/>
  <c r="CX36" i="1"/>
  <c r="FX21" i="1"/>
  <c r="DB29" i="1"/>
  <c r="DB19" i="1"/>
  <c r="CP35" i="1"/>
  <c r="DB34" i="1"/>
  <c r="FV34" i="1" s="1"/>
  <c r="FW34" i="1" s="1"/>
  <c r="CP18" i="1"/>
  <c r="CQ22" i="1"/>
  <c r="CY30" i="1"/>
  <c r="CP25" i="1"/>
  <c r="FF37" i="1"/>
  <c r="DA21" i="1"/>
  <c r="CZ21" i="1"/>
  <c r="FX31" i="1"/>
  <c r="CZ17" i="1"/>
  <c r="DA17" i="1"/>
  <c r="FX20" i="1"/>
  <c r="CY21" i="1"/>
  <c r="CX17" i="1"/>
  <c r="FS23" i="1"/>
  <c r="CN35" i="1"/>
  <c r="CY20" i="1"/>
  <c r="DB28" i="1"/>
  <c r="FS16" i="1"/>
  <c r="CN22" i="1"/>
  <c r="FT22" i="1"/>
  <c r="CQ32" i="1"/>
  <c r="FT32" i="1" s="1"/>
  <c r="CN30" i="1"/>
  <c r="CX21" i="1"/>
  <c r="CQ30" i="1"/>
  <c r="FT30" i="1" s="1"/>
  <c r="FI19" i="1"/>
  <c r="FA19" i="1"/>
  <c r="FX19" i="1" s="1"/>
  <c r="CN32" i="1"/>
  <c r="CN36" i="1"/>
  <c r="CQ36" i="1"/>
  <c r="FT36" i="1" s="1"/>
  <c r="CN28" i="1"/>
  <c r="CO33" i="1"/>
  <c r="FU33" i="1" s="1"/>
  <c r="FR33" i="1"/>
  <c r="CN18" i="1"/>
  <c r="FT18" i="1"/>
  <c r="FI27" i="1"/>
  <c r="FA27" i="1"/>
  <c r="FX27" i="1" s="1"/>
  <c r="FI22" i="1"/>
  <c r="FA22" i="1"/>
  <c r="FX22" i="1" s="1"/>
  <c r="CY17" i="1"/>
  <c r="FI32" i="1"/>
  <c r="FA32" i="1"/>
  <c r="FX32" i="1" s="1"/>
  <c r="CZ25" i="1"/>
  <c r="DA25" i="1"/>
  <c r="CQ35" i="1"/>
  <c r="DA31" i="1"/>
  <c r="CZ31" i="1"/>
  <c r="FI35" i="1"/>
  <c r="FA35" i="1"/>
  <c r="FX35" i="1" s="1"/>
  <c r="CN21" i="1"/>
  <c r="CO22" i="1"/>
  <c r="FS22" i="1" s="1"/>
  <c r="FR22" i="1"/>
  <c r="CZ32" i="1"/>
  <c r="DA32" i="1"/>
  <c r="FI24" i="1"/>
  <c r="GO24" i="1" s="1"/>
  <c r="AN24" i="1" s="1"/>
  <c r="AM24" i="1" s="1"/>
  <c r="FA24" i="1"/>
  <c r="FX24" i="1" s="1"/>
  <c r="FI36" i="1"/>
  <c r="FA36" i="1"/>
  <c r="FX36" i="1" s="1"/>
  <c r="FI25" i="1"/>
  <c r="FA25" i="1"/>
  <c r="FX25" i="1" s="1"/>
  <c r="FI26" i="1"/>
  <c r="FA26" i="1"/>
  <c r="FX30" i="1"/>
  <c r="DB27" i="1"/>
  <c r="CQ28" i="1"/>
  <c r="CO18" i="1"/>
  <c r="FR18" i="1"/>
  <c r="CP28" i="1"/>
  <c r="CN25" i="1"/>
  <c r="FT25" i="1"/>
  <c r="CP36" i="1"/>
  <c r="CY25" i="1"/>
  <c r="CX31" i="1"/>
  <c r="CP17" i="1"/>
  <c r="FH17" i="1"/>
  <c r="FG17" i="1"/>
  <c r="DB23" i="1"/>
  <c r="FS27" i="1"/>
  <c r="DB37" i="1"/>
  <c r="CQ21" i="1"/>
  <c r="FT21" i="1" s="1"/>
  <c r="DB18" i="1"/>
  <c r="EX37" i="1"/>
  <c r="FU37" i="1" s="1"/>
  <c r="FT37" i="1"/>
  <c r="FI33" i="1"/>
  <c r="GO33" i="1" s="1"/>
  <c r="AN33" i="1" s="1"/>
  <c r="AM33" i="1" s="1"/>
  <c r="FA33" i="1"/>
  <c r="CN17" i="1"/>
  <c r="CZ36" i="1"/>
  <c r="DA36" i="1"/>
  <c r="FI34" i="1"/>
  <c r="FA34" i="1"/>
  <c r="FX34" i="1" s="1"/>
  <c r="CP30" i="1"/>
  <c r="FZ33" i="1"/>
  <c r="AL33" i="1" s="1"/>
  <c r="CO20" i="1"/>
  <c r="FU20" i="1" s="1"/>
  <c r="FR20" i="1"/>
  <c r="GJ19" i="1"/>
  <c r="FV19" i="1"/>
  <c r="FW19" i="1" s="1"/>
  <c r="CO25" i="1"/>
  <c r="FR25" i="1"/>
  <c r="FZ24" i="1"/>
  <c r="AL24" i="1" s="1"/>
  <c r="CN34" i="1"/>
  <c r="CZ35" i="1"/>
  <c r="DA35" i="1"/>
  <c r="CQ17" i="1"/>
  <c r="FT17" i="1" s="1"/>
  <c r="FS19" i="1"/>
  <c r="FT33" i="1"/>
  <c r="CQ34" i="1"/>
  <c r="FT34" i="1" s="1"/>
  <c r="DB16" i="1"/>
  <c r="FT29" i="1"/>
  <c r="EX29" i="1"/>
  <c r="FU29" i="1" s="1"/>
  <c r="CZ30" i="1"/>
  <c r="DA30" i="1"/>
  <c r="CZ22" i="1"/>
  <c r="DA22" i="1"/>
  <c r="CY32" i="1"/>
  <c r="CO31" i="1"/>
  <c r="FR31" i="1"/>
  <c r="FR37" i="1"/>
  <c r="FJ37" i="1"/>
  <c r="FJ14" i="1" s="1"/>
  <c r="CN31" i="1"/>
  <c r="FT31" i="1"/>
  <c r="FI29" i="1"/>
  <c r="GO29" i="1" s="1"/>
  <c r="AN29" i="1" s="1"/>
  <c r="AM29" i="1" s="1"/>
  <c r="FA29" i="1"/>
  <c r="FX29" i="1" s="1"/>
  <c r="FT20" i="1"/>
  <c r="DA20" i="1"/>
  <c r="CZ20" i="1"/>
  <c r="FT26" i="1"/>
  <c r="EX26" i="1"/>
  <c r="AJ26" i="1" s="1"/>
  <c r="GQ26" i="1" s="1"/>
  <c r="GR26" i="1" s="1"/>
  <c r="FR26" i="1"/>
  <c r="CP31" i="1"/>
  <c r="GJ34" i="1"/>
  <c r="FH37" i="1"/>
  <c r="FG37" i="1"/>
  <c r="FU18" i="1" l="1"/>
  <c r="FZ19" i="1"/>
  <c r="AL19" i="1" s="1"/>
  <c r="DB22" i="1"/>
  <c r="FV22" i="1" s="1"/>
  <c r="FW22" i="1" s="1"/>
  <c r="GJ33" i="1"/>
  <c r="DB30" i="1"/>
  <c r="FV30" i="1" s="1"/>
  <c r="FW30" i="1" s="1"/>
  <c r="AJ37" i="1"/>
  <c r="GQ37" i="1" s="1"/>
  <c r="GR37" i="1" s="1"/>
  <c r="FU25" i="1"/>
  <c r="DB32" i="1"/>
  <c r="DB17" i="1"/>
  <c r="GO34" i="1"/>
  <c r="AN34" i="1" s="1"/>
  <c r="AM34" i="1" s="1"/>
  <c r="GO19" i="1"/>
  <c r="AN19" i="1" s="1"/>
  <c r="AM19" i="1" s="1"/>
  <c r="FS31" i="1"/>
  <c r="GI24" i="1"/>
  <c r="DB36" i="1"/>
  <c r="GI36" i="1" s="1"/>
  <c r="FX26" i="1"/>
  <c r="GI26" i="1"/>
  <c r="GJ24" i="1"/>
  <c r="FV33" i="1"/>
  <c r="FW33" i="1" s="1"/>
  <c r="CO21" i="1"/>
  <c r="FU21" i="1" s="1"/>
  <c r="FR21" i="1"/>
  <c r="CP14" i="1"/>
  <c r="FZ26" i="1"/>
  <c r="AL26" i="1" s="1"/>
  <c r="GJ26" i="1"/>
  <c r="GO26" i="1"/>
  <c r="AN26" i="1" s="1"/>
  <c r="AM26" i="1" s="1"/>
  <c r="FV26" i="1"/>
  <c r="FW26" i="1" s="1"/>
  <c r="DB25" i="1"/>
  <c r="FU22" i="1"/>
  <c r="CO34" i="1"/>
  <c r="FR34" i="1"/>
  <c r="DB35" i="1"/>
  <c r="FV24" i="1"/>
  <c r="FW24" i="1" s="1"/>
  <c r="FS29" i="1"/>
  <c r="GJ29" i="1"/>
  <c r="FS18" i="1"/>
  <c r="CO36" i="1"/>
  <c r="FR36" i="1"/>
  <c r="FZ28" i="1"/>
  <c r="AL28" i="1" s="1"/>
  <c r="GJ28" i="1"/>
  <c r="FV28" i="1"/>
  <c r="FW28" i="1" s="1"/>
  <c r="GO28" i="1"/>
  <c r="AN28" i="1" s="1"/>
  <c r="AM28" i="1" s="1"/>
  <c r="GI28" i="1"/>
  <c r="GI34" i="1"/>
  <c r="GJ32" i="1"/>
  <c r="FV32" i="1"/>
  <c r="FW32" i="1" s="1"/>
  <c r="FZ32" i="1"/>
  <c r="AL32" i="1" s="1"/>
  <c r="GO32" i="1"/>
  <c r="AN32" i="1" s="1"/>
  <c r="AM32" i="1" s="1"/>
  <c r="GI29" i="1"/>
  <c r="FZ29" i="1"/>
  <c r="AL29" i="1" s="1"/>
  <c r="CO28" i="1"/>
  <c r="FR28" i="1"/>
  <c r="DB31" i="1"/>
  <c r="GI32" i="1"/>
  <c r="CO17" i="1"/>
  <c r="FR17" i="1"/>
  <c r="FZ16" i="1"/>
  <c r="AL16" i="1" s="1"/>
  <c r="FV16" i="1"/>
  <c r="FW16" i="1" s="1"/>
  <c r="GJ16" i="1"/>
  <c r="GO16" i="1"/>
  <c r="AN16" i="1" s="1"/>
  <c r="AM16" i="1" s="1"/>
  <c r="GI16" i="1"/>
  <c r="FZ30" i="1"/>
  <c r="AL30" i="1" s="1"/>
  <c r="FU31" i="1"/>
  <c r="AJ29" i="1"/>
  <c r="GQ29" i="1" s="1"/>
  <c r="GR29" i="1" s="1"/>
  <c r="FX33" i="1"/>
  <c r="GI33" i="1"/>
  <c r="FV23" i="1"/>
  <c r="FW23" i="1" s="1"/>
  <c r="GJ23" i="1"/>
  <c r="FZ23" i="1"/>
  <c r="AL23" i="1" s="1"/>
  <c r="GO23" i="1"/>
  <c r="AN23" i="1" s="1"/>
  <c r="AM23" i="1" s="1"/>
  <c r="GI23" i="1"/>
  <c r="FZ27" i="1"/>
  <c r="AL27" i="1" s="1"/>
  <c r="FV27" i="1"/>
  <c r="FW27" i="1" s="1"/>
  <c r="GJ27" i="1"/>
  <c r="GI27" i="1"/>
  <c r="GO27" i="1"/>
  <c r="AN27" i="1" s="1"/>
  <c r="AM27" i="1" s="1"/>
  <c r="CO32" i="1"/>
  <c r="FR32" i="1"/>
  <c r="GI19" i="1"/>
  <c r="FI37" i="1"/>
  <c r="GO37" i="1" s="1"/>
  <c r="AN37" i="1" s="1"/>
  <c r="AM37" i="1" s="1"/>
  <c r="FA37" i="1"/>
  <c r="FX37" i="1" s="1"/>
  <c r="FS20" i="1"/>
  <c r="FS25" i="1"/>
  <c r="FV29" i="1"/>
  <c r="FW29" i="1" s="1"/>
  <c r="FZ34" i="1"/>
  <c r="AL34" i="1" s="1"/>
  <c r="DB20" i="1"/>
  <c r="FS37" i="1"/>
  <c r="FI17" i="1"/>
  <c r="GO17" i="1" s="1"/>
  <c r="AN17" i="1" s="1"/>
  <c r="AM17" i="1" s="1"/>
  <c r="FA17" i="1"/>
  <c r="CO35" i="1"/>
  <c r="FU35" i="1" s="1"/>
  <c r="FR35" i="1"/>
  <c r="FS33" i="1"/>
  <c r="CO30" i="1"/>
  <c r="FR30" i="1"/>
  <c r="FT35" i="1"/>
  <c r="FU26" i="1"/>
  <c r="FS26" i="1"/>
  <c r="FV36" i="1"/>
  <c r="FW36" i="1" s="1"/>
  <c r="FZ18" i="1"/>
  <c r="AL18" i="1" s="1"/>
  <c r="FV18" i="1"/>
  <c r="FW18" i="1" s="1"/>
  <c r="GJ18" i="1"/>
  <c r="GO18" i="1"/>
  <c r="AN18" i="1" s="1"/>
  <c r="AM18" i="1" s="1"/>
  <c r="GI18" i="1"/>
  <c r="GI30" i="1"/>
  <c r="FT28" i="1"/>
  <c r="DB21" i="1"/>
  <c r="GI22" i="1" l="1"/>
  <c r="GO22" i="1"/>
  <c r="AN22" i="1" s="1"/>
  <c r="AM22" i="1" s="1"/>
  <c r="GJ22" i="1"/>
  <c r="FZ22" i="1"/>
  <c r="AL22" i="1" s="1"/>
  <c r="GO30" i="1"/>
  <c r="AN30" i="1" s="1"/>
  <c r="AM30" i="1" s="1"/>
  <c r="GO36" i="1"/>
  <c r="AN36" i="1" s="1"/>
  <c r="AM36" i="1" s="1"/>
  <c r="GJ30" i="1"/>
  <c r="GJ36" i="1"/>
  <c r="FZ36" i="1"/>
  <c r="AL36" i="1" s="1"/>
  <c r="FX17" i="1"/>
  <c r="GI17" i="1"/>
  <c r="FS36" i="1"/>
  <c r="FS30" i="1"/>
  <c r="GI37" i="1"/>
  <c r="FS32" i="1"/>
  <c r="FS28" i="1"/>
  <c r="FU36" i="1"/>
  <c r="GJ37" i="1"/>
  <c r="FS17" i="1"/>
  <c r="FV17" i="1"/>
  <c r="FW17" i="1" s="1"/>
  <c r="FS34" i="1"/>
  <c r="FZ20" i="1"/>
  <c r="AL20" i="1" s="1"/>
  <c r="FV20" i="1"/>
  <c r="FW20" i="1" s="1"/>
  <c r="GJ20" i="1"/>
  <c r="GO20" i="1"/>
  <c r="AN20" i="1" s="1"/>
  <c r="AM20" i="1" s="1"/>
  <c r="GI20" i="1"/>
  <c r="FZ37" i="1"/>
  <c r="AL37" i="1" s="1"/>
  <c r="GJ17" i="1"/>
  <c r="FS21" i="1"/>
  <c r="FU34" i="1"/>
  <c r="FV37" i="1"/>
  <c r="FW37" i="1" s="1"/>
  <c r="FU30" i="1"/>
  <c r="FZ17" i="1"/>
  <c r="AL17" i="1" s="1"/>
  <c r="FZ25" i="1"/>
  <c r="AL25" i="1" s="1"/>
  <c r="FV25" i="1"/>
  <c r="FW25" i="1" s="1"/>
  <c r="GJ25" i="1"/>
  <c r="GO25" i="1"/>
  <c r="AN25" i="1" s="1"/>
  <c r="AM25" i="1" s="1"/>
  <c r="GI25" i="1"/>
  <c r="FZ21" i="1"/>
  <c r="AL21" i="1" s="1"/>
  <c r="FV21" i="1"/>
  <c r="FW21" i="1" s="1"/>
  <c r="GJ21" i="1"/>
  <c r="GO21" i="1"/>
  <c r="AN21" i="1" s="1"/>
  <c r="AM21" i="1" s="1"/>
  <c r="GI21" i="1"/>
  <c r="FZ31" i="1"/>
  <c r="AL31" i="1" s="1"/>
  <c r="FV31" i="1"/>
  <c r="FW31" i="1" s="1"/>
  <c r="GJ31" i="1"/>
  <c r="GO31" i="1"/>
  <c r="AN31" i="1" s="1"/>
  <c r="AM31" i="1" s="1"/>
  <c r="GI31" i="1"/>
  <c r="FU32" i="1"/>
  <c r="FZ35" i="1"/>
  <c r="AL35" i="1" s="1"/>
  <c r="FV35" i="1"/>
  <c r="FW35" i="1" s="1"/>
  <c r="GJ35" i="1"/>
  <c r="GO35" i="1"/>
  <c r="AN35" i="1" s="1"/>
  <c r="AM35" i="1" s="1"/>
  <c r="GI35" i="1"/>
  <c r="FU28" i="1"/>
  <c r="FU17" i="1"/>
  <c r="FS35" i="1"/>
  <c r="AI23" i="1"/>
  <c r="AF23" i="1"/>
  <c r="AH23" i="1"/>
  <c r="AC23" i="1"/>
  <c r="AK23" i="1"/>
  <c r="AD23" i="1"/>
  <c r="AO23" i="1"/>
  <c r="AO18" i="1"/>
  <c r="AI18" i="1"/>
  <c r="AH18" i="1"/>
  <c r="AC18" i="1"/>
  <c r="AK18" i="1"/>
  <c r="AD18" i="1"/>
  <c r="AF18" i="1"/>
  <c r="AO17" i="1"/>
  <c r="AF17" i="1"/>
  <c r="AH17" i="1"/>
  <c r="AC17" i="1"/>
  <c r="AK17" i="1"/>
  <c r="AD17" i="1"/>
  <c r="AI17" i="1"/>
  <c r="AO21" i="1"/>
  <c r="AF21" i="1"/>
  <c r="AH21" i="1"/>
  <c r="AC21" i="1"/>
  <c r="AK21" i="1"/>
  <c r="AD21" i="1"/>
  <c r="AI21" i="1"/>
  <c r="AO37" i="1"/>
  <c r="AF37" i="1"/>
  <c r="AH37" i="1"/>
  <c r="AC37" i="1"/>
  <c r="AK37" i="1"/>
  <c r="AD37" i="1"/>
  <c r="AI37" i="1"/>
  <c r="AI33" i="1"/>
  <c r="AO33" i="1"/>
  <c r="AH33" i="1"/>
  <c r="AC33" i="1"/>
  <c r="AK33" i="1"/>
  <c r="AD33" i="1"/>
  <c r="AF33" i="1"/>
  <c r="AO20" i="1"/>
  <c r="AF20" i="1"/>
  <c r="AH20" i="1"/>
  <c r="AC20" i="1"/>
  <c r="AK20" i="1"/>
  <c r="AD20" i="1"/>
  <c r="AI20" i="1"/>
  <c r="AO31" i="1"/>
  <c r="AF31" i="1"/>
  <c r="AH31" i="1"/>
  <c r="AC31" i="1"/>
  <c r="AK31" i="1"/>
  <c r="AD31" i="1"/>
  <c r="AI31" i="1"/>
  <c r="AO36" i="1"/>
  <c r="AF36" i="1"/>
  <c r="AH36" i="1"/>
  <c r="AC36" i="1"/>
  <c r="AK36" i="1"/>
  <c r="AD36" i="1"/>
  <c r="AI36" i="1"/>
  <c r="AF34" i="1"/>
  <c r="AI34" i="1"/>
  <c r="AH34" i="1"/>
  <c r="AC34" i="1"/>
  <c r="AK34" i="1"/>
  <c r="AD34" i="1"/>
  <c r="AO34" i="1"/>
  <c r="AI25" i="1"/>
  <c r="AO25" i="1"/>
  <c r="AH25" i="1"/>
  <c r="AC25" i="1"/>
  <c r="AK25" i="1"/>
  <c r="AD25" i="1"/>
  <c r="AF25" i="1"/>
  <c r="AI19" i="1"/>
  <c r="AO19" i="1"/>
  <c r="AH19" i="1"/>
  <c r="AC19" i="1"/>
  <c r="AK19" i="1"/>
  <c r="AD19" i="1"/>
  <c r="AF19" i="1"/>
  <c r="AI27" i="1"/>
  <c r="AO27" i="1"/>
  <c r="AH27" i="1"/>
  <c r="AC27" i="1"/>
  <c r="AK27" i="1"/>
  <c r="AD27" i="1"/>
  <c r="AF27" i="1"/>
  <c r="AI28" i="1"/>
  <c r="AF28" i="1"/>
  <c r="AH28" i="1"/>
  <c r="AC28" i="1"/>
  <c r="AK28" i="1"/>
  <c r="AD28" i="1"/>
  <c r="AO28" i="1"/>
  <c r="AI29" i="1"/>
  <c r="AO29" i="1"/>
  <c r="AH29" i="1"/>
  <c r="AC29" i="1"/>
  <c r="AK29" i="1"/>
  <c r="AD29" i="1"/>
  <c r="AF29" i="1"/>
  <c r="AO35" i="1"/>
  <c r="AI35" i="1"/>
  <c r="AH35" i="1"/>
  <c r="AC35" i="1"/>
  <c r="AK35" i="1"/>
  <c r="AD35" i="1"/>
  <c r="AF35" i="1"/>
  <c r="AF22" i="1"/>
  <c r="AO22" i="1"/>
  <c r="AH22" i="1"/>
  <c r="AC22" i="1"/>
  <c r="AK22" i="1"/>
  <c r="AD22" i="1"/>
  <c r="AI22" i="1"/>
  <c r="AF26" i="1"/>
  <c r="AO26" i="1"/>
  <c r="AH26" i="1"/>
  <c r="AC26" i="1"/>
  <c r="AK26" i="1"/>
  <c r="AD26" i="1"/>
  <c r="AI26" i="1"/>
  <c r="AO30" i="1"/>
  <c r="AF30" i="1"/>
  <c r="AH30" i="1"/>
  <c r="AC30" i="1"/>
  <c r="AK30" i="1"/>
  <c r="AD30" i="1"/>
  <c r="AI30" i="1"/>
  <c r="AI38" i="1"/>
  <c r="AF38" i="1"/>
  <c r="AH38" i="1"/>
  <c r="AC38" i="1"/>
  <c r="AK38" i="1"/>
  <c r="AD38" i="1"/>
  <c r="AO38" i="1"/>
  <c r="AI24" i="1"/>
  <c r="AO24" i="1"/>
  <c r="AH24" i="1"/>
  <c r="AC24" i="1"/>
  <c r="AK24" i="1"/>
  <c r="AD24" i="1"/>
  <c r="AF24" i="1"/>
  <c r="AF16" i="1"/>
  <c r="AI16" i="1"/>
  <c r="AH16" i="1"/>
  <c r="AC16" i="1"/>
  <c r="AK16" i="1"/>
  <c r="AD16" i="1"/>
  <c r="AO16" i="1"/>
  <c r="AF32" i="1"/>
  <c r="AI32" i="1"/>
  <c r="AH32" i="1"/>
  <c r="AC32" i="1"/>
  <c r="AK32" i="1"/>
  <c r="AD32" i="1"/>
  <c r="AO3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Keith Putirka</author>
  </authors>
  <commentList>
    <comment ref="AP13" authorId="0" shapeId="0" xr:uid="{00000000-0006-0000-0100-000001000000}">
      <text>
        <r>
          <rPr>
            <b/>
            <sz val="12"/>
            <color indexed="81"/>
            <rFont val="Verdana"/>
            <family val="2"/>
          </rPr>
          <t>Keith Putirka:</t>
        </r>
        <r>
          <rPr>
            <sz val="12"/>
            <color indexed="81"/>
            <rFont val="Verdana"/>
            <family val="2"/>
          </rPr>
          <t xml:space="preserve">
For subsolidus systems, a value of 0.7±0.2 is probably better. The 1.09 value is calibrated on both subsolidus and (mostly) igneous systems.</t>
        </r>
      </text>
    </comment>
    <comment ref="AH14" authorId="0" shapeId="0" xr:uid="{00000000-0006-0000-0100-000002000000}">
      <text>
        <r>
          <rPr>
            <b/>
            <sz val="12"/>
            <color indexed="81"/>
            <rFont val="Verdana"/>
            <family val="2"/>
          </rPr>
          <t>Keith Putirka:</t>
        </r>
        <r>
          <rPr>
            <sz val="12"/>
            <color indexed="81"/>
            <rFont val="Verdana"/>
            <family val="2"/>
          </rPr>
          <t xml:space="preserve">
This Eqn. is for cases where Mg#(cpx)&gt;0.75 (see column AE)</t>
        </r>
      </text>
    </comment>
    <comment ref="AI14" authorId="0" shapeId="0" xr:uid="{00000000-0006-0000-0100-000003000000}">
      <text>
        <r>
          <rPr>
            <b/>
            <sz val="12"/>
            <color indexed="81"/>
            <rFont val="Verdana"/>
            <family val="2"/>
          </rPr>
          <t>Keith Putirka:</t>
        </r>
        <r>
          <rPr>
            <sz val="12"/>
            <color indexed="81"/>
            <rFont val="Verdana"/>
            <family val="2"/>
          </rPr>
          <t xml:space="preserve">
Eqn., 37 is for low Mg# cpx; use Eqn. 37 when Mg#(cpx)&lt;0.75 (See column AE). There is a typogrpahical error in the RiMG v. 69 Ch. 2.</t>
        </r>
      </text>
    </comment>
    <comment ref="AO14" authorId="0" shapeId="0" xr:uid="{00000000-0006-0000-0100-000004000000}">
      <text>
        <r>
          <rPr>
            <b/>
            <sz val="9"/>
            <color indexed="81"/>
            <rFont val="Verdana"/>
            <family val="2"/>
          </rPr>
          <t>Keith Putirka: This is a modified form of Eqn. 32; here the P coefficient is changed from 544 to 755 and the coefficient for the En activity term is changed from 0.395 to 3.5; these changes provide a much better fit to subsolidus T estimates, but provide poorer fits to pyroxenes from volcanic systems</t>
        </r>
        <r>
          <rPr>
            <sz val="9"/>
            <color indexed="81"/>
            <rFont val="Verdana"/>
            <family val="2"/>
          </rPr>
          <t xml:space="preserve">
</t>
        </r>
      </text>
    </comment>
  </commentList>
</comments>
</file>

<file path=xl/sharedStrings.xml><?xml version="1.0" encoding="utf-8"?>
<sst xmlns="http://schemas.openxmlformats.org/spreadsheetml/2006/main" count="304" uniqueCount="171">
  <si>
    <t>Eqn 37</t>
    <phoneticPr fontId="3"/>
  </si>
  <si>
    <t>Barometers and Thermometers</t>
  </si>
  <si>
    <t>Putirka (2008) RiMG</t>
  </si>
  <si>
    <t>Gray field = input</t>
  </si>
  <si>
    <t>Blue field = output</t>
  </si>
  <si>
    <t>Two-Pyroxene thermometers and Barometers</t>
  </si>
  <si>
    <t>Observed</t>
  </si>
  <si>
    <t>2) OUTPUT AC - AH</t>
  </si>
  <si>
    <t>Experimental Compositions given  as examples</t>
  </si>
  <si>
    <t>Leave Blank</t>
  </si>
  <si>
    <t>LEPR</t>
  </si>
  <si>
    <t>Test for Equilibrium</t>
    <phoneticPr fontId="3"/>
  </si>
  <si>
    <r>
      <t>(K</t>
    </r>
    <r>
      <rPr>
        <b/>
        <vertAlign val="subscript"/>
        <sz val="10"/>
        <rFont val="Verdana"/>
        <family val="2"/>
      </rPr>
      <t>D</t>
    </r>
    <r>
      <rPr>
        <b/>
        <sz val="10"/>
        <rFont val="Verdana"/>
      </rPr>
      <t xml:space="preserve"> should be 1.09±.14)</t>
    </r>
    <phoneticPr fontId="3"/>
  </si>
  <si>
    <t>Schwab, B.E., Johnston, A.D. (2001)</t>
  </si>
  <si>
    <t>INT-D5</t>
  </si>
  <si>
    <t>INT-D2</t>
  </si>
  <si>
    <t>Kinzler, R.J. (1997)</t>
  </si>
  <si>
    <t>L69</t>
  </si>
  <si>
    <t>H176</t>
  </si>
  <si>
    <t>Kinzler, R.J., Grove, T.L. (1992)</t>
  </si>
  <si>
    <t>H199</t>
  </si>
  <si>
    <t>H200</t>
  </si>
  <si>
    <t>Kogiso, T., Hirose, K., Takahashi (1998)</t>
  </si>
  <si>
    <t>KH-5</t>
  </si>
  <si>
    <t>1KH-39</t>
  </si>
  <si>
    <t>KH-7</t>
  </si>
  <si>
    <t>Falloon, T.J., Danyushevsky, L.V., Green, D.H. (2001)</t>
  </si>
  <si>
    <t>T-4125</t>
  </si>
  <si>
    <t>T-3981</t>
  </si>
  <si>
    <t>T-3980</t>
  </si>
  <si>
    <t>T-4126</t>
  </si>
  <si>
    <t>T-4271</t>
  </si>
  <si>
    <t>Falloon, T.J., Green, D.H., Danyushevsky, L.V., Faul, U.H. (1999)</t>
  </si>
  <si>
    <t>Gaetani, G.A., Grove, T.L. (1998)</t>
  </si>
  <si>
    <t>B304</t>
  </si>
  <si>
    <t>B333</t>
  </si>
  <si>
    <t>T(C ) Eqn 5</t>
  </si>
  <si>
    <t>Kf</t>
  </si>
  <si>
    <t>Eqn 38</t>
  </si>
  <si>
    <t>Bartels, K.S., Kinzler, R.J., Grove, T.L. (1991)</t>
  </si>
  <si>
    <t>HI 97</t>
  </si>
  <si>
    <t>H192</t>
  </si>
  <si>
    <t>Blatter, D.W., Carmichael, I.S.E. (2001)</t>
  </si>
  <si>
    <t>Z-342-02</t>
  </si>
  <si>
    <t>Z-342-21</t>
  </si>
  <si>
    <t>A-13</t>
  </si>
  <si>
    <t>Bulatov, V.K., Girnis, A.V., Brey, G.P. (2002)</t>
  </si>
  <si>
    <t>A-12</t>
  </si>
  <si>
    <t>R</t>
  </si>
  <si>
    <t>NOTE: WOOD AND BANNO AND WELLS MODELS WORK BETTER IF USE Al-TOT</t>
  </si>
  <si>
    <t>INSTEAD OF Al(VI) FOR CALC OF a(En)-cpx, and use Al(VI) for calc of a(En)-opx</t>
  </si>
  <si>
    <t>SiO2</t>
  </si>
  <si>
    <t>TiO2</t>
  </si>
  <si>
    <t>Al2O3</t>
  </si>
  <si>
    <t>FeO</t>
  </si>
  <si>
    <t>MnO</t>
  </si>
  <si>
    <t>MgO</t>
  </si>
  <si>
    <t>CaO</t>
  </si>
  <si>
    <t>Na2O</t>
  </si>
  <si>
    <t>K2O</t>
  </si>
  <si>
    <t>Cr2O3</t>
  </si>
  <si>
    <t>Models</t>
  </si>
  <si>
    <t>Clinopyroxene</t>
  </si>
  <si>
    <t>Enter Clinopyroxene Composition Here</t>
    <phoneticPr fontId="3"/>
  </si>
  <si>
    <t>Enter Orthopyroxene Composition Here</t>
    <phoneticPr fontId="3"/>
  </si>
  <si>
    <t>P(kbar)</t>
    <phoneticPr fontId="3"/>
  </si>
  <si>
    <t>T(C )</t>
    <phoneticPr fontId="3"/>
  </si>
  <si>
    <t>For Calculation inputs - iterative</t>
    <phoneticPr fontId="3"/>
  </si>
  <si>
    <t>Orthopyroxene</t>
  </si>
  <si>
    <t>Orthpyroxene</t>
  </si>
  <si>
    <t>Nickel and Brey (1984)</t>
  </si>
  <si>
    <t>Sen and Jones (1989)</t>
  </si>
  <si>
    <t>Wood and Banno (1973)</t>
  </si>
  <si>
    <t>Sen (1985)</t>
  </si>
  <si>
    <t>Mercier et al. (1984)</t>
  </si>
  <si>
    <t>Carlson and Lindsley (1988)</t>
  </si>
  <si>
    <t>Brey and Kohler (1990)</t>
  </si>
  <si>
    <t>Wells (1977)</t>
  </si>
  <si>
    <t>Mole Proportions</t>
  </si>
  <si>
    <t>Numers of oxygens</t>
  </si>
  <si>
    <t>Cations on the basis of 6 oxygens</t>
  </si>
  <si>
    <t>Lindley</t>
  </si>
  <si>
    <t>Droop</t>
  </si>
  <si>
    <t xml:space="preserve"> (to be filled by Fe and Mg)</t>
  </si>
  <si>
    <t>use all Mg</t>
  </si>
  <si>
    <t>OPX COMPONENTS</t>
  </si>
  <si>
    <t>Nickel et al. 1985</t>
  </si>
  <si>
    <t>Use FmO</t>
  </si>
  <si>
    <t>Use Mg only</t>
  </si>
  <si>
    <t>KD1</t>
  </si>
  <si>
    <t>KD2</t>
  </si>
  <si>
    <t>Eqn. 32 modified</t>
  </si>
  <si>
    <t>Cpx-only</t>
  </si>
  <si>
    <t>Nimis and Taylor  (2000)</t>
  </si>
  <si>
    <t>T(C )</t>
  </si>
  <si>
    <t>P(kbar)</t>
  </si>
  <si>
    <t>Index</t>
  </si>
  <si>
    <t>Author (year)</t>
  </si>
  <si>
    <t>T (C)</t>
  </si>
  <si>
    <t>P (GPa)</t>
  </si>
  <si>
    <t>Oxy factor</t>
  </si>
  <si>
    <t>Al(IV)</t>
  </si>
  <si>
    <t>AL(VI)</t>
  </si>
  <si>
    <t>Al (total)</t>
  </si>
  <si>
    <t>Fe3+</t>
  </si>
  <si>
    <t>Jd</t>
  </si>
  <si>
    <t>CaTs</t>
  </si>
  <si>
    <t>CaTi</t>
  </si>
  <si>
    <t>CrCaTs</t>
  </si>
  <si>
    <t>DiHd (1996)</t>
  </si>
  <si>
    <t>EnFs</t>
  </si>
  <si>
    <t>En</t>
  </si>
  <si>
    <t>Di</t>
  </si>
  <si>
    <t>Comp sum</t>
  </si>
  <si>
    <t>DiHd (2003)</t>
  </si>
  <si>
    <t>Mg# cpx</t>
  </si>
  <si>
    <t>Fe2+</t>
  </si>
  <si>
    <t>a(En)-cpx</t>
  </si>
  <si>
    <r>
      <t>K</t>
    </r>
    <r>
      <rPr>
        <vertAlign val="subscript"/>
        <sz val="10"/>
        <rFont val="Verdana"/>
        <family val="2"/>
      </rPr>
      <t>D</t>
    </r>
    <r>
      <rPr>
        <sz val="10"/>
        <rFont val="Verdana"/>
        <family val="2"/>
      </rPr>
      <t>(Fe-Mg)</t>
    </r>
  </si>
  <si>
    <t>1) INPUT required in GRAY columns (C, G - P, and R - AA)</t>
  </si>
  <si>
    <t>3) Test for two-pyroxene equilibrium, column AI</t>
  </si>
  <si>
    <t>a(Di)-cpx</t>
  </si>
  <si>
    <t>X(En)</t>
  </si>
  <si>
    <t>NaAlSi2O6</t>
  </si>
  <si>
    <t>FmTiAlSiO6</t>
  </si>
  <si>
    <t>CrAl2SiO6</t>
  </si>
  <si>
    <t>FmAl2SiO6</t>
  </si>
  <si>
    <t>CaFmSi2O6</t>
  </si>
  <si>
    <t>Fm2Si2O6</t>
  </si>
  <si>
    <t>a(En)-opx</t>
  </si>
  <si>
    <t>a(Di)-opx</t>
  </si>
  <si>
    <t>X(Fe)opx</t>
  </si>
  <si>
    <t>comp sum</t>
  </si>
  <si>
    <t>KD</t>
  </si>
  <si>
    <t>T(A)</t>
  </si>
  <si>
    <t xml:space="preserve">T(A) </t>
  </si>
  <si>
    <t xml:space="preserve">T(B) </t>
  </si>
  <si>
    <t>T(B)</t>
  </si>
  <si>
    <t>P(kbar) 1</t>
  </si>
  <si>
    <t>P(kbar) 2</t>
  </si>
  <si>
    <t>WG1cpx</t>
  </si>
  <si>
    <t>WG2cpx</t>
  </si>
  <si>
    <t>WGOen</t>
  </si>
  <si>
    <t>TA</t>
  </si>
  <si>
    <t>TB</t>
  </si>
  <si>
    <t>T(BKN)</t>
  </si>
  <si>
    <t>Tca-in-opx</t>
  </si>
  <si>
    <t>T(D-Na)</t>
  </si>
  <si>
    <t>Experiment/Sample</t>
  </si>
  <si>
    <t>FeOt</t>
  </si>
  <si>
    <t>Clinopyroxene Composition - in Weight Percent</t>
  </si>
  <si>
    <t>Orthopyroxene Composition - in Weight Percent</t>
  </si>
  <si>
    <t>Eqn 39</t>
  </si>
  <si>
    <t>Cpx Components</t>
  </si>
  <si>
    <t>Eqn 36</t>
    <phoneticPr fontId="3"/>
  </si>
  <si>
    <t>X(Mg) M1</t>
  </si>
  <si>
    <t>X(Fe) M1</t>
  </si>
  <si>
    <t>X(Mg) M2</t>
  </si>
  <si>
    <t>X(Fe) M2</t>
  </si>
  <si>
    <t>Mg#</t>
  </si>
  <si>
    <t>Fodor and Galar (1997) Natural Compositions</t>
  </si>
  <si>
    <t>Modified (assign half of total Mg and Fe to each of M1 and M2)</t>
  </si>
  <si>
    <t>Wood and Banno modified</t>
  </si>
  <si>
    <t>Wood &amp; Banno (original; assign Mg and Fe as space remiaing after filling other M1 and M2 cations</t>
  </si>
  <si>
    <t>Wood and Banno Activities (modified))</t>
  </si>
  <si>
    <t>assign half of all Mg and Fe to M1 and M2</t>
  </si>
  <si>
    <t>Wood and Banno (original)</t>
  </si>
  <si>
    <t>(Mg and Fe in M1 and M2 = sites left after filling sites with other cations)</t>
  </si>
  <si>
    <t>Wood &amp; Banno (1979)</t>
  </si>
  <si>
    <t>Mg#(cpx)</t>
  </si>
  <si>
    <t>Wells 1977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</si>
</sst>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9" x14ac:knownFonts="1">
    <font>
      <sz val="10"/>
      <name val="Verdana"/>
    </font>
    <font>
      <b/>
      <sz val="10"/>
      <name val="Verdana"/>
    </font>
    <font>
      <sz val="10"/>
      <name val="Verdana"/>
      <family val="2"/>
    </font>
    <font>
      <sz val="8"/>
      <name val="Verdana"/>
      <family val="2"/>
    </font>
    <font>
      <b/>
      <sz val="14"/>
      <name val="Verdana"/>
      <family val="2"/>
    </font>
    <font>
      <b/>
      <sz val="18"/>
      <color indexed="8"/>
      <name val="Verdana"/>
      <family val="2"/>
    </font>
    <font>
      <sz val="10"/>
      <color indexed="8"/>
      <name val="Verdana"/>
      <family val="2"/>
    </font>
    <font>
      <sz val="18"/>
      <color indexed="8"/>
      <name val="Verdana"/>
      <family val="2"/>
    </font>
    <font>
      <sz val="14"/>
      <color indexed="8"/>
      <name val="Verdana"/>
      <family val="2"/>
    </font>
    <font>
      <sz val="11"/>
      <color indexed="8"/>
      <name val="Verdana"/>
      <family val="2"/>
    </font>
    <font>
      <b/>
      <sz val="11"/>
      <color indexed="8"/>
      <name val="Verdana"/>
      <family val="2"/>
    </font>
    <font>
      <vertAlign val="subscript"/>
      <sz val="10"/>
      <name val="Verdana"/>
      <family val="2"/>
    </font>
    <font>
      <b/>
      <vertAlign val="subscript"/>
      <sz val="10"/>
      <name val="Verdana"/>
      <family val="2"/>
    </font>
    <font>
      <b/>
      <sz val="12"/>
      <name val="Verdana"/>
      <family val="2"/>
    </font>
    <font>
      <sz val="9"/>
      <color indexed="81"/>
      <name val="Verdana"/>
      <family val="2"/>
    </font>
    <font>
      <b/>
      <sz val="9"/>
      <color indexed="81"/>
      <name val="Verdana"/>
      <family val="2"/>
    </font>
    <font>
      <b/>
      <sz val="12"/>
      <color indexed="81"/>
      <name val="Verdana"/>
      <family val="2"/>
    </font>
    <font>
      <sz val="12"/>
      <color indexed="81"/>
      <name val="Verdana"/>
      <family val="2"/>
    </font>
    <font>
      <b/>
      <sz val="12"/>
      <color indexed="8"/>
      <name val="Verdana"/>
      <family val="2"/>
    </font>
  </fonts>
  <fills count="4">
    <fill>
      <patternFill patternType="none"/>
    </fill>
    <fill>
      <patternFill patternType="gray125"/>
    </fill>
    <fill>
      <patternFill patternType="solid">
        <fgColor indexed="22"/>
        <bgColor indexed="64"/>
      </patternFill>
    </fill>
    <fill>
      <patternFill patternType="solid">
        <fgColor indexed="44"/>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68">
    <xf numFmtId="0" fontId="0" fillId="0" borderId="0" xfId="0"/>
    <xf numFmtId="0" fontId="2" fillId="0" borderId="0" xfId="0" applyFont="1" applyFill="1"/>
    <xf numFmtId="0" fontId="2" fillId="0" borderId="0" xfId="0" applyFont="1" applyFill="1" applyAlignment="1">
      <alignment horizontal="center"/>
    </xf>
    <xf numFmtId="0" fontId="2" fillId="0" borderId="1" xfId="0" applyFont="1" applyFill="1" applyBorder="1"/>
    <xf numFmtId="164" fontId="2" fillId="0" borderId="2" xfId="0" applyNumberFormat="1" applyFont="1" applyFill="1" applyBorder="1"/>
    <xf numFmtId="0" fontId="2" fillId="0" borderId="2" xfId="0" applyFont="1" applyFill="1" applyBorder="1"/>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0" xfId="0" applyFont="1" applyFill="1" applyBorder="1" applyAlignment="1">
      <alignment horizontal="center"/>
    </xf>
    <xf numFmtId="0" fontId="2" fillId="0" borderId="1" xfId="0" applyFont="1" applyFill="1" applyBorder="1" applyAlignment="1">
      <alignment horizontal="left"/>
    </xf>
    <xf numFmtId="0" fontId="2" fillId="0" borderId="4" xfId="0" applyFont="1" applyFill="1" applyBorder="1"/>
    <xf numFmtId="0" fontId="2" fillId="0" borderId="0" xfId="0" applyFont="1" applyFill="1" applyBorder="1"/>
    <xf numFmtId="0" fontId="2" fillId="0" borderId="5" xfId="0" applyFont="1" applyFill="1" applyBorder="1" applyAlignment="1">
      <alignment horizontal="center"/>
    </xf>
    <xf numFmtId="0" fontId="2" fillId="0" borderId="4" xfId="0" applyFont="1" applyFill="1" applyBorder="1" applyAlignment="1">
      <alignment horizontal="left"/>
    </xf>
    <xf numFmtId="0" fontId="2" fillId="0" borderId="3" xfId="0" applyFont="1" applyFill="1" applyBorder="1"/>
    <xf numFmtId="164" fontId="2" fillId="0" borderId="0" xfId="0" applyNumberFormat="1" applyFont="1" applyFill="1"/>
    <xf numFmtId="0" fontId="2" fillId="0" borderId="6" xfId="0" applyFont="1" applyFill="1" applyBorder="1" applyAlignment="1">
      <alignment horizontal="center"/>
    </xf>
    <xf numFmtId="0" fontId="2" fillId="0" borderId="7" xfId="0" applyFont="1" applyFill="1" applyBorder="1" applyAlignment="1">
      <alignment horizontal="center"/>
    </xf>
    <xf numFmtId="0" fontId="2" fillId="0" borderId="8" xfId="0" applyFont="1" applyFill="1" applyBorder="1" applyAlignment="1">
      <alignment horizontal="center"/>
    </xf>
    <xf numFmtId="0" fontId="2" fillId="0" borderId="6" xfId="0" applyFont="1" applyFill="1" applyBorder="1"/>
    <xf numFmtId="0" fontId="2" fillId="0" borderId="7" xfId="0" applyFont="1" applyFill="1" applyBorder="1"/>
    <xf numFmtId="0" fontId="2" fillId="0" borderId="8" xfId="0" applyFont="1" applyFill="1" applyBorder="1"/>
    <xf numFmtId="164" fontId="2" fillId="0" borderId="0" xfId="0" applyNumberFormat="1" applyFont="1" applyFill="1" applyAlignment="1">
      <alignment horizontal="center"/>
    </xf>
    <xf numFmtId="0" fontId="2" fillId="2" borderId="0" xfId="0" applyFont="1" applyFill="1" applyAlignment="1">
      <alignment horizontal="center"/>
    </xf>
    <xf numFmtId="0" fontId="2" fillId="3" borderId="0" xfId="0" applyFont="1" applyFill="1"/>
    <xf numFmtId="0" fontId="4" fillId="3" borderId="7" xfId="0" applyFont="1" applyFill="1" applyBorder="1"/>
    <xf numFmtId="0" fontId="2" fillId="3" borderId="7" xfId="0" applyFont="1" applyFill="1" applyBorder="1"/>
    <xf numFmtId="165" fontId="2" fillId="3" borderId="0" xfId="0" applyNumberFormat="1" applyFont="1" applyFill="1" applyAlignment="1">
      <alignment horizontal="center"/>
    </xf>
    <xf numFmtId="165" fontId="2" fillId="3" borderId="7" xfId="0" applyNumberFormat="1" applyFont="1" applyFill="1" applyBorder="1" applyAlignment="1">
      <alignment horizontal="center"/>
    </xf>
    <xf numFmtId="165" fontId="2" fillId="3" borderId="0" xfId="0" applyNumberFormat="1" applyFont="1" applyFill="1" applyBorder="1" applyAlignment="1">
      <alignment horizontal="center"/>
    </xf>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applyFill="1" applyAlignment="1">
      <alignment horizontal="left"/>
    </xf>
    <xf numFmtId="0" fontId="9" fillId="0" borderId="0" xfId="0" applyFont="1" applyFill="1" applyAlignment="1">
      <alignment horizontal="center"/>
    </xf>
    <xf numFmtId="0" fontId="6" fillId="0" borderId="9" xfId="0" applyFont="1" applyFill="1" applyBorder="1"/>
    <xf numFmtId="0" fontId="6" fillId="0" borderId="10" xfId="0" applyFont="1" applyFill="1" applyBorder="1"/>
    <xf numFmtId="0" fontId="10" fillId="2" borderId="0" xfId="0" applyFont="1" applyFill="1" applyAlignment="1">
      <alignment horizontal="left"/>
    </xf>
    <xf numFmtId="0" fontId="9" fillId="2" borderId="0" xfId="0" applyFont="1" applyFill="1"/>
    <xf numFmtId="0" fontId="10" fillId="2" borderId="7" xfId="0" applyFont="1" applyFill="1" applyBorder="1" applyAlignment="1">
      <alignment horizontal="center"/>
    </xf>
    <xf numFmtId="0" fontId="2" fillId="0" borderId="7" xfId="0" applyFont="1" applyFill="1" applyBorder="1" applyAlignment="1">
      <alignment horizontal="left"/>
    </xf>
    <xf numFmtId="166" fontId="2" fillId="3" borderId="0" xfId="0" applyNumberFormat="1" applyFont="1" applyFill="1" applyAlignment="1">
      <alignment horizontal="center"/>
    </xf>
    <xf numFmtId="165" fontId="2" fillId="0" borderId="0" xfId="0" applyNumberFormat="1" applyFont="1" applyFill="1" applyBorder="1" applyAlignment="1">
      <alignment horizontal="center"/>
    </xf>
    <xf numFmtId="166" fontId="2" fillId="0" borderId="0" xfId="0" applyNumberFormat="1" applyFont="1" applyFill="1" applyAlignment="1">
      <alignment horizontal="center"/>
    </xf>
    <xf numFmtId="0" fontId="2" fillId="3" borderId="0" xfId="0" applyFont="1" applyFill="1" applyAlignment="1">
      <alignment horizontal="center"/>
    </xf>
    <xf numFmtId="0" fontId="2" fillId="2" borderId="7" xfId="0" applyFont="1" applyFill="1" applyBorder="1" applyAlignment="1">
      <alignment horizontal="center"/>
    </xf>
    <xf numFmtId="0" fontId="8" fillId="0" borderId="11" xfId="0" applyFont="1" applyFill="1" applyBorder="1"/>
    <xf numFmtId="0" fontId="9" fillId="0" borderId="12" xfId="0" applyFont="1" applyFill="1" applyBorder="1" applyAlignment="1">
      <alignment horizontal="center"/>
    </xf>
    <xf numFmtId="0" fontId="10" fillId="2" borderId="0" xfId="0" applyFont="1" applyFill="1" applyBorder="1" applyAlignment="1">
      <alignment horizontal="center"/>
    </xf>
    <xf numFmtId="165" fontId="2" fillId="2" borderId="0" xfId="0" applyNumberFormat="1" applyFont="1" applyFill="1" applyAlignment="1">
      <alignment horizontal="center"/>
    </xf>
    <xf numFmtId="0" fontId="1" fillId="2" borderId="13" xfId="0" applyFont="1" applyFill="1" applyBorder="1"/>
    <xf numFmtId="0" fontId="1" fillId="2" borderId="14" xfId="0" applyFont="1" applyFill="1" applyBorder="1"/>
    <xf numFmtId="0" fontId="1" fillId="3" borderId="0" xfId="0" applyFont="1" applyFill="1" applyAlignment="1">
      <alignment horizontal="center"/>
    </xf>
    <xf numFmtId="0" fontId="13" fillId="3" borderId="0" xfId="0" applyFont="1" applyFill="1" applyAlignment="1">
      <alignment horizontal="center"/>
    </xf>
    <xf numFmtId="0" fontId="2" fillId="0" borderId="15" xfId="0" applyFont="1" applyFill="1" applyBorder="1" applyAlignment="1">
      <alignment horizontal="center"/>
    </xf>
    <xf numFmtId="165" fontId="2" fillId="0" borderId="0" xfId="0" applyNumberFormat="1" applyFont="1" applyFill="1"/>
    <xf numFmtId="0" fontId="0" fillId="0" borderId="7" xfId="0" applyFont="1" applyFill="1" applyBorder="1" applyAlignment="1">
      <alignment horizontal="center"/>
    </xf>
    <xf numFmtId="164" fontId="0" fillId="0" borderId="0" xfId="0" applyNumberFormat="1" applyFont="1" applyFill="1" applyAlignment="1">
      <alignment horizontal="center"/>
    </xf>
    <xf numFmtId="164" fontId="0" fillId="0" borderId="0" xfId="0" applyNumberFormat="1" applyFont="1" applyFill="1"/>
    <xf numFmtId="0" fontId="0" fillId="0" borderId="0" xfId="0" applyFont="1" applyFill="1"/>
    <xf numFmtId="0" fontId="0" fillId="0" borderId="1" xfId="0" applyFont="1" applyFill="1" applyBorder="1"/>
    <xf numFmtId="0" fontId="0" fillId="0" borderId="0" xfId="0" applyFont="1" applyFill="1" applyBorder="1" applyAlignment="1">
      <alignment horizontal="left"/>
    </xf>
    <xf numFmtId="0" fontId="0" fillId="0" borderId="4" xfId="0" applyFont="1" applyFill="1" applyBorder="1"/>
    <xf numFmtId="165" fontId="0" fillId="3" borderId="0" xfId="0" applyNumberFormat="1" applyFont="1" applyFill="1" applyAlignment="1">
      <alignment horizontal="center"/>
    </xf>
    <xf numFmtId="165" fontId="0" fillId="3" borderId="7" xfId="0" applyNumberFormat="1" applyFont="1" applyFill="1" applyBorder="1" applyAlignment="1">
      <alignment horizontal="center"/>
    </xf>
    <xf numFmtId="166" fontId="9" fillId="2" borderId="0" xfId="0" applyNumberFormat="1" applyFont="1" applyFill="1" applyBorder="1" applyAlignment="1">
      <alignment horizontal="center"/>
    </xf>
    <xf numFmtId="166" fontId="18" fillId="2" borderId="0" xfId="0" applyNumberFormat="1" applyFont="1" applyFill="1" applyBorder="1" applyAlignment="1">
      <alignment horizontal="center"/>
    </xf>
  </cellXfs>
  <cellStyles count="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712470</xdr:colOff>
      <xdr:row>2</xdr:row>
      <xdr:rowOff>0</xdr:rowOff>
    </xdr:from>
    <xdr:to>
      <xdr:col>10</xdr:col>
      <xdr:colOff>652144</xdr:colOff>
      <xdr:row>43</xdr:row>
      <xdr:rowOff>118702</xdr:rowOff>
    </xdr:to>
    <xdr:sp macro="" textlink="">
      <xdr:nvSpPr>
        <xdr:cNvPr id="2" name="TextBox 1">
          <a:extLst>
            <a:ext uri="{FF2B5EF4-FFF2-40B4-BE49-F238E27FC236}">
              <a16:creationId xmlns:a16="http://schemas.microsoft.com/office/drawing/2014/main" id="{EF1AD684-6B47-4D20-ACD1-929FF416835E}"/>
            </a:ext>
          </a:extLst>
        </xdr:cNvPr>
        <xdr:cNvSpPr txBox="1"/>
      </xdr:nvSpPr>
      <xdr:spPr>
        <a:xfrm>
          <a:off x="723900" y="330200"/>
          <a:ext cx="9486900" cy="690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rtl="0">
            <a:defRPr sz="1000"/>
          </a:pPr>
          <a:r>
            <a:rPr lang="en-US" sz="1600" b="1" i="1" strike="noStrike">
              <a:solidFill>
                <a:srgbClr val="000000"/>
              </a:solidFill>
              <a:latin typeface="Calibri"/>
              <a:ea typeface="Calibri"/>
              <a:cs typeface="Calibri"/>
            </a:rPr>
            <a:t>Instructions for Estimating P and T Using Two-Pyroxene-based Thermometers</a:t>
          </a:r>
        </a:p>
        <a:p>
          <a:pPr algn="l" rtl="0">
            <a:defRPr sz="1000"/>
          </a:pPr>
          <a:endParaRPr lang="en-US" sz="1100" b="0" i="0" strike="noStrike">
            <a:solidFill>
              <a:srgbClr val="000000"/>
            </a:solidFill>
            <a:latin typeface="Calibri"/>
            <a:ea typeface="Calibri"/>
            <a:cs typeface="Calibri"/>
          </a:endParaRPr>
        </a:p>
        <a:p>
          <a:pPr algn="l" rtl="0">
            <a:defRPr sz="1000"/>
          </a:pPr>
          <a:r>
            <a:rPr lang="en-US" sz="1200" b="0" i="0" strike="noStrike">
              <a:solidFill>
                <a:srgbClr val="000000"/>
              </a:solidFill>
              <a:latin typeface="Calibri"/>
              <a:ea typeface="Calibri"/>
              <a:cs typeface="Calibri"/>
            </a:rPr>
            <a:t>For details and references see: Putirka, K. (2008) Thermometers and Barometers for Volcanic Systems. In: Putirka, K., Tepley, F. (Eds.), Minerals, Inclusions and Volcanic Processes, Reviews in Mineralogy and Geochemistry, Mineralogical Soc. Am., v. 69, pp. 61-120.</a:t>
          </a: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u="sng" strike="noStrike">
              <a:solidFill>
                <a:srgbClr val="000000"/>
              </a:solidFill>
              <a:latin typeface="Calibri"/>
              <a:ea typeface="Calibri"/>
              <a:cs typeface="Calibri"/>
            </a:rPr>
            <a:t>Input</a:t>
          </a:r>
        </a:p>
        <a:p>
          <a:pPr algn="l" rtl="0">
            <a:defRPr sz="1000"/>
          </a:pPr>
          <a:r>
            <a:rPr lang="en-US" sz="1200" b="0" i="0" strike="noStrike">
              <a:solidFill>
                <a:srgbClr val="000000"/>
              </a:solidFill>
              <a:latin typeface="Calibri"/>
              <a:ea typeface="Calibri"/>
              <a:cs typeface="Calibri"/>
            </a:rPr>
            <a:t>Enter a clinopyroxene composition in columns G – P and an orthopyroxene composition in columns R – AA. </a:t>
          </a: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u="sng" strike="noStrike">
              <a:solidFill>
                <a:srgbClr val="000000"/>
              </a:solidFill>
              <a:latin typeface="Calibri"/>
              <a:ea typeface="Calibri"/>
              <a:cs typeface="Calibri"/>
            </a:rPr>
            <a:t>Settings</a:t>
          </a:r>
        </a:p>
        <a:p>
          <a:pPr algn="l" rtl="0">
            <a:defRPr sz="1000"/>
          </a:pPr>
          <a:r>
            <a:rPr lang="en-US" sz="1200" b="0" i="0" strike="noStrike">
              <a:solidFill>
                <a:srgbClr val="000000"/>
              </a:solidFill>
              <a:latin typeface="Calibri"/>
              <a:ea typeface="Calibri"/>
              <a:cs typeface="Calibri"/>
            </a:rPr>
            <a:t>In this workbook, most thermometers are P-sensitive and most barometers are T-sensitive. Two equations can be solved simultaneously to arrive at P and T, which is accomplished here by using the output of one model as input for another. To work, you must make certain that under Excel – Preferences – Calculations, that “Iterative” calculations are allowed, otherwise Excel will report a “Circular reference” error. </a:t>
          </a: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u="sng" strike="noStrike">
              <a:solidFill>
                <a:srgbClr val="000000"/>
              </a:solidFill>
              <a:latin typeface="Calibri"/>
              <a:ea typeface="Calibri"/>
              <a:cs typeface="Calibri"/>
            </a:rPr>
            <a:t>P-T calculations</a:t>
          </a:r>
        </a:p>
        <a:p>
          <a:pPr algn="l" rtl="0">
            <a:defRPr sz="1000"/>
          </a:pPr>
          <a:r>
            <a:rPr lang="en-US" sz="1200" b="0" i="0" strike="noStrike">
              <a:solidFill>
                <a:srgbClr val="000000"/>
              </a:solidFill>
              <a:latin typeface="Calibri"/>
              <a:ea typeface="Calibri"/>
              <a:cs typeface="Calibri"/>
            </a:rPr>
            <a:t>A thermometer by Brey and Kohler (1990) is shown in column AF. Two thermometers from the RiMG volume are shown in columns AH and AI. All these thermometers are P-sensitive and for input, use the P values entered in column AD. Column AD is set as a default to be the P calculated using equation 39, appearing in column AK. The two barometers from the RiMG volume 69 are given in columns AJ and AK, and both are T sensitive, using as input the T that is in column AC, which is from column AH (so in columns AC and AD these are the effective output when Eqns. 36 and 39 are solved simultaneously. The barometer of Eqn. 38 (AJ) is independent of T). To solve different models differently, change the reference of cells AC and AD. (For example, if you want to know the result when the T from Brey and Kohler is paired with Eqn. 38, then in cell AC16 type “=AF16” and in cell AD16 type “=AJ16” (without the quotation marks). </a:t>
          </a: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u="sng" strike="noStrike">
              <a:solidFill>
                <a:srgbClr val="000000"/>
              </a:solidFill>
              <a:latin typeface="Calibri"/>
              <a:ea typeface="Calibri"/>
              <a:cs typeface="Calibri"/>
            </a:rPr>
            <a:t>Tests for equilibrium</a:t>
          </a:r>
        </a:p>
        <a:p>
          <a:pPr algn="l" rtl="0">
            <a:defRPr sz="1000"/>
          </a:pPr>
          <a:r>
            <a:rPr lang="en-US" sz="1200" b="0" i="0" strike="noStrike">
              <a:solidFill>
                <a:srgbClr val="000000"/>
              </a:solidFill>
              <a:latin typeface="Calibri"/>
              <a:ea typeface="Calibri"/>
              <a:cs typeface="Calibri"/>
            </a:rPr>
            <a:t>The best test is to compare T or P estimates from independent equilibria; if such T and/or P estimates are within, say 1 standard deviation, chances are good that that the estimates are valid. Having said that, oftentimes such calculations are not possible. And even when they are, it is a good idea to test whether the phases in question are in equilibrium. </a:t>
          </a:r>
        </a:p>
        <a:p>
          <a:pPr algn="l" rtl="0">
            <a:defRPr sz="1000"/>
          </a:pPr>
          <a:endParaRPr lang="en-US" sz="1200" b="0" i="0" strike="noStrike">
            <a:solidFill>
              <a:srgbClr val="000000"/>
            </a:solidFill>
            <a:latin typeface="Calibri"/>
            <a:ea typeface="Calibri"/>
            <a:cs typeface="Calibri"/>
          </a:endParaRPr>
        </a:p>
        <a:p>
          <a:pPr algn="l" rtl="0">
            <a:defRPr sz="1000"/>
          </a:pPr>
          <a:r>
            <a:rPr lang="en-US" sz="1200" b="0" i="0" strike="noStrike">
              <a:solidFill>
                <a:srgbClr val="000000"/>
              </a:solidFill>
              <a:latin typeface="Calibri"/>
              <a:ea typeface="Calibri"/>
              <a:cs typeface="Calibri"/>
            </a:rPr>
            <a:t>For orthopyroxene-liquid equilibrium, the test is very similar to the very familiar test proposed by Roeder and Emslie (1970) using the Fe-Mg exchange coefficient. The observed coefficient is given in column AL (assuming all Fe in both pyroxenes is Fe2+). The putative equilibrium value is 1.09±0.14,</a:t>
          </a:r>
          <a:r>
            <a:rPr lang="en-US" sz="1200" b="0" i="0" strike="noStrike" baseline="0">
              <a:solidFill>
                <a:srgbClr val="000000"/>
              </a:solidFill>
              <a:latin typeface="Calibri"/>
              <a:ea typeface="Calibri"/>
              <a:cs typeface="Calibri"/>
            </a:rPr>
            <a:t> but subsolidus systems yield lower values, closer to 0.7±-0.2.</a:t>
          </a:r>
          <a:endParaRPr lang="en-US" sz="1200" b="0" i="0" strike="noStrike">
            <a:solidFill>
              <a:srgbClr val="000000"/>
            </a:solidFill>
            <a:latin typeface="Calibri"/>
            <a:ea typeface="Calibri"/>
            <a:cs typeface="Calibri"/>
          </a:endParaRPr>
        </a:p>
        <a:p>
          <a:pPr algn="l" rtl="0">
            <a:defRPr sz="1000"/>
          </a:pPr>
          <a:endParaRPr lang="en-US" sz="1200" b="0" i="0" strike="noStrike">
            <a:solidFill>
              <a:srgbClr val="000000"/>
            </a:solidFill>
            <a:latin typeface="Calibri"/>
            <a:ea typeface="Calibri"/>
            <a:cs typeface="Calibri"/>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4" workbookViewId="0">
      <selection activeCell="F52" sqref="F52"/>
    </sheetView>
  </sheetViews>
  <sheetFormatPr defaultColWidth="11" defaultRowHeight="12.6" x14ac:dyDescent="0.2"/>
  <sheetData/>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S42"/>
  <sheetViews>
    <sheetView tabSelected="1" topLeftCell="AE1" workbookViewId="0">
      <selection activeCell="AF4" sqref="AF4"/>
    </sheetView>
  </sheetViews>
  <sheetFormatPr defaultColWidth="10.7265625" defaultRowHeight="12.6" x14ac:dyDescent="0.2"/>
  <cols>
    <col min="1" max="1" width="47.453125" style="1" customWidth="1"/>
    <col min="2" max="2" width="10.7265625" style="1"/>
    <col min="3" max="3" width="18.54296875" style="1" customWidth="1"/>
    <col min="4" max="4" width="10.7265625" style="2"/>
    <col min="5" max="5" width="4.26953125" style="2" customWidth="1"/>
    <col min="6" max="6" width="10.7265625" style="1"/>
    <col min="7" max="8" width="10.7265625" style="2"/>
    <col min="9" max="9" width="19.26953125" style="2" customWidth="1"/>
    <col min="10" max="16" width="10.7265625" style="2"/>
    <col min="17" max="17" width="10.7265625" style="1"/>
    <col min="18" max="21" width="14.54296875" style="1" customWidth="1"/>
    <col min="22" max="28" width="10.7265625" style="1"/>
    <col min="29" max="29" width="12.26953125" style="1" customWidth="1"/>
    <col min="30" max="30" width="16" style="1" customWidth="1"/>
    <col min="31" max="31" width="10.7265625" style="1"/>
    <col min="32" max="32" width="20.1796875" style="1" customWidth="1"/>
    <col min="33" max="33" width="3.81640625" style="1" customWidth="1"/>
    <col min="34" max="37" width="13.26953125" style="1" customWidth="1"/>
    <col min="38" max="39" width="16.26953125" style="1" customWidth="1"/>
    <col min="40" max="40" width="13.26953125" style="1" customWidth="1"/>
    <col min="41" max="41" width="14.7265625" style="1" customWidth="1"/>
    <col min="42" max="42" width="21.7265625" style="1" customWidth="1"/>
    <col min="43" max="43" width="10.7265625" style="1"/>
    <col min="44" max="44" width="10.54296875" style="1" customWidth="1"/>
    <col min="45" max="70" width="10.7265625" style="1"/>
    <col min="71" max="82" width="10.7265625" style="2"/>
    <col min="83" max="83" width="13.26953125" style="1" customWidth="1"/>
    <col min="84" max="84" width="15.81640625" style="1" customWidth="1"/>
    <col min="85" max="95" width="10.7265625" style="1"/>
    <col min="96" max="96" width="1.26953125" style="1" customWidth="1"/>
    <col min="97" max="99" width="10.7265625" style="1"/>
    <col min="100" max="106" width="12.26953125" style="2" customWidth="1"/>
    <col min="107" max="107" width="24.453125" style="2" customWidth="1"/>
    <col min="108" max="132" width="10.7265625" style="1"/>
    <col min="133" max="144" width="10.7265625" style="2"/>
    <col min="145" max="153" width="10.7265625" style="1"/>
    <col min="154" max="154" width="7.26953125" style="1" customWidth="1"/>
    <col min="155" max="155" width="10.7265625" style="1"/>
    <col min="156" max="156" width="9.81640625" style="1" customWidth="1"/>
    <col min="157" max="157" width="8.54296875" style="1" customWidth="1"/>
    <col min="158" max="158" width="7.81640625" style="1" customWidth="1"/>
    <col min="159" max="159" width="15" style="1" customWidth="1"/>
    <col min="160" max="164" width="11.81640625" style="2" customWidth="1"/>
    <col min="165" max="165" width="22" style="2" customWidth="1"/>
    <col min="166" max="166" width="10.7265625" style="1"/>
    <col min="167" max="167" width="2" style="1" customWidth="1"/>
    <col min="168" max="168" width="5.1796875" style="1" customWidth="1"/>
    <col min="169" max="169" width="7.54296875" style="1" customWidth="1"/>
    <col min="170" max="170" width="2" style="1" customWidth="1"/>
    <col min="171" max="172" width="10.7265625" style="1"/>
    <col min="173" max="173" width="1.1796875" style="1" customWidth="1"/>
    <col min="174" max="177" width="10.7265625" style="1"/>
    <col min="178" max="178" width="8.54296875" style="1" customWidth="1"/>
    <col min="179" max="180" width="10.7265625" style="1"/>
    <col min="181" max="181" width="2.1796875" style="1" customWidth="1"/>
    <col min="182" max="182" width="12.81640625" style="1" customWidth="1"/>
    <col min="183" max="183" width="10.7265625" style="1"/>
    <col min="184" max="184" width="3.1796875" style="1" customWidth="1"/>
    <col min="185" max="186" width="10.7265625" style="1"/>
    <col min="187" max="187" width="1.81640625" style="1" customWidth="1"/>
    <col min="188" max="192" width="10.7265625" style="1"/>
    <col min="193" max="193" width="1" style="1" customWidth="1"/>
    <col min="194" max="195" width="10.7265625" style="1"/>
    <col min="196" max="196" width="0.54296875" style="1" customWidth="1"/>
    <col min="197" max="197" width="10.54296875" style="1" customWidth="1"/>
    <col min="198" max="198" width="2.7265625" style="1" customWidth="1"/>
    <col min="199" max="200" width="6.7265625" style="1" customWidth="1"/>
    <col min="201" max="201" width="10.7265625" style="2"/>
    <col min="202" max="16384" width="10.7265625" style="1"/>
  </cols>
  <sheetData>
    <row r="1" spans="1:201" ht="22.2" x14ac:dyDescent="0.35">
      <c r="A1" s="30" t="s">
        <v>5</v>
      </c>
      <c r="FR1" s="1">
        <v>800</v>
      </c>
      <c r="FS1" s="1">
        <f>FR1</f>
        <v>800</v>
      </c>
      <c r="GC1" s="1">
        <v>0</v>
      </c>
      <c r="GD1" s="1">
        <f>GC1</f>
        <v>0</v>
      </c>
      <c r="GF1" s="1" t="s">
        <v>48</v>
      </c>
      <c r="GI1" s="1">
        <v>8.3143000000000002E-3</v>
      </c>
      <c r="GO1" s="1" t="s">
        <v>49</v>
      </c>
    </row>
    <row r="2" spans="1:201" x14ac:dyDescent="0.2">
      <c r="A2" s="31"/>
    </row>
    <row r="3" spans="1:201" ht="22.2" x14ac:dyDescent="0.35">
      <c r="A3" s="32" t="s">
        <v>3</v>
      </c>
    </row>
    <row r="4" spans="1:201" ht="22.2" x14ac:dyDescent="0.35">
      <c r="A4" s="32" t="s">
        <v>4</v>
      </c>
    </row>
    <row r="5" spans="1:201" x14ac:dyDescent="0.2">
      <c r="A5" s="31"/>
    </row>
    <row r="6" spans="1:201" ht="17.399999999999999" x14ac:dyDescent="0.3">
      <c r="A6" s="33" t="s">
        <v>119</v>
      </c>
    </row>
    <row r="7" spans="1:201" ht="17.399999999999999" x14ac:dyDescent="0.3">
      <c r="A7" s="33" t="s">
        <v>7</v>
      </c>
    </row>
    <row r="8" spans="1:201" ht="17.399999999999999" x14ac:dyDescent="0.3">
      <c r="A8" s="33" t="s">
        <v>120</v>
      </c>
    </row>
    <row r="9" spans="1:201" ht="17.399999999999999" x14ac:dyDescent="0.3">
      <c r="A9" s="33"/>
      <c r="AJ9" s="56"/>
      <c r="AT9" s="1">
        <v>60.084299999999999</v>
      </c>
      <c r="AU9" s="1">
        <v>79.878799999999998</v>
      </c>
      <c r="AV9" s="1">
        <v>101.961</v>
      </c>
      <c r="AW9" s="1">
        <v>71.846400000000003</v>
      </c>
      <c r="AX9" s="1">
        <v>70.9375</v>
      </c>
      <c r="AY9" s="1">
        <v>40.304400000000001</v>
      </c>
      <c r="AZ9" s="1">
        <v>56.077399999999997</v>
      </c>
      <c r="BA9" s="1">
        <v>61.978900000000003</v>
      </c>
      <c r="BB9" s="1">
        <v>94.195999999999998</v>
      </c>
      <c r="BC9" s="1">
        <f>52*2+3*15.9994</f>
        <v>151.9982</v>
      </c>
      <c r="FR9" s="1">
        <v>1000</v>
      </c>
      <c r="FS9" s="1">
        <f>FR9</f>
        <v>1000</v>
      </c>
      <c r="GC9" s="1">
        <v>10</v>
      </c>
      <c r="GD9" s="1">
        <f>GC9</f>
        <v>10</v>
      </c>
      <c r="GO9" s="1" t="s">
        <v>50</v>
      </c>
    </row>
    <row r="10" spans="1:201" x14ac:dyDescent="0.2">
      <c r="AT10" s="1" t="s">
        <v>51</v>
      </c>
      <c r="AU10" s="1" t="s">
        <v>52</v>
      </c>
      <c r="AV10" s="1" t="s">
        <v>53</v>
      </c>
      <c r="AW10" s="1" t="s">
        <v>54</v>
      </c>
      <c r="AX10" s="1" t="s">
        <v>55</v>
      </c>
      <c r="AY10" s="1" t="s">
        <v>56</v>
      </c>
      <c r="AZ10" s="1" t="s">
        <v>57</v>
      </c>
      <c r="BA10" s="1" t="s">
        <v>58</v>
      </c>
      <c r="BB10" s="1" t="s">
        <v>59</v>
      </c>
      <c r="BC10" s="1" t="s">
        <v>60</v>
      </c>
      <c r="FR10" s="1">
        <v>1200</v>
      </c>
      <c r="FS10" s="1">
        <f>FR10</f>
        <v>1200</v>
      </c>
      <c r="GC10" s="1">
        <v>20</v>
      </c>
      <c r="GD10" s="1">
        <f>GC10</f>
        <v>20</v>
      </c>
    </row>
    <row r="11" spans="1:201" ht="17.399999999999999" x14ac:dyDescent="0.3">
      <c r="AF11" s="25" t="s">
        <v>1</v>
      </c>
      <c r="AG11" s="26"/>
      <c r="AH11" s="26"/>
      <c r="AI11" s="26"/>
      <c r="AJ11" s="26"/>
      <c r="AK11" s="26"/>
      <c r="AL11" s="26"/>
      <c r="AM11" s="26"/>
      <c r="AN11" s="26"/>
      <c r="AO11" s="26"/>
      <c r="AP11" s="26"/>
      <c r="AQ11" s="11"/>
      <c r="AR11" s="11"/>
      <c r="FO11" s="1" t="s">
        <v>61</v>
      </c>
      <c r="FR11" s="1">
        <v>1600</v>
      </c>
      <c r="FS11" s="1">
        <f>FR11</f>
        <v>1600</v>
      </c>
      <c r="GC11" s="1">
        <v>70</v>
      </c>
      <c r="GD11" s="1">
        <f>GC11</f>
        <v>70</v>
      </c>
    </row>
    <row r="12" spans="1:201" ht="17.399999999999999" x14ac:dyDescent="0.3">
      <c r="C12"/>
      <c r="D12"/>
      <c r="G12" s="47" t="s">
        <v>63</v>
      </c>
      <c r="H12" s="36"/>
      <c r="I12" s="37"/>
      <c r="J12" s="1"/>
      <c r="K12" s="1"/>
      <c r="L12" s="1"/>
      <c r="M12" s="1"/>
      <c r="N12" s="1"/>
      <c r="O12" s="1"/>
      <c r="P12" s="1"/>
      <c r="R12" s="47" t="s">
        <v>64</v>
      </c>
      <c r="S12" s="36"/>
      <c r="T12" s="37"/>
      <c r="AF12" s="24"/>
      <c r="AG12" s="24"/>
      <c r="AH12" s="24"/>
      <c r="AI12" s="24"/>
      <c r="AJ12" s="24"/>
      <c r="AK12" s="24"/>
      <c r="AL12" s="24"/>
      <c r="AM12" s="24"/>
      <c r="AN12" s="24"/>
      <c r="AO12" s="24"/>
      <c r="AP12" s="54" t="s">
        <v>11</v>
      </c>
      <c r="AR12" s="11"/>
      <c r="CS12" s="61" t="s">
        <v>164</v>
      </c>
      <c r="CT12" s="4"/>
      <c r="CU12" s="5"/>
      <c r="CV12" s="6"/>
      <c r="CW12" s="7"/>
      <c r="CX12" s="62" t="s">
        <v>166</v>
      </c>
      <c r="CY12" s="8"/>
      <c r="CZ12" s="8"/>
      <c r="DA12" s="8"/>
      <c r="DB12" s="8"/>
      <c r="DC12" s="8"/>
      <c r="FD12" s="22">
        <f>1-FD16</f>
        <v>0.15929917059798271</v>
      </c>
      <c r="FE12" s="2">
        <f>(EH16-EP16)/((EH16-EP16)+EJ16)</f>
        <v>0.15929917059798274</v>
      </c>
    </row>
    <row r="13" spans="1:201" ht="16.8" thickBot="1" x14ac:dyDescent="0.35">
      <c r="C13"/>
      <c r="D13"/>
      <c r="G13" s="1"/>
      <c r="H13" s="1"/>
      <c r="I13" s="1"/>
      <c r="J13" s="1"/>
      <c r="K13" s="1"/>
      <c r="L13" s="1"/>
      <c r="M13" s="1"/>
      <c r="N13" s="1"/>
      <c r="O13" s="1"/>
      <c r="P13" s="1"/>
      <c r="AF13" s="24" t="s">
        <v>76</v>
      </c>
      <c r="AG13" s="24"/>
      <c r="AH13" s="24" t="s">
        <v>2</v>
      </c>
      <c r="AI13" s="24"/>
      <c r="AJ13" s="24"/>
      <c r="AK13" s="24"/>
      <c r="AL13" s="24"/>
      <c r="AM13" s="24"/>
      <c r="AN13" s="24"/>
      <c r="AO13" s="54" t="s">
        <v>92</v>
      </c>
      <c r="AP13" s="53" t="s">
        <v>12</v>
      </c>
      <c r="AR13" s="11"/>
      <c r="AT13" s="1" t="s">
        <v>62</v>
      </c>
      <c r="BF13" s="1" t="s">
        <v>62</v>
      </c>
      <c r="BS13" s="9" t="s">
        <v>62</v>
      </c>
      <c r="BT13" s="6"/>
      <c r="BU13" s="6"/>
      <c r="BV13" s="6"/>
      <c r="BW13" s="6"/>
      <c r="BX13" s="6"/>
      <c r="BY13" s="6"/>
      <c r="BZ13" s="6"/>
      <c r="CA13" s="6"/>
      <c r="CB13" s="6"/>
      <c r="CC13" s="6"/>
      <c r="CD13" s="7"/>
      <c r="CS13" s="63" t="s">
        <v>165</v>
      </c>
      <c r="CT13" s="11"/>
      <c r="CU13" s="11"/>
      <c r="CV13" s="8"/>
      <c r="CW13" s="12"/>
      <c r="CX13" s="62" t="s">
        <v>167</v>
      </c>
      <c r="CY13" s="8"/>
      <c r="CZ13" s="8"/>
      <c r="DA13" s="8"/>
      <c r="DB13" s="8"/>
      <c r="DC13" s="8"/>
      <c r="DD13" s="1" t="s">
        <v>68</v>
      </c>
      <c r="DP13" s="1" t="s">
        <v>69</v>
      </c>
      <c r="EC13" s="9" t="s">
        <v>68</v>
      </c>
      <c r="ED13" s="6"/>
      <c r="EE13" s="6"/>
      <c r="EF13" s="6"/>
      <c r="EG13" s="6"/>
      <c r="EH13" s="6"/>
      <c r="EI13" s="6"/>
      <c r="EJ13" s="6"/>
      <c r="EK13" s="6"/>
      <c r="EL13" s="6"/>
      <c r="EM13" s="6"/>
      <c r="EN13" s="7"/>
      <c r="EZ13" s="60" t="s">
        <v>161</v>
      </c>
      <c r="FR13" s="1" t="s">
        <v>70</v>
      </c>
      <c r="FW13" s="1" t="s">
        <v>71</v>
      </c>
      <c r="FZ13" s="1" t="s">
        <v>72</v>
      </c>
      <c r="GA13" s="1" t="s">
        <v>73</v>
      </c>
      <c r="GC13" s="1" t="s">
        <v>74</v>
      </c>
      <c r="GF13" s="1" t="s">
        <v>75</v>
      </c>
      <c r="GO13" s="1" t="s">
        <v>77</v>
      </c>
    </row>
    <row r="14" spans="1:201" ht="14.4" thickBot="1" x14ac:dyDescent="0.3">
      <c r="A14" s="31" t="s">
        <v>8</v>
      </c>
      <c r="B14" s="34"/>
      <c r="C14" s="48" t="s">
        <v>9</v>
      </c>
      <c r="D14" s="48" t="s">
        <v>9</v>
      </c>
      <c r="E14" s="35"/>
      <c r="F14" s="34" t="s">
        <v>10</v>
      </c>
      <c r="G14" s="38" t="s">
        <v>150</v>
      </c>
      <c r="H14" s="39"/>
      <c r="I14" s="39"/>
      <c r="J14" s="39"/>
      <c r="K14" s="39"/>
      <c r="L14" s="39"/>
      <c r="M14" s="39"/>
      <c r="N14" s="39"/>
      <c r="O14" s="39"/>
      <c r="P14" s="39"/>
      <c r="R14" s="38" t="s">
        <v>151</v>
      </c>
      <c r="S14" s="39"/>
      <c r="T14" s="39"/>
      <c r="U14" s="39"/>
      <c r="V14" s="39"/>
      <c r="W14" s="39"/>
      <c r="X14" s="39"/>
      <c r="Y14" s="39"/>
      <c r="Z14" s="39"/>
      <c r="AA14" s="39"/>
      <c r="AC14" s="51" t="s">
        <v>67</v>
      </c>
      <c r="AD14" s="52"/>
      <c r="AF14" s="27" t="s">
        <v>145</v>
      </c>
      <c r="AG14" s="27"/>
      <c r="AH14" s="27" t="s">
        <v>154</v>
      </c>
      <c r="AI14" s="27" t="s">
        <v>0</v>
      </c>
      <c r="AJ14" s="27" t="s">
        <v>38</v>
      </c>
      <c r="AK14" s="27" t="s">
        <v>152</v>
      </c>
      <c r="AL14" s="64" t="s">
        <v>168</v>
      </c>
      <c r="AM14" s="64" t="s">
        <v>170</v>
      </c>
      <c r="AN14" s="64" t="s">
        <v>77</v>
      </c>
      <c r="AO14" s="27" t="s">
        <v>91</v>
      </c>
      <c r="AP14" s="45" t="s">
        <v>6</v>
      </c>
      <c r="AR14" s="11"/>
      <c r="AT14" s="1" t="s">
        <v>78</v>
      </c>
      <c r="BF14" s="1" t="s">
        <v>79</v>
      </c>
      <c r="BS14" s="13" t="s">
        <v>80</v>
      </c>
      <c r="BT14" s="8"/>
      <c r="BU14" s="8"/>
      <c r="BV14" s="8"/>
      <c r="BW14" s="8"/>
      <c r="BX14" s="8"/>
      <c r="BY14" s="8"/>
      <c r="BZ14" s="8"/>
      <c r="CA14" s="8"/>
      <c r="CB14" s="8"/>
      <c r="CC14" s="8"/>
      <c r="CD14" s="12"/>
      <c r="CE14" s="1">
        <f>AVERAGE(CE17:CE708)</f>
        <v>4.0010193465254966</v>
      </c>
      <c r="CF14" s="1" t="s">
        <v>81</v>
      </c>
      <c r="CG14" s="1" t="s">
        <v>82</v>
      </c>
      <c r="CH14" s="3" t="s">
        <v>153</v>
      </c>
      <c r="CI14" s="5"/>
      <c r="CJ14" s="5"/>
      <c r="CK14" s="5"/>
      <c r="CL14" s="5"/>
      <c r="CM14" s="5"/>
      <c r="CN14" s="5"/>
      <c r="CO14" s="14"/>
      <c r="CP14" s="1">
        <f>AVERAGE(CP17:CP708)</f>
        <v>0.99955411125705429</v>
      </c>
      <c r="CS14" s="10" t="s">
        <v>83</v>
      </c>
      <c r="CT14" s="11"/>
      <c r="CU14" s="11"/>
      <c r="CV14" s="8"/>
      <c r="CW14" s="12" t="s">
        <v>84</v>
      </c>
      <c r="CX14" s="12"/>
      <c r="CY14" s="12"/>
      <c r="CZ14" s="12"/>
      <c r="DA14" s="12"/>
      <c r="DB14" s="12"/>
      <c r="DC14" s="55" t="s">
        <v>93</v>
      </c>
      <c r="DD14" s="1" t="s">
        <v>78</v>
      </c>
      <c r="DP14" s="1" t="s">
        <v>79</v>
      </c>
      <c r="EC14" s="13" t="s">
        <v>80</v>
      </c>
      <c r="ED14" s="8"/>
      <c r="EE14" s="8"/>
      <c r="EF14" s="8"/>
      <c r="EG14" s="8"/>
      <c r="EH14" s="8"/>
      <c r="EI14" s="8"/>
      <c r="EJ14" s="8"/>
      <c r="EK14" s="8"/>
      <c r="EL14" s="8"/>
      <c r="EM14" s="8"/>
      <c r="EN14" s="12"/>
      <c r="EO14" s="1">
        <f>AVERAGE(EO17:EO708)</f>
        <v>3.9947449985219392</v>
      </c>
      <c r="EP14" s="1" t="s">
        <v>81</v>
      </c>
      <c r="EQ14" s="1" t="s">
        <v>82</v>
      </c>
      <c r="ER14" s="3" t="s">
        <v>85</v>
      </c>
      <c r="ES14" s="5"/>
      <c r="ET14" s="5"/>
      <c r="EU14" s="5"/>
      <c r="EV14" s="5"/>
      <c r="EW14" s="14"/>
      <c r="EZ14" s="61" t="s">
        <v>162</v>
      </c>
      <c r="FA14" s="5"/>
      <c r="FB14" s="5"/>
      <c r="FC14" s="14" t="s">
        <v>84</v>
      </c>
      <c r="FD14" s="8"/>
      <c r="FE14" s="62" t="s">
        <v>163</v>
      </c>
      <c r="FF14" s="8"/>
      <c r="FG14" s="8"/>
      <c r="FH14" s="8"/>
      <c r="FI14" s="8"/>
      <c r="FJ14" s="15">
        <f>AVERAGE(FJ17:FJ38)</f>
        <v>0.99737249926096927</v>
      </c>
      <c r="FO14" s="1" t="s">
        <v>86</v>
      </c>
      <c r="FR14" s="1" t="s">
        <v>87</v>
      </c>
      <c r="FS14" s="1" t="s">
        <v>88</v>
      </c>
      <c r="FT14" s="1" t="s">
        <v>87</v>
      </c>
      <c r="FU14" s="1" t="s">
        <v>88</v>
      </c>
      <c r="FW14" s="1" t="s">
        <v>89</v>
      </c>
      <c r="FX14" s="1" t="s">
        <v>90</v>
      </c>
    </row>
    <row r="15" spans="1:201" ht="16.2" x14ac:dyDescent="0.3">
      <c r="A15" s="20" t="s">
        <v>97</v>
      </c>
      <c r="B15" s="41" t="s">
        <v>148</v>
      </c>
      <c r="C15" s="46" t="s">
        <v>99</v>
      </c>
      <c r="D15" s="17" t="s">
        <v>98</v>
      </c>
      <c r="E15" s="1"/>
      <c r="F15" s="20" t="s">
        <v>96</v>
      </c>
      <c r="G15" s="40" t="s">
        <v>51</v>
      </c>
      <c r="H15" s="40" t="s">
        <v>52</v>
      </c>
      <c r="I15" s="40" t="s">
        <v>53</v>
      </c>
      <c r="J15" s="40" t="s">
        <v>149</v>
      </c>
      <c r="K15" s="40" t="s">
        <v>55</v>
      </c>
      <c r="L15" s="40" t="s">
        <v>56</v>
      </c>
      <c r="M15" s="40" t="s">
        <v>57</v>
      </c>
      <c r="N15" s="40" t="s">
        <v>58</v>
      </c>
      <c r="O15" s="40" t="s">
        <v>59</v>
      </c>
      <c r="P15" s="40" t="s">
        <v>60</v>
      </c>
      <c r="R15" s="40" t="s">
        <v>51</v>
      </c>
      <c r="S15" s="40" t="s">
        <v>52</v>
      </c>
      <c r="T15" s="40" t="s">
        <v>53</v>
      </c>
      <c r="U15" s="40" t="s">
        <v>149</v>
      </c>
      <c r="V15" s="40" t="s">
        <v>55</v>
      </c>
      <c r="W15" s="40" t="s">
        <v>56</v>
      </c>
      <c r="X15" s="40" t="s">
        <v>57</v>
      </c>
      <c r="Y15" s="40" t="s">
        <v>58</v>
      </c>
      <c r="Z15" s="40" t="s">
        <v>59</v>
      </c>
      <c r="AA15" s="40" t="s">
        <v>60</v>
      </c>
      <c r="AC15" s="49" t="s">
        <v>66</v>
      </c>
      <c r="AD15" s="49" t="s">
        <v>65</v>
      </c>
      <c r="AE15" s="67" t="s">
        <v>169</v>
      </c>
      <c r="AF15" s="28" t="s">
        <v>94</v>
      </c>
      <c r="AG15" s="29"/>
      <c r="AH15" s="28" t="s">
        <v>94</v>
      </c>
      <c r="AI15" s="28" t="s">
        <v>94</v>
      </c>
      <c r="AJ15" s="28" t="s">
        <v>95</v>
      </c>
      <c r="AK15" s="28" t="s">
        <v>95</v>
      </c>
      <c r="AL15" s="65" t="s">
        <v>94</v>
      </c>
      <c r="AM15" s="65"/>
      <c r="AN15" s="65" t="s">
        <v>94</v>
      </c>
      <c r="AO15" s="28" t="s">
        <v>94</v>
      </c>
      <c r="AP15" s="28" t="s">
        <v>118</v>
      </c>
      <c r="AQ15" s="43"/>
      <c r="AR15" s="11" t="s">
        <v>37</v>
      </c>
      <c r="AT15" s="1" t="s">
        <v>51</v>
      </c>
      <c r="AU15" s="1" t="s">
        <v>52</v>
      </c>
      <c r="AV15" s="1" t="s">
        <v>53</v>
      </c>
      <c r="AW15" s="1" t="s">
        <v>54</v>
      </c>
      <c r="AX15" s="1" t="s">
        <v>55</v>
      </c>
      <c r="AY15" s="1" t="s">
        <v>56</v>
      </c>
      <c r="AZ15" s="1" t="s">
        <v>57</v>
      </c>
      <c r="BA15" s="1" t="s">
        <v>58</v>
      </c>
      <c r="BB15" s="1" t="s">
        <v>59</v>
      </c>
      <c r="BC15" s="1" t="s">
        <v>60</v>
      </c>
      <c r="BF15" s="1" t="s">
        <v>51</v>
      </c>
      <c r="BG15" s="1" t="s">
        <v>52</v>
      </c>
      <c r="BH15" s="1" t="s">
        <v>53</v>
      </c>
      <c r="BI15" s="1" t="s">
        <v>54</v>
      </c>
      <c r="BJ15" s="1" t="s">
        <v>55</v>
      </c>
      <c r="BK15" s="1" t="s">
        <v>56</v>
      </c>
      <c r="BL15" s="1" t="s">
        <v>57</v>
      </c>
      <c r="BM15" s="1" t="s">
        <v>58</v>
      </c>
      <c r="BN15" s="1" t="s">
        <v>59</v>
      </c>
      <c r="BO15" s="1" t="s">
        <v>60</v>
      </c>
      <c r="BQ15" s="1" t="s">
        <v>100</v>
      </c>
      <c r="BS15" s="16" t="s">
        <v>51</v>
      </c>
      <c r="BT15" s="17" t="s">
        <v>52</v>
      </c>
      <c r="BU15" s="17" t="s">
        <v>101</v>
      </c>
      <c r="BV15" s="17" t="s">
        <v>102</v>
      </c>
      <c r="BW15" s="17" t="s">
        <v>103</v>
      </c>
      <c r="BX15" s="17" t="s">
        <v>54</v>
      </c>
      <c r="BY15" s="17" t="s">
        <v>55</v>
      </c>
      <c r="BZ15" s="17" t="s">
        <v>56</v>
      </c>
      <c r="CA15" s="17" t="s">
        <v>57</v>
      </c>
      <c r="CB15" s="17" t="s">
        <v>58</v>
      </c>
      <c r="CC15" s="17" t="s">
        <v>59</v>
      </c>
      <c r="CD15" s="18" t="s">
        <v>60</v>
      </c>
      <c r="CF15" s="1" t="s">
        <v>104</v>
      </c>
      <c r="CG15" s="1" t="s">
        <v>104</v>
      </c>
      <c r="CH15" s="19" t="s">
        <v>105</v>
      </c>
      <c r="CI15" s="20" t="s">
        <v>106</v>
      </c>
      <c r="CJ15" s="20" t="s">
        <v>107</v>
      </c>
      <c r="CK15" s="20" t="s">
        <v>108</v>
      </c>
      <c r="CL15" s="20" t="s">
        <v>109</v>
      </c>
      <c r="CM15" s="20" t="s">
        <v>110</v>
      </c>
      <c r="CN15" s="20" t="s">
        <v>111</v>
      </c>
      <c r="CO15" s="21" t="s">
        <v>112</v>
      </c>
      <c r="CP15" s="1" t="s">
        <v>113</v>
      </c>
      <c r="CQ15" s="1" t="s">
        <v>114</v>
      </c>
      <c r="CS15" s="19" t="s">
        <v>115</v>
      </c>
      <c r="CT15" s="20" t="s">
        <v>116</v>
      </c>
      <c r="CU15" s="20" t="s">
        <v>117</v>
      </c>
      <c r="CV15" s="17" t="s">
        <v>121</v>
      </c>
      <c r="CW15" s="18" t="s">
        <v>122</v>
      </c>
      <c r="CX15" s="57" t="s">
        <v>155</v>
      </c>
      <c r="CY15" s="57" t="s">
        <v>156</v>
      </c>
      <c r="CZ15" s="57" t="s">
        <v>157</v>
      </c>
      <c r="DA15" s="57" t="s">
        <v>158</v>
      </c>
      <c r="DB15" s="57" t="s">
        <v>117</v>
      </c>
      <c r="DC15" s="17" t="s">
        <v>117</v>
      </c>
      <c r="DD15" s="1" t="s">
        <v>51</v>
      </c>
      <c r="DE15" s="1" t="s">
        <v>52</v>
      </c>
      <c r="DF15" s="1" t="s">
        <v>53</v>
      </c>
      <c r="DG15" s="1" t="s">
        <v>54</v>
      </c>
      <c r="DH15" s="1" t="s">
        <v>55</v>
      </c>
      <c r="DI15" s="1" t="s">
        <v>56</v>
      </c>
      <c r="DJ15" s="1" t="s">
        <v>57</v>
      </c>
      <c r="DK15" s="1" t="s">
        <v>58</v>
      </c>
      <c r="DL15" s="1" t="s">
        <v>59</v>
      </c>
      <c r="DM15" s="1" t="s">
        <v>60</v>
      </c>
      <c r="DP15" s="1" t="s">
        <v>51</v>
      </c>
      <c r="DQ15" s="1" t="s">
        <v>52</v>
      </c>
      <c r="DR15" s="1" t="s">
        <v>53</v>
      </c>
      <c r="DS15" s="1" t="s">
        <v>54</v>
      </c>
      <c r="DT15" s="1" t="s">
        <v>55</v>
      </c>
      <c r="DU15" s="1" t="s">
        <v>56</v>
      </c>
      <c r="DV15" s="1" t="s">
        <v>57</v>
      </c>
      <c r="DW15" s="1" t="s">
        <v>58</v>
      </c>
      <c r="DX15" s="1" t="s">
        <v>59</v>
      </c>
      <c r="DY15" s="1" t="s">
        <v>60</v>
      </c>
      <c r="EA15" s="1" t="s">
        <v>100</v>
      </c>
      <c r="EC15" s="16" t="s">
        <v>51</v>
      </c>
      <c r="ED15" s="17" t="s">
        <v>52</v>
      </c>
      <c r="EE15" s="17" t="s">
        <v>101</v>
      </c>
      <c r="EF15" s="17" t="s">
        <v>102</v>
      </c>
      <c r="EG15" s="17" t="s">
        <v>103</v>
      </c>
      <c r="EH15" s="17" t="s">
        <v>54</v>
      </c>
      <c r="EI15" s="17" t="s">
        <v>55</v>
      </c>
      <c r="EJ15" s="17" t="s">
        <v>56</v>
      </c>
      <c r="EK15" s="17" t="s">
        <v>57</v>
      </c>
      <c r="EL15" s="17" t="s">
        <v>58</v>
      </c>
      <c r="EM15" s="17" t="s">
        <v>59</v>
      </c>
      <c r="EN15" s="18" t="s">
        <v>60</v>
      </c>
      <c r="EP15" s="1" t="s">
        <v>104</v>
      </c>
      <c r="EQ15" s="1" t="s">
        <v>104</v>
      </c>
      <c r="ER15" s="19" t="s">
        <v>123</v>
      </c>
      <c r="ES15" s="20" t="s">
        <v>124</v>
      </c>
      <c r="ET15" s="20" t="s">
        <v>125</v>
      </c>
      <c r="EU15" s="20" t="s">
        <v>126</v>
      </c>
      <c r="EV15" s="20" t="s">
        <v>127</v>
      </c>
      <c r="EW15" s="21" t="s">
        <v>128</v>
      </c>
      <c r="EX15" s="1" t="s">
        <v>111</v>
      </c>
      <c r="EY15" s="1" t="s">
        <v>112</v>
      </c>
      <c r="EZ15" s="19" t="s">
        <v>129</v>
      </c>
      <c r="FA15" s="20" t="s">
        <v>130</v>
      </c>
      <c r="FB15" s="20" t="s">
        <v>131</v>
      </c>
      <c r="FC15" s="21" t="s">
        <v>122</v>
      </c>
      <c r="FD15" s="57" t="s">
        <v>159</v>
      </c>
      <c r="FE15" s="57" t="s">
        <v>155</v>
      </c>
      <c r="FF15" s="57" t="s">
        <v>156</v>
      </c>
      <c r="FG15" s="57" t="s">
        <v>157</v>
      </c>
      <c r="FH15" s="57" t="s">
        <v>158</v>
      </c>
      <c r="FI15" s="57" t="s">
        <v>129</v>
      </c>
      <c r="FJ15" s="1" t="s">
        <v>132</v>
      </c>
      <c r="FL15" s="1" t="s">
        <v>94</v>
      </c>
      <c r="FM15" s="1" t="s">
        <v>95</v>
      </c>
      <c r="FO15" s="1" t="s">
        <v>133</v>
      </c>
      <c r="FP15" s="1" t="s">
        <v>94</v>
      </c>
      <c r="FR15" s="1" t="s">
        <v>134</v>
      </c>
      <c r="FS15" s="1" t="s">
        <v>135</v>
      </c>
      <c r="FT15" s="1" t="s">
        <v>136</v>
      </c>
      <c r="FU15" s="1" t="s">
        <v>137</v>
      </c>
      <c r="FW15" s="1" t="s">
        <v>94</v>
      </c>
      <c r="FX15" s="1" t="s">
        <v>94</v>
      </c>
      <c r="FZ15" s="1" t="s">
        <v>94</v>
      </c>
      <c r="GA15" s="1" t="s">
        <v>94</v>
      </c>
      <c r="GC15" s="1" t="s">
        <v>138</v>
      </c>
      <c r="GD15" s="1" t="s">
        <v>139</v>
      </c>
      <c r="GF15" s="1" t="s">
        <v>140</v>
      </c>
      <c r="GG15" s="1" t="s">
        <v>141</v>
      </c>
      <c r="GH15" s="1" t="s">
        <v>142</v>
      </c>
      <c r="GI15" s="1" t="s">
        <v>143</v>
      </c>
      <c r="GJ15" s="1" t="s">
        <v>144</v>
      </c>
      <c r="GL15" s="1" t="s">
        <v>146</v>
      </c>
      <c r="GM15" s="1" t="s">
        <v>147</v>
      </c>
      <c r="GO15" s="1" t="s">
        <v>36</v>
      </c>
      <c r="GS15" s="2" t="s">
        <v>95</v>
      </c>
    </row>
    <row r="16" spans="1:201" ht="13.8" x14ac:dyDescent="0.25">
      <c r="A16" s="1" t="s">
        <v>160</v>
      </c>
      <c r="C16" s="23"/>
      <c r="G16" s="23">
        <v>52.3</v>
      </c>
      <c r="H16" s="23">
        <v>0.7</v>
      </c>
      <c r="I16" s="23">
        <v>3</v>
      </c>
      <c r="J16" s="23">
        <v>5.0999999999999996</v>
      </c>
      <c r="K16" s="23">
        <v>0.11</v>
      </c>
      <c r="L16" s="23">
        <v>16.600000000000001</v>
      </c>
      <c r="M16" s="23">
        <v>21.5</v>
      </c>
      <c r="N16" s="23">
        <v>0.33</v>
      </c>
      <c r="O16" s="23">
        <v>0</v>
      </c>
      <c r="P16" s="23">
        <v>0.57999999999999996</v>
      </c>
      <c r="R16" s="23">
        <v>55</v>
      </c>
      <c r="S16" s="23">
        <v>0.34</v>
      </c>
      <c r="T16" s="23">
        <v>1.5</v>
      </c>
      <c r="U16" s="23">
        <v>11.3</v>
      </c>
      <c r="V16" s="23">
        <v>0.24</v>
      </c>
      <c r="W16" s="23">
        <v>30.7</v>
      </c>
      <c r="X16" s="23">
        <v>0.9</v>
      </c>
      <c r="Y16" s="23">
        <v>0.01</v>
      </c>
      <c r="Z16" s="23">
        <v>0</v>
      </c>
      <c r="AA16" s="23">
        <v>0.19</v>
      </c>
      <c r="AC16" s="50">
        <f ca="1">AH16</f>
        <v>985.37666851544975</v>
      </c>
      <c r="AD16" s="50">
        <f t="shared" ref="AD16:AD38" ca="1" si="0">AK16</f>
        <v>3.3808852332206865</v>
      </c>
      <c r="AE16" s="66">
        <f>AY16/(AY16+AW16)</f>
        <v>0.85298809468738823</v>
      </c>
      <c r="AF16" s="27">
        <f t="shared" ref="AF16:AF38" ca="1" si="1">-273.15+((23664+(24.9+126.3*BX16/(BX16+BZ16))*AD16)/(13.38+(LN((1-CA16/(1-CB16))/(1-EK16/(1-EL16))))^2+11.59*EH16/(EH16+EJ16)))</f>
        <v>969.48505220133859</v>
      </c>
      <c r="AG16" s="27"/>
      <c r="AH16" s="27">
        <f t="shared" ref="AH16:AH38" ca="1" si="2">10^4/(11.2-1.96*LN(CM16/EW16)-3.3*CA16-25.8*CK16+33.2*EI16-23.6*EL16-2.08*EX16-8.33*EY16-0.05*AD16)</f>
        <v>985.37666851544975</v>
      </c>
      <c r="AI16" s="27">
        <f t="shared" ref="AI16:AI38" ca="1" si="3">10^4/(13.4-3.4*LN(CM16/EW16)+5.59*LN(BZ16)+23.85*EI16+6.48*EU16-2.38*CO16-0.044*AD16-8.8*BZ16/(BZ16+BX16))</f>
        <v>969.2166565763556</v>
      </c>
      <c r="AJ16" s="27">
        <f t="shared" ref="AJ16:AJ38" si="4">-279.8+293*EF16+455*EL16+229*EN16+519*EW16-563*EX16+371*EY16+327*EZ16+1.19/AR16</f>
        <v>2.187906664891905</v>
      </c>
      <c r="AK16" s="27">
        <f t="shared" ref="AK16:AK38" ca="1" si="5">-94.25+0.045*AC16+187.7*EF16+246.8*EW16-212.5*EX16+127.5*EZ16-69.4*CM16-133.9*CV16-1.66/AR16</f>
        <v>3.3808852332206865</v>
      </c>
      <c r="AL16" s="27">
        <f>FZ16</f>
        <v>1051.6100516872502</v>
      </c>
      <c r="AM16" s="27">
        <f>AN16+273.15</f>
        <v>1282.3763968584487</v>
      </c>
      <c r="AN16" s="27">
        <f>GO16</f>
        <v>1009.2263968584488</v>
      </c>
      <c r="AO16" s="29">
        <f t="shared" ref="AO16:AO38" ca="1" si="6">-273+(93100+755*AD16)/(61.1+36.6*BT16/4+10.9*BX16/4-0.95*(BU16+BV16+CD16-CB16-CC16)/4+3.5*LN(DC16)^2)</f>
        <v>968.52143721437892</v>
      </c>
      <c r="AP16" s="42">
        <f t="shared" ref="AP16:AP38" si="7">(BX16/BZ16)/(EH16/EJ16)</f>
        <v>0.83468386821622753</v>
      </c>
      <c r="AQ16" s="44"/>
      <c r="AR16" s="1">
        <f t="shared" ref="AR16:AR38" si="8">EK16/(1-CA16)</f>
        <v>0.21602181794080896</v>
      </c>
      <c r="AT16" s="1">
        <f t="shared" ref="AT16:BC16" si="9">G16/AT$9</f>
        <v>0.87044369327761162</v>
      </c>
      <c r="AU16" s="1">
        <f t="shared" si="9"/>
        <v>8.7632763636909909E-3</v>
      </c>
      <c r="AV16" s="1">
        <f t="shared" si="9"/>
        <v>2.9423014682084327E-2</v>
      </c>
      <c r="AW16" s="1">
        <f t="shared" si="9"/>
        <v>7.0984767504008547E-2</v>
      </c>
      <c r="AX16" s="1">
        <f t="shared" si="9"/>
        <v>1.5506607929515418E-3</v>
      </c>
      <c r="AY16" s="1">
        <f t="shared" si="9"/>
        <v>0.41186570200772127</v>
      </c>
      <c r="AZ16" s="1">
        <f t="shared" si="9"/>
        <v>0.38339865970961567</v>
      </c>
      <c r="BA16" s="1">
        <f t="shared" si="9"/>
        <v>5.32439265621042E-3</v>
      </c>
      <c r="BB16" s="1">
        <f t="shared" si="9"/>
        <v>0</v>
      </c>
      <c r="BC16" s="1">
        <f t="shared" si="9"/>
        <v>3.8158346611999352E-3</v>
      </c>
      <c r="BD16" s="1">
        <f>SUM(AT16:BC16)</f>
        <v>1.7855700016550942</v>
      </c>
      <c r="BF16" s="15">
        <f>AT16*2</f>
        <v>1.7408873865552232</v>
      </c>
      <c r="BG16" s="15">
        <f>AU16*2</f>
        <v>1.7526552727381982E-2</v>
      </c>
      <c r="BH16" s="15">
        <f>AV16*3</f>
        <v>8.8269044046252979E-2</v>
      </c>
      <c r="BI16" s="15">
        <f t="shared" ref="BI16:BN16" si="10">AW16</f>
        <v>7.0984767504008547E-2</v>
      </c>
      <c r="BJ16" s="15">
        <f t="shared" si="10"/>
        <v>1.5506607929515418E-3</v>
      </c>
      <c r="BK16" s="15">
        <f t="shared" si="10"/>
        <v>0.41186570200772127</v>
      </c>
      <c r="BL16" s="15">
        <f t="shared" si="10"/>
        <v>0.38339865970961567</v>
      </c>
      <c r="BM16" s="15">
        <f t="shared" si="10"/>
        <v>5.32439265621042E-3</v>
      </c>
      <c r="BN16" s="15">
        <f t="shared" si="10"/>
        <v>0</v>
      </c>
      <c r="BO16" s="15">
        <f>BC16*3</f>
        <v>1.1447503983599805E-2</v>
      </c>
      <c r="BP16" s="15">
        <f>SUM(BF16:BO16)</f>
        <v>2.7312546699829654</v>
      </c>
      <c r="BQ16" s="15">
        <f>6/BP16</f>
        <v>2.196792582523043</v>
      </c>
      <c r="BS16" s="22">
        <f>AT16*$BQ16</f>
        <v>1.91218424889622</v>
      </c>
      <c r="BT16" s="22">
        <f>AU16*$BQ16</f>
        <v>1.9251100514355874E-2</v>
      </c>
      <c r="BU16" s="22">
        <f>2-BS16</f>
        <v>8.7815751103780038E-2</v>
      </c>
      <c r="BV16" s="22">
        <f>IF(BW16-BU16&lt;0,0,BW16-BU16)</f>
        <v>4.1456769714358854E-2</v>
      </c>
      <c r="BW16" s="22">
        <f>AV16*$BQ16*2</f>
        <v>0.12927252081813889</v>
      </c>
      <c r="BX16" s="22">
        <f>AW16*$BQ16</f>
        <v>0.15593881072492871</v>
      </c>
      <c r="BY16" s="22">
        <f>AX16*$BQ16</f>
        <v>3.4064801279652473E-3</v>
      </c>
      <c r="BZ16" s="22">
        <f>AY16*$BQ16</f>
        <v>0.90478351916620803</v>
      </c>
      <c r="CA16" s="22">
        <f>AZ16*$BQ16</f>
        <v>0.84224733179935996</v>
      </c>
      <c r="CB16" s="22">
        <f>BA16*$BQ16*2</f>
        <v>2.3393172587206426E-2</v>
      </c>
      <c r="CC16" s="22">
        <f>BB16*$BQ16*2</f>
        <v>0</v>
      </c>
      <c r="CD16" s="22">
        <f>BC16*$BQ16*2</f>
        <v>1.6765194559716694E-2</v>
      </c>
      <c r="CE16" s="15">
        <f>BS16+BT16+BW16+BX16+BY16+BZ16+CA16+CB16+CC16+CD16</f>
        <v>4.0072423791940999</v>
      </c>
      <c r="CF16" s="15">
        <f>IF(CB16+BU16-BV16-2*BT16-CD16&gt;0,CB16+BU16-BV16-2*BT16-CD16,0)</f>
        <v>1.4484758388199168E-2</v>
      </c>
      <c r="CG16" s="15">
        <f>12-48/CE16</f>
        <v>2.1687869638341795E-2</v>
      </c>
      <c r="CH16" s="15">
        <f>IF(CB16&lt;BV16,CB16,BV16)</f>
        <v>2.3393172587206426E-2</v>
      </c>
      <c r="CI16" s="15">
        <f>IF(BV16&gt;CB16,BV16-CB16,0)</f>
        <v>1.8063597127152428E-2</v>
      </c>
      <c r="CJ16" s="15">
        <f>IF(BU16&gt;CI16,(BU16-CI16)/2,0)</f>
        <v>3.4876076988313805E-2</v>
      </c>
      <c r="CK16" s="15">
        <f>CD16/2</f>
        <v>8.3825972798583469E-3</v>
      </c>
      <c r="CL16" s="15">
        <f>IF(CA16-CJ16-CI16-CK16&gt;0,CA16-CJ16-CI16-CK16,0)</f>
        <v>0.78092506040403531</v>
      </c>
      <c r="CM16" s="15">
        <f>((BX16+BZ16)-CL16)/2</f>
        <v>0.13989863474355074</v>
      </c>
      <c r="CN16" s="15">
        <f>CM16*(BZ16/(BZ16+BY16+BX16))</f>
        <v>0.11894986572870403</v>
      </c>
      <c r="CO16" s="15">
        <f>CQ16*(BZ16/(BZ16+BY16+BX16))</f>
        <v>0.6639874023754353</v>
      </c>
      <c r="CP16" s="15">
        <f>SUM(CH16:CM16)</f>
        <v>1.0055391391301169</v>
      </c>
      <c r="CQ16" s="15">
        <f>CA16-CI16-CJ16-CK16</f>
        <v>0.78092506040403531</v>
      </c>
      <c r="CR16" s="15"/>
      <c r="CS16" s="1">
        <f>BZ16/(BZ16+CT16)</f>
        <v>0.8647973880984523</v>
      </c>
      <c r="CT16" s="15">
        <f>BX16-CF16</f>
        <v>0.14145405233672953</v>
      </c>
      <c r="CU16" s="59">
        <f>((0.5*BZ16/(0.5*BZ16+0.5*(BX16-CF16)+CB16+CA16+BY16)))*(0.5*BZ16/(0.5*BZ16+0.5*(BX16-CF16)+CD16+BV16+BT16))</f>
        <v>0.24477044915611978</v>
      </c>
      <c r="CV16" s="22">
        <f>CA16/(CA16+0.5*BZ16+0.5*(BX16-CF16)+BY16+CB16)</f>
        <v>0.6049906913301224</v>
      </c>
      <c r="CW16" s="22">
        <f>(BZ16/(CA16+BZ16+BX16-CF16+BY16+CB16))*(BZ16/(BX16+BW16+BT16+CD16+BZ16))</f>
        <v>0.34862749654568648</v>
      </c>
      <c r="CX16" s="22">
        <f t="shared" ref="CX16:CX38" si="11">(1-CF16-BV16-BT16-CD16)*CS16</f>
        <v>0.78527250280008287</v>
      </c>
      <c r="CY16" s="22">
        <f t="shared" ref="CY16:CY38" si="12">(1-CF16-BV16-BT16-CD16)*(1-CS16)</f>
        <v>0.12276967402328656</v>
      </c>
      <c r="CZ16" s="22">
        <f t="shared" ref="CZ16:CZ38" si="13">(1-CA16-CB16-BY16)*(CS16)</f>
        <v>0.11324782575544924</v>
      </c>
      <c r="DA16" s="22">
        <f t="shared" ref="DA16:DA38" si="14">(1-CA16-CB16-BY16)*(1-CS16)</f>
        <v>1.7705189730019149E-2</v>
      </c>
      <c r="DB16" s="22">
        <f t="shared" ref="DB16:DB38" si="15">(CZ16/(CZ16+DA16+CA16+CB16+BY16))*(CX16/(CX16+CY16+CF16+BV16+BT16+CD16))</f>
        <v>8.8930403567649308E-2</v>
      </c>
      <c r="DC16" s="22">
        <f t="shared" ref="DC16:DC38" si="16">(1-CA16-CB16-CC16)*(1-0.5*(BU16+BV16+CD16+CB16+CC16))</f>
        <v>0.12297717128927267</v>
      </c>
      <c r="DD16" s="1">
        <f t="shared" ref="DD16:DD38" si="17">R16/AT$9</f>
        <v>0.91538055698410403</v>
      </c>
      <c r="DE16" s="1">
        <f t="shared" ref="DE16:DE38" si="18">S16/AU$9</f>
        <v>4.2564485195070532E-3</v>
      </c>
      <c r="DF16" s="1">
        <f t="shared" ref="DF16:DF38" si="19">T16/AV$9</f>
        <v>1.4711507341042164E-2</v>
      </c>
      <c r="DG16" s="1">
        <f t="shared" ref="DG16:DG38" si="20">U16/AW$9</f>
        <v>0.15727997505790131</v>
      </c>
      <c r="DH16" s="1">
        <f t="shared" ref="DH16:DH38" si="21">V16/AX$9</f>
        <v>3.3832599118942732E-3</v>
      </c>
      <c r="DI16" s="1">
        <f t="shared" ref="DI16:DI38" si="22">W16/AY$9</f>
        <v>0.76170343684560493</v>
      </c>
      <c r="DJ16" s="1">
        <f t="shared" ref="DJ16:DJ38" si="23">X16/AZ$9</f>
        <v>1.6049246220402515E-2</v>
      </c>
      <c r="DK16" s="1">
        <f t="shared" ref="DK16:DK38" si="24">Y16/BA$9</f>
        <v>1.6134523200637637E-4</v>
      </c>
      <c r="DL16" s="1">
        <f t="shared" ref="DL16:DL38" si="25">Z16/BB$9</f>
        <v>0</v>
      </c>
      <c r="DM16" s="1">
        <f t="shared" ref="DM16:DM38" si="26">AA16/BC$9</f>
        <v>1.2500148028068755E-3</v>
      </c>
      <c r="DN16" s="1">
        <f>SUM(DD16:DM16)</f>
        <v>1.8741757909152696</v>
      </c>
      <c r="DP16" s="15">
        <f>DD16*2</f>
        <v>1.8307611139682081</v>
      </c>
      <c r="DQ16" s="15">
        <f>DE16*2</f>
        <v>8.5128970390141064E-3</v>
      </c>
      <c r="DR16" s="15">
        <f>DF16*3</f>
        <v>4.4134522023126489E-2</v>
      </c>
      <c r="DS16" s="15">
        <f t="shared" ref="DS16:DX16" si="27">DG16</f>
        <v>0.15727997505790131</v>
      </c>
      <c r="DT16" s="15">
        <f t="shared" si="27"/>
        <v>3.3832599118942732E-3</v>
      </c>
      <c r="DU16" s="15">
        <f t="shared" si="27"/>
        <v>0.76170343684560493</v>
      </c>
      <c r="DV16" s="15">
        <f t="shared" si="27"/>
        <v>1.6049246220402515E-2</v>
      </c>
      <c r="DW16" s="15">
        <f t="shared" si="27"/>
        <v>1.6134523200637637E-4</v>
      </c>
      <c r="DX16" s="15">
        <f t="shared" si="27"/>
        <v>0</v>
      </c>
      <c r="DY16" s="15">
        <f>DM16*3</f>
        <v>3.7500444084206264E-3</v>
      </c>
      <c r="DZ16" s="15">
        <f>SUM(DP16:DY16)</f>
        <v>2.8257358407065785</v>
      </c>
      <c r="EA16" s="15">
        <f>6/DZ16</f>
        <v>2.1233407290115602</v>
      </c>
      <c r="EC16" s="22">
        <f>DD16*$EA16</f>
        <v>1.9436648191896355</v>
      </c>
      <c r="ED16" s="22">
        <f>DE16*$EA16</f>
        <v>9.0378905024102833E-3</v>
      </c>
      <c r="EE16" s="22">
        <f>2-EC16</f>
        <v>5.6335180810364482E-2</v>
      </c>
      <c r="EF16" s="22">
        <f>IF(EG16-EE16&lt;0,0,EG16-EE16)</f>
        <v>6.1399046344102967E-3</v>
      </c>
      <c r="EG16" s="22">
        <f>DF16*$EA16*2</f>
        <v>6.2475085444774779E-2</v>
      </c>
      <c r="EH16" s="22">
        <f>DG16*$EA16</f>
        <v>0.33395897689836418</v>
      </c>
      <c r="EI16" s="22">
        <f>DH16*$EA16</f>
        <v>7.1838135677571727E-3</v>
      </c>
      <c r="EJ16" s="22">
        <f>DI16*$EA16</f>
        <v>1.6173559308823577</v>
      </c>
      <c r="EK16" s="22">
        <f>DJ16*$EA16</f>
        <v>3.4078018169715507E-2</v>
      </c>
      <c r="EL16" s="22">
        <f>DK16*$EA16*2</f>
        <v>6.8518180510191708E-4</v>
      </c>
      <c r="EM16" s="22">
        <f>DL16*$EA16*2</f>
        <v>0</v>
      </c>
      <c r="EN16" s="22">
        <f>DM16*$EA16*2</f>
        <v>5.3084146853343856E-3</v>
      </c>
      <c r="EO16" s="15">
        <f>EC16+ED16+EG16+EH16+EI16+EJ16+EK16+EL16+EM16+EN16</f>
        <v>4.0137481311454515</v>
      </c>
      <c r="EP16" s="15">
        <f>IF(EL16+EE16-EF16-2*ED16-EN16&gt;0,EL16+EE16-EF16-2*ED16-EN16,0)</f>
        <v>2.7496262290901151E-2</v>
      </c>
      <c r="EQ16" s="15">
        <f>12-48/EO16</f>
        <v>4.110312066301347E-2</v>
      </c>
      <c r="ER16" s="15">
        <f>EL16</f>
        <v>6.8518180510191708E-4</v>
      </c>
      <c r="ES16" s="15">
        <f>ED16</f>
        <v>9.0378905024102833E-3</v>
      </c>
      <c r="ET16" s="15">
        <f>EN16</f>
        <v>5.3084146853343856E-3</v>
      </c>
      <c r="EU16" s="15">
        <f>(EF16-ER16-ET16)</f>
        <v>1.4630814397399369E-4</v>
      </c>
      <c r="EV16" s="15">
        <f>EK16</f>
        <v>3.4078018169715507E-2</v>
      </c>
      <c r="EW16" s="15">
        <f>((EH16+EJ16+EI16)-ES16-EU16-EV16)/2</f>
        <v>0.95761825226618957</v>
      </c>
      <c r="EX16" s="15">
        <f>EW16*(EJ16/(EJ16+EH16+EI16))</f>
        <v>0.79081469032439422</v>
      </c>
      <c r="EY16" s="15">
        <f>EV16*(EJ16/(EJ16+EH16+EI16))</f>
        <v>2.8142109156730561E-2</v>
      </c>
      <c r="EZ16" s="59">
        <f>((0.5*EJ16/(0.5*(EH16-EP16)+0.5*EJ16+EL16+EK16+EI16)))*(0.5*EJ16/(0.5*EJ16+0.5*(EH16-EP16)+ED16+EF16+EN16+EP16))</f>
        <v>0.64506697957585557</v>
      </c>
      <c r="FA16" s="15">
        <f>EK16/(EK16+FG16+FH16+EI16+EL16)</f>
        <v>3.4078018169715507E-2</v>
      </c>
      <c r="FB16" s="15">
        <f>(EH16-EP16)/((EH16-EP16)+EJ16)</f>
        <v>0.15929917059798274</v>
      </c>
      <c r="FC16" s="15">
        <f>(EJ16/(EK16+EJ16-EP16+EH16+EI16+EL16))*(EJ16/(EP16+EH16-EP16+EG16+ED16+EN16+EJ16))</f>
        <v>0.65611856915193867</v>
      </c>
      <c r="FD16" s="22">
        <f>EJ16/(EJ16+(EH16-EP16))</f>
        <v>0.84070082940201729</v>
      </c>
      <c r="FE16" s="22">
        <f>(1-EP16-EF16-ED16-EN16)*FD16</f>
        <v>0.80036192529981176</v>
      </c>
      <c r="FF16" s="22">
        <f>(1-EP16-EF16-ED16-EN16)*(1-FD16)</f>
        <v>0.15165560258713204</v>
      </c>
      <c r="FG16" s="22">
        <f>(1-EK16-EL16-EI16)*FD16</f>
        <v>0.8054359403258371</v>
      </c>
      <c r="FH16" s="22">
        <f>(1-EK16-EL16-EI16)*(1-FD16)</f>
        <v>0.15261704613158822</v>
      </c>
      <c r="FI16" s="58">
        <f>(FG16/(FG16+FH16+EK16+EL16+EI16))*(FE16/(EP16+ED16+EF16+EN16+FE16+FF16))</f>
        <v>0.64464025990485141</v>
      </c>
      <c r="FJ16" s="15">
        <f>SUM(ER16:EW16)</f>
        <v>1.0068740655727257</v>
      </c>
      <c r="FL16" s="1">
        <f t="shared" ref="FL16:FL38" si="28">D16</f>
        <v>0</v>
      </c>
      <c r="FM16" s="1">
        <f>GS16</f>
        <v>0</v>
      </c>
      <c r="FO16" s="1">
        <f t="shared" ref="FO16:FO38" si="29">((1-BW16/2)*(1-CA16))/((1-EG16/2)*(1-EK16))</f>
        <v>0.15768772729023242</v>
      </c>
      <c r="FP16" s="1">
        <f>1616.67+287.935*LN(FO16)+2.933*FM16</f>
        <v>1084.8141439883721</v>
      </c>
      <c r="FR16" s="1">
        <f t="shared" ref="FR16:FR38" si="30">(-7-FM16*0.06188+34*(EV16^2)-(21.905-FM16*0.05229)*CQ16^2)/(0.0083143*LN(CM16/EW16)+0.004431*CQ16^2-0.00397)</f>
        <v>1177.1984654281875</v>
      </c>
      <c r="FS16" s="1">
        <f t="shared" ref="FS16:FS38" si="31">(-7-FM16*0.06188+34*(EY16^2)-(21.905-FM16*0.05229)*CO16^2)/(0.0083143*LN(CN16/EX16)+0.004431*CO16^2-0.00397)</f>
        <v>936.04790762491405</v>
      </c>
      <c r="FT16" s="1">
        <f t="shared" ref="FT16:FT38" si="32">(12.909+FM16*0.1633+34*EW16^2-(21.905-FM16*0.05229)*CM16^2)/(0.0083143*LN(CQ16/EV16)+0.004431*CM16^2+0.0085)</f>
        <v>1260.8968491640676</v>
      </c>
      <c r="FU16" s="1">
        <f t="shared" ref="FU16:FU38" si="33">(12.909+FM16*0.1633+34*EX16^2-(21.905-FM16*0.05229)*CN16^2)/(0.0083143*LN(CO16/EY16)+0.004431*CN16^2+0.0085)</f>
        <v>971.81988160335777</v>
      </c>
      <c r="FV16" s="1">
        <f>DB16/FI16</f>
        <v>0.13795353641234787</v>
      </c>
      <c r="FW16" s="1">
        <f>-273.15+(4900/(1.807-LN(FV16)))</f>
        <v>1020.4638124317927</v>
      </c>
      <c r="FX16" s="1">
        <f t="shared" ref="FX16:FX38" si="34">-273.15+(7045/(2.47-LN(FA16/CV16)))</f>
        <v>1044.519550126759</v>
      </c>
      <c r="FZ16" s="1">
        <f>-273.15+(-10202/(LN(DB16/FI16)-7.65*(1-FD16)+3.88*(1-FD16)^2-4.6))</f>
        <v>1051.6100516872502</v>
      </c>
      <c r="GA16" s="1">
        <f>-273.15+(3666/(0.8808-LN(EF16/(0.5*EJ16))))</f>
        <v>363.15460803264079</v>
      </c>
      <c r="GC16" s="1">
        <f t="shared" ref="GC16:GC38" si="35">10*(1.279/(EK16/(1-CA16)+0.006)-2.29)</f>
        <v>34.706951058340643</v>
      </c>
      <c r="GD16" s="1">
        <f t="shared" ref="GD16:GD38" si="36">10*(1.073/(EK16/(1-CA16)+0.028)-1.65)</f>
        <v>27.471478003670629</v>
      </c>
      <c r="GF16" s="1">
        <f>26.23-0.02229*FM16</f>
        <v>26.23</v>
      </c>
      <c r="GG16" s="1">
        <f>32.44-0.08646*FM16</f>
        <v>32.44</v>
      </c>
      <c r="GH16" s="1">
        <f>28.6-1.749*FM16</f>
        <v>28.6</v>
      </c>
      <c r="GI16" s="1">
        <f t="shared" ref="GI16:GI38" si="37">-273.15+((4.261+0.059*FM16+GF16*CV16^2*(1-2*DB16)+2*GG16*DB16*CV16^2-GH16*FA16^2)/(0.002721-0.0083143*LN(DB16/FI16)))</f>
        <v>468.50627345160001</v>
      </c>
      <c r="GJ16" s="1">
        <f t="shared" ref="GJ16:GJ38" si="38">-273.15+(-35.92-1.753*FM16+GG16*DB16^2*(1-2*CV16)+2*GF16*CV16*DB16^2-GH16*FI16^2)/(-0.02097-0.0083143*LN(CV16/FA16))</f>
        <v>787.4767742125108</v>
      </c>
      <c r="GL16" s="1">
        <f>-273.15+(6425+26.4*FM16)/(-LN(EK16)+1.843)</f>
        <v>957.19730087712458</v>
      </c>
      <c r="GM16" s="1">
        <f>-273.15+((35000+61.5*FM16)/((LN(EL16/CB16))^2+19.8))</f>
        <v>811.63230397395284</v>
      </c>
      <c r="GO16" s="1">
        <f>-273.15+(7341/(3.355+2.44*(1-FD16)-LN(DB16/FI16)))</f>
        <v>1009.2263968584488</v>
      </c>
      <c r="GQ16" s="1">
        <f t="shared" ref="GQ16:GQ38" si="39">IF(BZ16/(BZ16+BX16)&gt;0.7,AJ16,0)</f>
        <v>2.187906664891905</v>
      </c>
      <c r="GR16" s="1">
        <f>IF(GQ16=0,0,GQ16-FM16)</f>
        <v>2.187906664891905</v>
      </c>
      <c r="GS16" s="2">
        <f t="shared" ref="GS16:GS38" si="40">10*C16</f>
        <v>0</v>
      </c>
    </row>
    <row r="17" spans="1:201" ht="13.8" x14ac:dyDescent="0.25">
      <c r="A17" s="1" t="s">
        <v>39</v>
      </c>
      <c r="B17" s="1" t="s">
        <v>40</v>
      </c>
      <c r="C17" s="23">
        <v>1.5</v>
      </c>
      <c r="D17" s="2">
        <v>1325</v>
      </c>
      <c r="F17" s="1">
        <v>4261</v>
      </c>
      <c r="G17" s="23">
        <v>51.7</v>
      </c>
      <c r="H17" s="23">
        <v>0.28000000000000003</v>
      </c>
      <c r="I17" s="23">
        <v>8.3800000000000008</v>
      </c>
      <c r="J17" s="23">
        <v>6.69</v>
      </c>
      <c r="K17" s="23">
        <v>0.15</v>
      </c>
      <c r="L17" s="23">
        <v>21.4</v>
      </c>
      <c r="M17" s="23">
        <v>11.7</v>
      </c>
      <c r="N17" s="23">
        <v>0.64</v>
      </c>
      <c r="O17" s="23">
        <v>0</v>
      </c>
      <c r="P17" s="23">
        <v>0.05</v>
      </c>
      <c r="R17" s="23">
        <v>52.7</v>
      </c>
      <c r="S17" s="23">
        <v>0.15</v>
      </c>
      <c r="T17" s="23">
        <v>8.1</v>
      </c>
      <c r="U17" s="23">
        <v>8.48</v>
      </c>
      <c r="V17" s="23">
        <v>0.14000000000000001</v>
      </c>
      <c r="W17" s="23">
        <v>29.4</v>
      </c>
      <c r="X17" s="23">
        <v>2.14</v>
      </c>
      <c r="Y17" s="23">
        <v>0.14000000000000001</v>
      </c>
      <c r="Z17" s="23">
        <v>0</v>
      </c>
      <c r="AA17" s="23">
        <v>0</v>
      </c>
      <c r="AC17" s="50">
        <f t="shared" ref="AC17:AC38" ca="1" si="41">AH17</f>
        <v>1303.9317468360489</v>
      </c>
      <c r="AD17" s="50">
        <f t="shared" ca="1" si="0"/>
        <v>15.878754353509716</v>
      </c>
      <c r="AE17" s="66">
        <f t="shared" ref="AE17:AE38" si="42">AY17/(AY17+AW17)</f>
        <v>0.85079460691140329</v>
      </c>
      <c r="AF17" s="27">
        <f t="shared" ca="1" si="1"/>
        <v>1320.3392019305543</v>
      </c>
      <c r="AG17" s="27"/>
      <c r="AH17" s="27">
        <f t="shared" ca="1" si="2"/>
        <v>1303.9317468360489</v>
      </c>
      <c r="AI17" s="27">
        <f t="shared" ca="1" si="3"/>
        <v>1301.7311841206704</v>
      </c>
      <c r="AJ17" s="27">
        <f t="shared" si="4"/>
        <v>16.535654125200679</v>
      </c>
      <c r="AK17" s="27">
        <f t="shared" ca="1" si="5"/>
        <v>15.878754353509716</v>
      </c>
      <c r="AL17" s="27">
        <f t="shared" ref="AL17:AL38" si="43">FZ17</f>
        <v>1387.0380176349859</v>
      </c>
      <c r="AM17" s="27">
        <f t="shared" ref="AM17:AM38" si="44">AN17+273.15</f>
        <v>1707.0456776412161</v>
      </c>
      <c r="AN17" s="27">
        <f t="shared" ref="AN17:AN38" si="45">GO17</f>
        <v>1433.895677641216</v>
      </c>
      <c r="AO17" s="29">
        <f t="shared" ca="1" si="6"/>
        <v>1358.7865403327735</v>
      </c>
      <c r="AP17" s="42">
        <f t="shared" si="7"/>
        <v>1.0838366249338742</v>
      </c>
      <c r="AQ17" s="44"/>
      <c r="AR17" s="1">
        <f t="shared" si="8"/>
        <v>0.14263907225534256</v>
      </c>
      <c r="AT17" s="1">
        <f t="shared" ref="AT17:AT38" si="46">G17/AT$9</f>
        <v>0.86045772356505779</v>
      </c>
      <c r="AU17" s="1">
        <f t="shared" ref="AU17:AU38" si="47">H17/AU$9</f>
        <v>3.5053105454763973E-3</v>
      </c>
      <c r="AV17" s="1">
        <f t="shared" ref="AV17:AV38" si="48">I17/AV$9</f>
        <v>8.2188287678622227E-2</v>
      </c>
      <c r="AW17" s="1">
        <f t="shared" ref="AW17:AW38" si="49">J17/AW$9</f>
        <v>9.3115312667022984E-2</v>
      </c>
      <c r="AX17" s="1">
        <f t="shared" ref="AX17:AX38" si="50">K17/AX$9</f>
        <v>2.1145374449339205E-3</v>
      </c>
      <c r="AY17" s="1">
        <f t="shared" ref="AY17:AY38" si="51">L17/AY$9</f>
        <v>0.53095939897380928</v>
      </c>
      <c r="AZ17" s="1">
        <f t="shared" ref="AZ17:AZ38" si="52">M17/AZ$9</f>
        <v>0.20864020086523269</v>
      </c>
      <c r="BA17" s="1">
        <f t="shared" ref="BA17:BA38" si="53">N17/BA$9</f>
        <v>1.0326094848408088E-2</v>
      </c>
      <c r="BB17" s="1">
        <f t="shared" ref="BB17:BB38" si="54">O17/BB$9</f>
        <v>0</v>
      </c>
      <c r="BC17" s="1">
        <f t="shared" ref="BC17:BC38" si="55">P17/BC$9</f>
        <v>3.2895126389654618E-4</v>
      </c>
      <c r="BD17" s="1">
        <f t="shared" ref="BD17:BD22" si="56">SUM(AT17:BC17)</f>
        <v>1.7916358178524598</v>
      </c>
      <c r="BF17" s="15">
        <f t="shared" ref="BF17:BG22" si="57">AT17*2</f>
        <v>1.7209154471301156</v>
      </c>
      <c r="BG17" s="15">
        <f t="shared" si="57"/>
        <v>7.0106210909527946E-3</v>
      </c>
      <c r="BH17" s="15">
        <f t="shared" ref="BH17:BH22" si="58">AV17*3</f>
        <v>0.24656486303586667</v>
      </c>
      <c r="BI17" s="15">
        <f t="shared" ref="BI17:BN22" si="59">AW17</f>
        <v>9.3115312667022984E-2</v>
      </c>
      <c r="BJ17" s="15">
        <f t="shared" si="59"/>
        <v>2.1145374449339205E-3</v>
      </c>
      <c r="BK17" s="15">
        <f t="shared" si="59"/>
        <v>0.53095939897380928</v>
      </c>
      <c r="BL17" s="15">
        <f t="shared" si="59"/>
        <v>0.20864020086523269</v>
      </c>
      <c r="BM17" s="15">
        <f t="shared" si="59"/>
        <v>1.0326094848408088E-2</v>
      </c>
      <c r="BN17" s="15">
        <f t="shared" si="59"/>
        <v>0</v>
      </c>
      <c r="BO17" s="15">
        <f t="shared" ref="BO17:BO22" si="60">BC17*3</f>
        <v>9.8685379168963853E-4</v>
      </c>
      <c r="BP17" s="15">
        <f t="shared" ref="BP17:BP22" si="61">SUM(BF17:BO17)</f>
        <v>2.8206333298480319</v>
      </c>
      <c r="BQ17" s="15">
        <f t="shared" ref="BQ17:BQ22" si="62">6/BP17</f>
        <v>2.1271818412226109</v>
      </c>
      <c r="BS17" s="22">
        <f t="shared" ref="BS17:BS38" si="63">AT17*$BQ17</f>
        <v>1.830350044707336</v>
      </c>
      <c r="BT17" s="22">
        <f t="shared" ref="BT17:BT38" si="64">AU17*$BQ17</f>
        <v>7.4564329401835177E-3</v>
      </c>
      <c r="BU17" s="22">
        <f t="shared" ref="BU17:BU22" si="65">2-BS17</f>
        <v>0.16964995529266402</v>
      </c>
      <c r="BV17" s="22">
        <f t="shared" ref="BV17:BV22" si="66">IF(BW17-BU17&lt;0,0,BW17-BU17)</f>
        <v>0.18000891092962651</v>
      </c>
      <c r="BW17" s="22">
        <f t="shared" ref="BW17:BW38" si="67">AV17*$BQ17*2</f>
        <v>0.34965886622229053</v>
      </c>
      <c r="BX17" s="22">
        <f t="shared" ref="BX17:BX38" si="68">AW17*$BQ17</f>
        <v>0.19807320224505706</v>
      </c>
      <c r="BY17" s="22">
        <f t="shared" ref="BY17:BY38" si="69">AX17*$BQ17</f>
        <v>4.4980056554486921E-3</v>
      </c>
      <c r="BZ17" s="22">
        <f t="shared" ref="BZ17:BZ38" si="70">AY17*$BQ17</f>
        <v>1.1294471919235585</v>
      </c>
      <c r="CA17" s="22">
        <f t="shared" ref="CA17:CA38" si="71">AZ17*$BQ17</f>
        <v>0.44381564662956102</v>
      </c>
      <c r="CB17" s="22">
        <f t="shared" ref="CB17:CB38" si="72">BA17*$BQ17*2</f>
        <v>4.3930962904552069E-2</v>
      </c>
      <c r="CC17" s="22">
        <f t="shared" ref="CC17:CC38" si="73">BB17*$BQ17*2</f>
        <v>0</v>
      </c>
      <c r="CD17" s="22">
        <f t="shared" ref="CD17:CD38" si="74">BC17*$BQ17*2</f>
        <v>1.3994783104159202E-3</v>
      </c>
      <c r="CE17" s="15">
        <f t="shared" ref="CE17:CE22" si="75">BS17+BT17+BW17+BX17+BY17+BZ17+CA17+CB17+CC17+CD17</f>
        <v>4.0086298315384035</v>
      </c>
      <c r="CF17" s="15">
        <f t="shared" ref="CF17:CF22" si="76">IF(CB17+BU17-BV17-2*BT17-CD17&gt;0,CB17+BU17-BV17-2*BT17-CD17,0)</f>
        <v>1.7259663076806622E-2</v>
      </c>
      <c r="CG17" s="15">
        <f t="shared" ref="CG17:CG22" si="77">12-48/CE17</f>
        <v>2.5833759367374753E-2</v>
      </c>
      <c r="CH17" s="15">
        <f t="shared" ref="CH17:CH22" si="78">IF(CB17&lt;BV17,CB17,BV17)</f>
        <v>4.3930962904552069E-2</v>
      </c>
      <c r="CI17" s="15">
        <f t="shared" ref="CI17:CI22" si="79">IF(BV17&gt;CB17,BV17-CB17,0)</f>
        <v>0.13607794802507445</v>
      </c>
      <c r="CJ17" s="15">
        <f t="shared" ref="CJ17:CJ22" si="80">IF(BU17&gt;CI17,(BU17-CI17)/2,0)</f>
        <v>1.6786003633794788E-2</v>
      </c>
      <c r="CK17" s="15">
        <f t="shared" ref="CK17:CK22" si="81">CD17/2</f>
        <v>6.9973915520796009E-4</v>
      </c>
      <c r="CL17" s="15">
        <f t="shared" ref="CL17:CL22" si="82">IF(CA17-CJ17-CI17-CK17&gt;0,CA17-CJ17-CI17-CK17,0)</f>
        <v>0.29025195581548385</v>
      </c>
      <c r="CM17" s="15">
        <f t="shared" ref="CM17:CM22" si="83">((BX17+BZ17)-CL17)/2</f>
        <v>0.51863421917656582</v>
      </c>
      <c r="CN17" s="15">
        <f t="shared" ref="CN17:CN22" si="84">CM17*(BZ17/(BZ17+BY17+BX17))</f>
        <v>0.43976116438167023</v>
      </c>
      <c r="CO17" s="15">
        <f t="shared" ref="CO17:CO22" si="85">CQ17*(BZ17/(BZ17+BY17+BX17))</f>
        <v>0.24611090694349172</v>
      </c>
      <c r="CP17" s="15">
        <f t="shared" ref="CP17:CP22" si="86">SUM(CH17:CM17)</f>
        <v>1.0063808287106788</v>
      </c>
      <c r="CQ17" s="15">
        <f t="shared" ref="CQ17:CQ22" si="87">CA17-CI17-CJ17-CK17</f>
        <v>0.29025195581548385</v>
      </c>
      <c r="CR17" s="15"/>
      <c r="CS17" s="1">
        <f t="shared" ref="CS17:CS22" si="88">BZ17/(BZ17+CT17)</f>
        <v>0.86200186353934094</v>
      </c>
      <c r="CT17" s="15">
        <f t="shared" ref="CT17:CT22" si="89">BX17-CF17</f>
        <v>0.18081353916825044</v>
      </c>
      <c r="CU17" s="59">
        <f t="shared" ref="CU17:CU38" si="90">((0.5*BZ17/(0.5*BZ17+0.5*(BX17-CF17)+CB17+CA17+BY17)))*(0.5*BZ17/(0.5*BZ17+0.5*(BX17-CF17)+CD17+BV17+BT17))</f>
        <v>0.32932638178379314</v>
      </c>
      <c r="CV17" s="22">
        <f t="shared" ref="CV17:CV38" si="91">CA17/(CA17+0.5*BZ17+0.5*(BX17-CF17)+BY17+CB17)</f>
        <v>0.38680959065803894</v>
      </c>
      <c r="CW17" s="22">
        <f t="shared" ref="CW17:CW22" si="92">(BZ17/(CA17+BZ17+BX17-CF17+BY17+CB17))*(BZ17/(BX17+BW17+BT17+CD17+BZ17))</f>
        <v>0.41974803184923765</v>
      </c>
      <c r="CX17" s="22">
        <f t="shared" si="11"/>
        <v>0.68432217312669164</v>
      </c>
      <c r="CY17" s="22">
        <f t="shared" si="12"/>
        <v>0.10955334161627599</v>
      </c>
      <c r="CZ17" s="22">
        <f t="shared" si="13"/>
        <v>0.43768608792873287</v>
      </c>
      <c r="DA17" s="22">
        <f t="shared" si="14"/>
        <v>7.0069296881705295E-2</v>
      </c>
      <c r="DB17" s="22">
        <f t="shared" si="15"/>
        <v>0.29951829483871067</v>
      </c>
      <c r="DC17" s="22">
        <f t="shared" si="16"/>
        <v>0.41108608449963269</v>
      </c>
      <c r="DD17" s="1">
        <f t="shared" si="17"/>
        <v>0.87710100641931421</v>
      </c>
      <c r="DE17" s="1">
        <f t="shared" si="18"/>
        <v>1.8778449350766412E-3</v>
      </c>
      <c r="DF17" s="1">
        <f t="shared" si="19"/>
        <v>7.9442139641627676E-2</v>
      </c>
      <c r="DG17" s="1">
        <f t="shared" si="20"/>
        <v>0.11802957420274363</v>
      </c>
      <c r="DH17" s="1">
        <f t="shared" si="21"/>
        <v>1.9735682819383262E-3</v>
      </c>
      <c r="DI17" s="1">
        <f t="shared" si="22"/>
        <v>0.7294488939172894</v>
      </c>
      <c r="DJ17" s="1">
        <f t="shared" si="23"/>
        <v>3.8161541012957094E-2</v>
      </c>
      <c r="DK17" s="1">
        <f t="shared" si="24"/>
        <v>2.2588332480892692E-3</v>
      </c>
      <c r="DL17" s="1">
        <f t="shared" si="25"/>
        <v>0</v>
      </c>
      <c r="DM17" s="1">
        <f t="shared" si="26"/>
        <v>0</v>
      </c>
      <c r="DN17" s="1">
        <f t="shared" ref="DN17:DN22" si="93">SUM(DD17:DM17)</f>
        <v>1.8482934016590362</v>
      </c>
      <c r="DP17" s="15">
        <f t="shared" ref="DP17:DQ22" si="94">DD17*2</f>
        <v>1.7542020128386284</v>
      </c>
      <c r="DQ17" s="15">
        <f t="shared" si="94"/>
        <v>3.7556898701532823E-3</v>
      </c>
      <c r="DR17" s="15">
        <f t="shared" ref="DR17:DR22" si="95">DF17*3</f>
        <v>0.23832641892488304</v>
      </c>
      <c r="DS17" s="15">
        <f t="shared" ref="DS17:DX22" si="96">DG17</f>
        <v>0.11802957420274363</v>
      </c>
      <c r="DT17" s="15">
        <f t="shared" si="96"/>
        <v>1.9735682819383262E-3</v>
      </c>
      <c r="DU17" s="15">
        <f t="shared" si="96"/>
        <v>0.7294488939172894</v>
      </c>
      <c r="DV17" s="15">
        <f t="shared" si="96"/>
        <v>3.8161541012957094E-2</v>
      </c>
      <c r="DW17" s="15">
        <f t="shared" si="96"/>
        <v>2.2588332480892692E-3</v>
      </c>
      <c r="DX17" s="15">
        <f t="shared" si="96"/>
        <v>0</v>
      </c>
      <c r="DY17" s="15">
        <f t="shared" ref="DY17:DY22" si="97">DM17*3</f>
        <v>0</v>
      </c>
      <c r="DZ17" s="15">
        <f t="shared" ref="DZ17:DZ22" si="98">SUM(DP17:DY17)</f>
        <v>2.886156532296682</v>
      </c>
      <c r="EA17" s="15">
        <f t="shared" ref="EA17:EA22" si="99">6/DZ17</f>
        <v>2.0788893231738377</v>
      </c>
      <c r="EC17" s="22">
        <f t="shared" ref="EC17:EC38" si="100">DD17*$EA17</f>
        <v>1.82339591759014</v>
      </c>
      <c r="ED17" s="22">
        <f t="shared" ref="ED17:ED38" si="101">DE17*$EA17</f>
        <v>3.9038317861068979E-3</v>
      </c>
      <c r="EE17" s="22">
        <f t="shared" ref="EE17:EE22" si="102">2-EC17</f>
        <v>0.17660408240986003</v>
      </c>
      <c r="EF17" s="22">
        <f t="shared" ref="EF17:EF22" si="103">IF(EG17-EE17&lt;0,0,EG17-EE17)</f>
        <v>0.15369874941226969</v>
      </c>
      <c r="EG17" s="22">
        <f t="shared" ref="EG17:EG38" si="104">DF17*$EA17*2</f>
        <v>0.33030283182212972</v>
      </c>
      <c r="EH17" s="22">
        <f t="shared" ref="EH17:EH38" si="105">DG17*$EA17</f>
        <v>0.24537042162883796</v>
      </c>
      <c r="EI17" s="22">
        <f t="shared" ref="EI17:EI38" si="106">DH17*$EA17</f>
        <v>4.1028300298761207E-3</v>
      </c>
      <c r="EJ17" s="22">
        <f t="shared" ref="EJ17:EJ38" si="107">DI17*$EA17</f>
        <v>1.5164435173656183</v>
      </c>
      <c r="EK17" s="22">
        <f t="shared" ref="EK17:EK38" si="108">DJ17*$EA17</f>
        <v>7.9333620167697017E-2</v>
      </c>
      <c r="EL17" s="22">
        <f t="shared" ref="EL17:EL38" si="109">DK17*$EA17*2</f>
        <v>9.3917286445657239E-3</v>
      </c>
      <c r="EM17" s="22">
        <f t="shared" ref="EM17:EM38" si="110">DL17*$EA17*2</f>
        <v>0</v>
      </c>
      <c r="EN17" s="22">
        <f t="shared" ref="EN17:EN38" si="111">DM17*$EA17*2</f>
        <v>0</v>
      </c>
      <c r="EO17" s="15">
        <f t="shared" ref="EO17:EO22" si="112">EC17+ED17+EG17+EH17+EI17+EJ17+EK17+EL17+EM17+EN17</f>
        <v>4.0122446990349712</v>
      </c>
      <c r="EP17" s="15">
        <f t="shared" ref="EP17:EP22" si="113">IF(EL17+EE17-EF17-2*ED17-EN17&gt;0,EL17+EE17-EF17-2*ED17-EN17,0)</f>
        <v>2.448939806994227E-2</v>
      </c>
      <c r="EQ17" s="15">
        <f t="shared" ref="EQ17:EQ22" si="114">12-48/EO17</f>
        <v>3.6621990791088521E-2</v>
      </c>
      <c r="ER17" s="15">
        <f t="shared" ref="ER17:ER22" si="115">EL17</f>
        <v>9.3917286445657239E-3</v>
      </c>
      <c r="ES17" s="15">
        <f t="shared" ref="ES17:ES22" si="116">ED17</f>
        <v>3.9038317861068979E-3</v>
      </c>
      <c r="ET17" s="15">
        <f t="shared" ref="ET17:ET22" si="117">EN17</f>
        <v>0</v>
      </c>
      <c r="EU17" s="15">
        <f t="shared" ref="EU17:EU22" si="118">(EF17-ER17-ET17)</f>
        <v>0.14430702076770396</v>
      </c>
      <c r="EV17" s="15">
        <f t="shared" ref="EV17:EV22" si="119">EK17</f>
        <v>7.9333620167697017E-2</v>
      </c>
      <c r="EW17" s="15">
        <f t="shared" ref="EW17:EW22" si="120">((EH17+EJ17+EI17)-ES17-EU17-EV17)/2</f>
        <v>0.76918614815141229</v>
      </c>
      <c r="EX17" s="15">
        <f t="shared" ref="EX17:EX22" si="121">EW17*(EJ17/(EJ17+EH17+EI17))</f>
        <v>0.66052226722785434</v>
      </c>
      <c r="EY17" s="15">
        <f t="shared" ref="EY17:EY22" si="122">EV17*(EJ17/(EJ17+EH17+EI17))</f>
        <v>6.8126061274631194E-2</v>
      </c>
      <c r="EZ17" s="59">
        <f t="shared" ref="EZ17:EZ38" si="123">((0.5*EJ17/(0.5*(EH17-EP17)+0.5*EJ17+EL17+EK17+EI17)))*(0.5*EJ17/(0.5*EJ17+0.5*(EH17-EP17)+ED17+EF17+EN17+EP17))</f>
        <v>0.56904466575851786</v>
      </c>
      <c r="FA17" s="15">
        <f t="shared" ref="FA17:FA38" si="124">EK17/(EK17+FG17+FH17+EI17+EL17)</f>
        <v>7.9333620167697017E-2</v>
      </c>
      <c r="FB17" s="15">
        <f t="shared" ref="FB17:FB22" si="125">(EH17-EP17)/((EH17-EP17)+EJ17)</f>
        <v>0.12713860787423995</v>
      </c>
      <c r="FC17" s="15">
        <f t="shared" ref="FC17:FC22" si="126">(EJ17/(EK17+EJ17-EP17+EH17+EI17+EL17))*(EJ17/(EP17+EH17-EP17+EG17+ED17+EN17+EJ17))</f>
        <v>0.5994729607303404</v>
      </c>
      <c r="FD17" s="22">
        <f t="shared" ref="FD17:FD38" si="127">EJ17/(EJ17+(EH17-EP17))</f>
        <v>0.87286139212576008</v>
      </c>
      <c r="FE17" s="22">
        <f t="shared" ref="FE17:FE38" si="128">(1-EP17-EF17-ED17-EN17)*FD17</f>
        <v>0.71392033360668017</v>
      </c>
      <c r="FF17" s="22">
        <f t="shared" ref="FF17:FF38" si="129">(1-EP17-EF17-ED17-EN17)*(1-FD17)</f>
        <v>0.10398768712500089</v>
      </c>
      <c r="FG17" s="22">
        <f t="shared" ref="FG17:FG38" si="130">(1-EK17-EL17-EI17)*FD17</f>
        <v>0.79183525871311167</v>
      </c>
      <c r="FH17" s="22">
        <f t="shared" ref="FH17:FH38" si="131">(1-EK17-EL17-EI17)*(1-FD17)</f>
        <v>0.11533656244474941</v>
      </c>
      <c r="FI17" s="58">
        <f t="shared" ref="FI17:FI38" si="132">(FG17/(FG17+FH17+EK17+EL17+EI17))*(FE17/(EP17+ED17+EF17+EN17+FE17+FF17))</f>
        <v>0.5653072920619967</v>
      </c>
      <c r="FJ17" s="15">
        <f t="shared" ref="FJ17:FJ22" si="133">SUM(ER17:EW17)</f>
        <v>1.0061223495174858</v>
      </c>
      <c r="FL17" s="1">
        <f t="shared" si="28"/>
        <v>1325</v>
      </c>
      <c r="FM17" s="1">
        <f t="shared" ref="FM17:FM38" si="134">GS17</f>
        <v>15</v>
      </c>
      <c r="FO17" s="1">
        <f t="shared" si="29"/>
        <v>0.59710745932102904</v>
      </c>
      <c r="FP17" s="1">
        <f t="shared" ref="FP17:FP22" si="135">1616.67+287.935*LN(FO17)+2.933*FM17</f>
        <v>1512.188961099579</v>
      </c>
      <c r="FR17" s="1">
        <f t="shared" si="30"/>
        <v>1381.1494651748965</v>
      </c>
      <c r="FS17" s="1">
        <f t="shared" si="31"/>
        <v>1277.5081621044612</v>
      </c>
      <c r="FT17" s="1">
        <f t="shared" si="32"/>
        <v>1455.0259374653015</v>
      </c>
      <c r="FU17" s="1">
        <f t="shared" si="33"/>
        <v>1303.0469827931074</v>
      </c>
      <c r="FV17" s="1">
        <f t="shared" ref="FV17:FV38" si="136">DB17/FI17</f>
        <v>0.52983271053553438</v>
      </c>
      <c r="FW17" s="1">
        <f t="shared" ref="FW17:FW22" si="137">-273.15+(4900/(1.807-LN(FV17)))</f>
        <v>1733.2426431390159</v>
      </c>
      <c r="FX17" s="1">
        <f t="shared" si="34"/>
        <v>1464.523867573555</v>
      </c>
      <c r="FZ17" s="1">
        <f t="shared" ref="FZ17:FZ38" si="138">-273.15+(-10202/(LN(DB17/FI17)-7.65*(1-FD17)+3.88*(1-FD17)^2-4.6))</f>
        <v>1387.0380176349859</v>
      </c>
      <c r="GA17" s="1">
        <f t="shared" ref="GA17:GA22" si="139">-273.15+(3666/(0.8808-LN(EF17/(0.5*EJ17))))</f>
        <v>1206.9967824118462</v>
      </c>
      <c r="GC17" s="1">
        <f t="shared" si="35"/>
        <v>63.147361611813928</v>
      </c>
      <c r="GD17" s="1">
        <f t="shared" si="36"/>
        <v>46.381260769771053</v>
      </c>
      <c r="GF17" s="1">
        <f t="shared" ref="GF17:GF22" si="140">26.23-0.02229*FM17</f>
        <v>25.89565</v>
      </c>
      <c r="GG17" s="1">
        <f t="shared" ref="GG17:GG22" si="141">32.44-0.08646*FM17</f>
        <v>31.143099999999997</v>
      </c>
      <c r="GH17" s="1">
        <f t="shared" ref="GH17:GH22" si="142">28.6-1.749*FM17</f>
        <v>2.3649999999999984</v>
      </c>
      <c r="GI17" s="1">
        <f t="shared" si="37"/>
        <v>911.02388077655303</v>
      </c>
      <c r="GJ17" s="1">
        <f t="shared" si="38"/>
        <v>1500.0592444827544</v>
      </c>
      <c r="GL17" s="1">
        <f t="shared" ref="GL17:GL38" si="143">-273.15+(6425+26.4*FM17)/(-LN(EK17)+1.843)</f>
        <v>1285.1901052062267</v>
      </c>
      <c r="GM17" s="1">
        <f>-273.15+((35000+61.5*FM17)/((LN(EL17/CB17))^2+19.8))</f>
        <v>1346.425043260524</v>
      </c>
      <c r="GO17" s="1">
        <f t="shared" ref="GO17:GO38" si="144">-273.15+(7341/(3.355+2.44*(1-FD17)-LN(DB17/FI17)))</f>
        <v>1433.895677641216</v>
      </c>
      <c r="GQ17" s="1">
        <f t="shared" si="39"/>
        <v>16.535654125200679</v>
      </c>
      <c r="GR17" s="1">
        <f t="shared" ref="GR17:GR38" si="145">IF(GQ17=0,0,GQ17-FM17)</f>
        <v>1.5356541252006792</v>
      </c>
      <c r="GS17" s="2">
        <f t="shared" si="40"/>
        <v>15</v>
      </c>
    </row>
    <row r="18" spans="1:201" ht="13.8" x14ac:dyDescent="0.25">
      <c r="A18" s="1" t="s">
        <v>39</v>
      </c>
      <c r="B18" s="1" t="s">
        <v>41</v>
      </c>
      <c r="C18" s="23">
        <v>1.5</v>
      </c>
      <c r="D18" s="2">
        <v>1340</v>
      </c>
      <c r="F18" s="1">
        <v>4260</v>
      </c>
      <c r="G18" s="23">
        <v>51.5</v>
      </c>
      <c r="H18" s="23">
        <v>0.45</v>
      </c>
      <c r="I18" s="23">
        <v>8.1</v>
      </c>
      <c r="J18" s="23">
        <v>6.96</v>
      </c>
      <c r="K18" s="23">
        <v>0.17</v>
      </c>
      <c r="L18" s="23">
        <v>20.3</v>
      </c>
      <c r="M18" s="23">
        <v>12.6</v>
      </c>
      <c r="N18" s="23">
        <v>0.56000000000000005</v>
      </c>
      <c r="O18" s="23">
        <v>0</v>
      </c>
      <c r="P18" s="23">
        <v>0.09</v>
      </c>
      <c r="R18" s="23">
        <v>53.2</v>
      </c>
      <c r="S18" s="23">
        <v>0.2</v>
      </c>
      <c r="T18" s="23">
        <v>7.4</v>
      </c>
      <c r="U18" s="23">
        <v>8.8000000000000007</v>
      </c>
      <c r="V18" s="23">
        <v>0.13</v>
      </c>
      <c r="W18" s="23">
        <v>29.2</v>
      </c>
      <c r="X18" s="23">
        <v>2.37</v>
      </c>
      <c r="Y18" s="23">
        <v>0.14000000000000001</v>
      </c>
      <c r="Z18" s="23">
        <v>0</v>
      </c>
      <c r="AA18" s="23">
        <v>0.02</v>
      </c>
      <c r="AC18" s="50">
        <f t="shared" ca="1" si="41"/>
        <v>1300.2853359850662</v>
      </c>
      <c r="AD18" s="50">
        <f t="shared" ca="1" si="0"/>
        <v>14.70263849337786</v>
      </c>
      <c r="AE18" s="66">
        <f t="shared" si="42"/>
        <v>0.83868974338860236</v>
      </c>
      <c r="AF18" s="27">
        <f t="shared" ca="1" si="1"/>
        <v>1304.901404593284</v>
      </c>
      <c r="AG18" s="27"/>
      <c r="AH18" s="27">
        <f t="shared" ca="1" si="2"/>
        <v>1300.2853359850662</v>
      </c>
      <c r="AI18" s="27">
        <f t="shared" ca="1" si="3"/>
        <v>1298.5481783650869</v>
      </c>
      <c r="AJ18" s="27">
        <f t="shared" si="4"/>
        <v>14.45033912450603</v>
      </c>
      <c r="AK18" s="27">
        <f t="shared" ca="1" si="5"/>
        <v>14.70263849337786</v>
      </c>
      <c r="AL18" s="27">
        <f t="shared" si="43"/>
        <v>1346.6910994122554</v>
      </c>
      <c r="AM18" s="27">
        <f t="shared" si="44"/>
        <v>1662.7586878722741</v>
      </c>
      <c r="AN18" s="27">
        <f t="shared" si="45"/>
        <v>1389.608687872274</v>
      </c>
      <c r="AO18" s="29">
        <f t="shared" ca="1" si="6"/>
        <v>1334.2983472456465</v>
      </c>
      <c r="AP18" s="42">
        <f t="shared" si="7"/>
        <v>1.1376623376623378</v>
      </c>
      <c r="AQ18" s="44"/>
      <c r="AR18" s="1">
        <f t="shared" si="8"/>
        <v>0.16924753881846949</v>
      </c>
      <c r="AT18" s="1">
        <f t="shared" si="46"/>
        <v>0.85712906699420643</v>
      </c>
      <c r="AU18" s="1">
        <f t="shared" si="47"/>
        <v>5.6335348052299235E-3</v>
      </c>
      <c r="AV18" s="1">
        <f t="shared" si="48"/>
        <v>7.9442139641627676E-2</v>
      </c>
      <c r="AW18" s="1">
        <f t="shared" si="49"/>
        <v>9.6873329770176375E-2</v>
      </c>
      <c r="AX18" s="1">
        <f t="shared" si="50"/>
        <v>2.3964757709251101E-3</v>
      </c>
      <c r="AY18" s="1">
        <f t="shared" si="51"/>
        <v>0.50366709341908078</v>
      </c>
      <c r="AZ18" s="1">
        <f t="shared" si="52"/>
        <v>0.22468944708563521</v>
      </c>
      <c r="BA18" s="1">
        <f t="shared" si="53"/>
        <v>9.0353329923570768E-3</v>
      </c>
      <c r="BB18" s="1">
        <f t="shared" si="54"/>
        <v>0</v>
      </c>
      <c r="BC18" s="1">
        <f t="shared" si="55"/>
        <v>5.9211227501378301E-4</v>
      </c>
      <c r="BD18" s="1">
        <f t="shared" si="56"/>
        <v>1.7794585327542527</v>
      </c>
      <c r="BF18" s="15">
        <f t="shared" si="57"/>
        <v>1.7142581339884129</v>
      </c>
      <c r="BG18" s="15">
        <f t="shared" si="57"/>
        <v>1.1267069610459847E-2</v>
      </c>
      <c r="BH18" s="15">
        <f t="shared" si="58"/>
        <v>0.23832641892488304</v>
      </c>
      <c r="BI18" s="15">
        <f t="shared" si="59"/>
        <v>9.6873329770176375E-2</v>
      </c>
      <c r="BJ18" s="15">
        <f t="shared" si="59"/>
        <v>2.3964757709251101E-3</v>
      </c>
      <c r="BK18" s="15">
        <f t="shared" si="59"/>
        <v>0.50366709341908078</v>
      </c>
      <c r="BL18" s="15">
        <f t="shared" si="59"/>
        <v>0.22468944708563521</v>
      </c>
      <c r="BM18" s="15">
        <f t="shared" si="59"/>
        <v>9.0353329923570768E-3</v>
      </c>
      <c r="BN18" s="15">
        <f t="shared" si="59"/>
        <v>0</v>
      </c>
      <c r="BO18" s="15">
        <f t="shared" si="60"/>
        <v>1.7763368250413489E-3</v>
      </c>
      <c r="BP18" s="15">
        <f t="shared" si="61"/>
        <v>2.8022896383869713</v>
      </c>
      <c r="BQ18" s="15">
        <f t="shared" si="62"/>
        <v>2.1411063002943784</v>
      </c>
      <c r="BS18" s="22">
        <f t="shared" si="63"/>
        <v>1.8352044455067378</v>
      </c>
      <c r="BT18" s="22">
        <f t="shared" si="64"/>
        <v>1.2061996864405454E-2</v>
      </c>
      <c r="BU18" s="22">
        <f t="shared" si="65"/>
        <v>0.16479555449326222</v>
      </c>
      <c r="BV18" s="22">
        <f t="shared" si="66"/>
        <v>0.17539257689784743</v>
      </c>
      <c r="BW18" s="22">
        <f t="shared" si="67"/>
        <v>0.34018813139110965</v>
      </c>
      <c r="BX18" s="22">
        <f t="shared" si="68"/>
        <v>0.20741609670141961</v>
      </c>
      <c r="BY18" s="22">
        <f t="shared" si="69"/>
        <v>5.1311093716305805E-3</v>
      </c>
      <c r="BZ18" s="22">
        <f t="shared" si="70"/>
        <v>1.0784047869705511</v>
      </c>
      <c r="CA18" s="22">
        <f t="shared" si="71"/>
        <v>0.48108399076471392</v>
      </c>
      <c r="CB18" s="22">
        <f t="shared" si="72"/>
        <v>3.8691216790386791E-2</v>
      </c>
      <c r="CC18" s="22">
        <f t="shared" si="73"/>
        <v>0</v>
      </c>
      <c r="CD18" s="22">
        <f t="shared" si="74"/>
        <v>2.5355506450272969E-3</v>
      </c>
      <c r="CE18" s="15">
        <f t="shared" si="75"/>
        <v>4.0007173250059811</v>
      </c>
      <c r="CF18" s="15">
        <f t="shared" si="76"/>
        <v>1.43465001196337E-3</v>
      </c>
      <c r="CG18" s="15">
        <f t="shared" si="77"/>
        <v>2.1515891707650781E-3</v>
      </c>
      <c r="CH18" s="15">
        <f t="shared" si="78"/>
        <v>3.8691216790386791E-2</v>
      </c>
      <c r="CI18" s="15">
        <f t="shared" si="79"/>
        <v>0.13670136010746065</v>
      </c>
      <c r="CJ18" s="15">
        <f t="shared" si="80"/>
        <v>1.4047097192900787E-2</v>
      </c>
      <c r="CK18" s="15">
        <f t="shared" si="81"/>
        <v>1.2677753225136484E-3</v>
      </c>
      <c r="CL18" s="15">
        <f t="shared" si="82"/>
        <v>0.32906775814183881</v>
      </c>
      <c r="CM18" s="15">
        <f t="shared" si="83"/>
        <v>0.4783765627650659</v>
      </c>
      <c r="CN18" s="15">
        <f t="shared" si="84"/>
        <v>0.39961484086181787</v>
      </c>
      <c r="CO18" s="15">
        <f t="shared" si="85"/>
        <v>0.27488880107863239</v>
      </c>
      <c r="CP18" s="15">
        <f t="shared" si="86"/>
        <v>0.99815177032016655</v>
      </c>
      <c r="CQ18" s="15">
        <f t="shared" si="87"/>
        <v>0.32906775814183886</v>
      </c>
      <c r="CR18" s="15"/>
      <c r="CS18" s="1">
        <f t="shared" si="88"/>
        <v>0.83962655368666772</v>
      </c>
      <c r="CT18" s="15">
        <f t="shared" si="89"/>
        <v>0.20598144668945625</v>
      </c>
      <c r="CU18" s="59">
        <f t="shared" si="90"/>
        <v>0.29934830179517635</v>
      </c>
      <c r="CV18" s="22">
        <f t="shared" si="91"/>
        <v>0.41220480179325403</v>
      </c>
      <c r="CW18" s="22">
        <f t="shared" si="92"/>
        <v>0.3917873184967704</v>
      </c>
      <c r="CX18" s="22">
        <f t="shared" si="11"/>
        <v>0.67890123005079051</v>
      </c>
      <c r="CY18" s="22">
        <f t="shared" si="12"/>
        <v>0.12967399552996597</v>
      </c>
      <c r="CZ18" s="22">
        <f t="shared" si="13"/>
        <v>0.39890127179711449</v>
      </c>
      <c r="DA18" s="22">
        <f t="shared" si="14"/>
        <v>7.6192411276154157E-2</v>
      </c>
      <c r="DB18" s="22">
        <f t="shared" si="15"/>
        <v>0.27081456409188576</v>
      </c>
      <c r="DC18" s="22">
        <f t="shared" si="16"/>
        <v>0.38864234713271945</v>
      </c>
      <c r="DD18" s="1">
        <f t="shared" si="17"/>
        <v>0.88542264784644242</v>
      </c>
      <c r="DE18" s="1">
        <f t="shared" si="18"/>
        <v>2.5037932467688552E-3</v>
      </c>
      <c r="DF18" s="1">
        <f t="shared" si="19"/>
        <v>7.2576769549141343E-2</v>
      </c>
      <c r="DG18" s="1">
        <f t="shared" si="20"/>
        <v>0.12248352039907358</v>
      </c>
      <c r="DH18" s="1">
        <f t="shared" si="21"/>
        <v>1.8325991189427314E-3</v>
      </c>
      <c r="DI18" s="1">
        <f t="shared" si="22"/>
        <v>0.72448665654370237</v>
      </c>
      <c r="DJ18" s="1">
        <f t="shared" si="23"/>
        <v>4.2263015047059961E-2</v>
      </c>
      <c r="DK18" s="1">
        <f t="shared" si="24"/>
        <v>2.2588332480892692E-3</v>
      </c>
      <c r="DL18" s="1">
        <f t="shared" si="25"/>
        <v>0</v>
      </c>
      <c r="DM18" s="1">
        <f t="shared" si="26"/>
        <v>1.3158050555861847E-4</v>
      </c>
      <c r="DN18" s="1">
        <f t="shared" si="93"/>
        <v>1.8539594155047794</v>
      </c>
      <c r="DP18" s="15">
        <f t="shared" si="94"/>
        <v>1.7708452956928848</v>
      </c>
      <c r="DQ18" s="15">
        <f t="shared" si="94"/>
        <v>5.0075864935377103E-3</v>
      </c>
      <c r="DR18" s="15">
        <f t="shared" si="95"/>
        <v>0.21773030864742404</v>
      </c>
      <c r="DS18" s="15">
        <f t="shared" si="96"/>
        <v>0.12248352039907358</v>
      </c>
      <c r="DT18" s="15">
        <f t="shared" si="96"/>
        <v>1.8325991189427314E-3</v>
      </c>
      <c r="DU18" s="15">
        <f t="shared" si="96"/>
        <v>0.72448665654370237</v>
      </c>
      <c r="DV18" s="15">
        <f t="shared" si="96"/>
        <v>4.2263015047059961E-2</v>
      </c>
      <c r="DW18" s="15">
        <f t="shared" si="96"/>
        <v>2.2588332480892692E-3</v>
      </c>
      <c r="DX18" s="15">
        <f t="shared" si="96"/>
        <v>0</v>
      </c>
      <c r="DY18" s="15">
        <f t="shared" si="97"/>
        <v>3.9474151667585541E-4</v>
      </c>
      <c r="DZ18" s="15">
        <f t="shared" si="98"/>
        <v>2.88730255670739</v>
      </c>
      <c r="EA18" s="15">
        <f t="shared" si="99"/>
        <v>2.0780641731021965</v>
      </c>
      <c r="EC18" s="22">
        <f t="shared" si="100"/>
        <v>1.8399650825429748</v>
      </c>
      <c r="ED18" s="22">
        <f t="shared" si="101"/>
        <v>5.2030430429655852E-3</v>
      </c>
      <c r="EE18" s="22">
        <f t="shared" si="102"/>
        <v>0.16003491745702525</v>
      </c>
      <c r="EF18" s="22">
        <f t="shared" si="103"/>
        <v>0.14160345174210492</v>
      </c>
      <c r="EG18" s="22">
        <f t="shared" si="104"/>
        <v>0.30163836919913017</v>
      </c>
      <c r="EH18" s="22">
        <f t="shared" si="105"/>
        <v>0.25452861553674683</v>
      </c>
      <c r="EI18" s="22">
        <f t="shared" si="106"/>
        <v>3.8082585727335408E-3</v>
      </c>
      <c r="EJ18" s="22">
        <f t="shared" si="107"/>
        <v>1.505529764854064</v>
      </c>
      <c r="EK18" s="22">
        <f t="shared" si="108"/>
        <v>8.7825257416574348E-2</v>
      </c>
      <c r="EL18" s="22">
        <f t="shared" si="109"/>
        <v>9.3880008917327524E-3</v>
      </c>
      <c r="EM18" s="22">
        <f t="shared" si="110"/>
        <v>0</v>
      </c>
      <c r="EN18" s="22">
        <f t="shared" si="111"/>
        <v>5.4686546896007889E-4</v>
      </c>
      <c r="EO18" s="15">
        <f t="shared" si="112"/>
        <v>4.0084332575258825</v>
      </c>
      <c r="EP18" s="15">
        <f t="shared" si="113"/>
        <v>1.6866515051761826E-2</v>
      </c>
      <c r="EQ18" s="15">
        <f t="shared" si="114"/>
        <v>2.5246544923902547E-2</v>
      </c>
      <c r="ER18" s="15">
        <f t="shared" si="115"/>
        <v>9.3880008917327524E-3</v>
      </c>
      <c r="ES18" s="15">
        <f t="shared" si="116"/>
        <v>5.2030430429655852E-3</v>
      </c>
      <c r="ET18" s="15">
        <f t="shared" si="117"/>
        <v>5.4686546896007889E-4</v>
      </c>
      <c r="EU18" s="15">
        <f t="shared" si="118"/>
        <v>0.1316685853814121</v>
      </c>
      <c r="EV18" s="15">
        <f t="shared" si="119"/>
        <v>8.7825257416574348E-2</v>
      </c>
      <c r="EW18" s="15">
        <f t="shared" si="120"/>
        <v>0.76958487656129615</v>
      </c>
      <c r="EX18" s="15">
        <f t="shared" si="121"/>
        <v>0.65687105399611723</v>
      </c>
      <c r="EY18" s="15">
        <f t="shared" si="122"/>
        <v>7.4962322108613574E-2</v>
      </c>
      <c r="EZ18" s="59">
        <f t="shared" si="123"/>
        <v>0.56246319474425754</v>
      </c>
      <c r="FA18" s="15">
        <f t="shared" si="124"/>
        <v>8.7825257416574348E-2</v>
      </c>
      <c r="FB18" s="15">
        <f t="shared" si="125"/>
        <v>0.13633731616729405</v>
      </c>
      <c r="FC18" s="15">
        <f t="shared" si="126"/>
        <v>0.59447447209818838</v>
      </c>
      <c r="FD18" s="22">
        <f t="shared" si="127"/>
        <v>0.86366268383270595</v>
      </c>
      <c r="FE18" s="22">
        <f t="shared" si="128"/>
        <v>0.72183210558743294</v>
      </c>
      <c r="FF18" s="22">
        <f t="shared" si="129"/>
        <v>0.11394801910677463</v>
      </c>
      <c r="FG18" s="22">
        <f t="shared" si="130"/>
        <v>0.77641416943837538</v>
      </c>
      <c r="FH18" s="22">
        <f t="shared" si="131"/>
        <v>0.12256431368058399</v>
      </c>
      <c r="FI18" s="58">
        <f t="shared" si="132"/>
        <v>0.56044067473362047</v>
      </c>
      <c r="FJ18" s="15">
        <f t="shared" si="133"/>
        <v>1.004216628762941</v>
      </c>
      <c r="FL18" s="1">
        <f t="shared" si="28"/>
        <v>1340</v>
      </c>
      <c r="FM18" s="1">
        <f t="shared" si="134"/>
        <v>15</v>
      </c>
      <c r="FO18" s="1">
        <f t="shared" si="29"/>
        <v>0.55596534641423523</v>
      </c>
      <c r="FP18" s="1">
        <f t="shared" si="135"/>
        <v>1491.6329559844548</v>
      </c>
      <c r="FR18" s="1">
        <f t="shared" si="30"/>
        <v>1337.1868939196631</v>
      </c>
      <c r="FS18" s="1">
        <f t="shared" si="31"/>
        <v>1201.5930434763573</v>
      </c>
      <c r="FT18" s="1">
        <f t="shared" si="32"/>
        <v>1495.9651994709575</v>
      </c>
      <c r="FU18" s="1">
        <f t="shared" si="33"/>
        <v>1332.065082337607</v>
      </c>
      <c r="FV18" s="1">
        <f t="shared" si="136"/>
        <v>0.48321718301514238</v>
      </c>
      <c r="FW18" s="1">
        <f t="shared" si="137"/>
        <v>1660.3310909730599</v>
      </c>
      <c r="FX18" s="1">
        <f t="shared" si="34"/>
        <v>1481.0082939333229</v>
      </c>
      <c r="FZ18" s="1">
        <f t="shared" si="138"/>
        <v>1346.6910994122554</v>
      </c>
      <c r="GA18" s="1">
        <f t="shared" si="139"/>
        <v>1163.6392785870312</v>
      </c>
      <c r="GC18" s="1">
        <f t="shared" si="35"/>
        <v>50.082480017870871</v>
      </c>
      <c r="GD18" s="1">
        <f t="shared" si="36"/>
        <v>37.89865087429564</v>
      </c>
      <c r="GF18" s="1">
        <f t="shared" si="140"/>
        <v>25.89565</v>
      </c>
      <c r="GG18" s="1">
        <f t="shared" si="141"/>
        <v>31.143099999999997</v>
      </c>
      <c r="GH18" s="1">
        <f t="shared" si="142"/>
        <v>2.3649999999999984</v>
      </c>
      <c r="GI18" s="1">
        <f t="shared" si="37"/>
        <v>868.59230541163731</v>
      </c>
      <c r="GJ18" s="1">
        <f t="shared" si="38"/>
        <v>1529.967751407567</v>
      </c>
      <c r="GL18" s="1">
        <f t="shared" si="143"/>
        <v>1322.2539829154498</v>
      </c>
      <c r="GM18" s="1">
        <f>-273.15+((35000+61.5*FM18)/((LN(EL18/CB18))^2+19.8))</f>
        <v>1374.2504480741272</v>
      </c>
      <c r="GO18" s="1">
        <f t="shared" si="144"/>
        <v>1389.608687872274</v>
      </c>
      <c r="GQ18" s="1">
        <f t="shared" si="39"/>
        <v>14.45033912450603</v>
      </c>
      <c r="GR18" s="1">
        <f t="shared" si="145"/>
        <v>-0.54966087549397002</v>
      </c>
      <c r="GS18" s="2">
        <f t="shared" si="40"/>
        <v>15</v>
      </c>
    </row>
    <row r="19" spans="1:201" ht="13.8" x14ac:dyDescent="0.25">
      <c r="A19" s="1" t="s">
        <v>42</v>
      </c>
      <c r="B19" s="1" t="s">
        <v>43</v>
      </c>
      <c r="C19" s="23">
        <v>0.1938</v>
      </c>
      <c r="D19" s="2">
        <v>950</v>
      </c>
      <c r="F19" s="1">
        <v>87</v>
      </c>
      <c r="G19" s="23">
        <v>51.06</v>
      </c>
      <c r="H19" s="23">
        <v>0.62</v>
      </c>
      <c r="I19" s="23">
        <v>3.16</v>
      </c>
      <c r="J19" s="23">
        <v>6.18</v>
      </c>
      <c r="K19" s="23">
        <v>0.12</v>
      </c>
      <c r="L19" s="23">
        <v>15.78</v>
      </c>
      <c r="M19" s="23">
        <v>20.82</v>
      </c>
      <c r="N19" s="23">
        <v>0.27</v>
      </c>
      <c r="O19" s="23">
        <v>0</v>
      </c>
      <c r="P19" s="23">
        <v>0.01</v>
      </c>
      <c r="R19" s="23">
        <v>55.15</v>
      </c>
      <c r="S19" s="23">
        <v>0.17</v>
      </c>
      <c r="T19" s="23">
        <v>1.19</v>
      </c>
      <c r="U19" s="23">
        <v>10.210000000000001</v>
      </c>
      <c r="V19" s="23">
        <v>0.22</v>
      </c>
      <c r="W19" s="23">
        <v>29.99</v>
      </c>
      <c r="X19" s="23">
        <v>1.66</v>
      </c>
      <c r="Y19" s="23">
        <v>0.03</v>
      </c>
      <c r="Z19" s="23">
        <v>0</v>
      </c>
      <c r="AA19" s="23">
        <v>0.15</v>
      </c>
      <c r="AC19" s="50">
        <f t="shared" ca="1" si="41"/>
        <v>1005.5625254907447</v>
      </c>
      <c r="AD19" s="50">
        <f t="shared" ca="1" si="0"/>
        <v>3.489870998035558</v>
      </c>
      <c r="AE19" s="66">
        <f t="shared" si="42"/>
        <v>0.81987412446356689</v>
      </c>
      <c r="AF19" s="27">
        <f t="shared" ca="1" si="1"/>
        <v>1003.0961582627316</v>
      </c>
      <c r="AG19" s="27"/>
      <c r="AH19" s="27">
        <f t="shared" ca="1" si="2"/>
        <v>1005.5625254907447</v>
      </c>
      <c r="AI19" s="27">
        <f t="shared" ca="1" si="3"/>
        <v>979.66640276968974</v>
      </c>
      <c r="AJ19" s="27">
        <f t="shared" si="4"/>
        <v>2.3800047017117683</v>
      </c>
      <c r="AK19" s="27">
        <f t="shared" ca="1" si="5"/>
        <v>3.489870998035558</v>
      </c>
      <c r="AL19" s="27">
        <f t="shared" si="43"/>
        <v>1052.4306539367208</v>
      </c>
      <c r="AM19" s="27">
        <f t="shared" si="44"/>
        <v>1283.9214048252979</v>
      </c>
      <c r="AN19" s="27">
        <f t="shared" si="45"/>
        <v>1010.771404825298</v>
      </c>
      <c r="AO19" s="29">
        <f t="shared" ca="1" si="6"/>
        <v>985.58918741543016</v>
      </c>
      <c r="AP19" s="42">
        <f t="shared" si="7"/>
        <v>1.1503558354405394</v>
      </c>
      <c r="AQ19" s="44"/>
      <c r="AR19" s="1">
        <f t="shared" si="8"/>
        <v>0.38823985896315588</v>
      </c>
      <c r="AT19" s="1">
        <f t="shared" si="46"/>
        <v>0.84980602253833371</v>
      </c>
      <c r="AU19" s="1">
        <f t="shared" si="47"/>
        <v>7.7617590649834501E-3</v>
      </c>
      <c r="AV19" s="1">
        <f t="shared" si="48"/>
        <v>3.0992242131795491E-2</v>
      </c>
      <c r="AW19" s="1">
        <f t="shared" si="49"/>
        <v>8.6016835916622125E-2</v>
      </c>
      <c r="AX19" s="1">
        <f t="shared" si="50"/>
        <v>1.6916299559471366E-3</v>
      </c>
      <c r="AY19" s="1">
        <f t="shared" si="51"/>
        <v>0.39152052877601451</v>
      </c>
      <c r="AZ19" s="1">
        <f t="shared" si="52"/>
        <v>0.37127256256531155</v>
      </c>
      <c r="BA19" s="1">
        <f t="shared" si="53"/>
        <v>4.3563212641721622E-3</v>
      </c>
      <c r="BB19" s="1">
        <f t="shared" si="54"/>
        <v>0</v>
      </c>
      <c r="BC19" s="1">
        <f t="shared" si="55"/>
        <v>6.5790252779309236E-5</v>
      </c>
      <c r="BD19" s="1">
        <f t="shared" si="56"/>
        <v>1.7434836924659596</v>
      </c>
      <c r="BF19" s="15">
        <f t="shared" si="57"/>
        <v>1.6996120450766674</v>
      </c>
      <c r="BG19" s="15">
        <f t="shared" si="57"/>
        <v>1.55235181299669E-2</v>
      </c>
      <c r="BH19" s="15">
        <f t="shared" si="58"/>
        <v>9.2976726395386469E-2</v>
      </c>
      <c r="BI19" s="15">
        <f t="shared" si="59"/>
        <v>8.6016835916622125E-2</v>
      </c>
      <c r="BJ19" s="15">
        <f t="shared" si="59"/>
        <v>1.6916299559471366E-3</v>
      </c>
      <c r="BK19" s="15">
        <f t="shared" si="59"/>
        <v>0.39152052877601451</v>
      </c>
      <c r="BL19" s="15">
        <f t="shared" si="59"/>
        <v>0.37127256256531155</v>
      </c>
      <c r="BM19" s="15">
        <f t="shared" si="59"/>
        <v>4.3563212641721622E-3</v>
      </c>
      <c r="BN19" s="15">
        <f t="shared" si="59"/>
        <v>0</v>
      </c>
      <c r="BO19" s="15">
        <f t="shared" si="60"/>
        <v>1.9737075833792771E-4</v>
      </c>
      <c r="BP19" s="15">
        <f t="shared" si="61"/>
        <v>2.6631675388384259</v>
      </c>
      <c r="BQ19" s="15">
        <f t="shared" si="62"/>
        <v>2.2529562682402533</v>
      </c>
      <c r="BS19" s="22">
        <f t="shared" si="63"/>
        <v>1.9145758052660569</v>
      </c>
      <c r="BT19" s="22">
        <f t="shared" si="64"/>
        <v>1.748690373802507E-2</v>
      </c>
      <c r="BU19" s="22">
        <f t="shared" si="65"/>
        <v>8.5424194733943137E-2</v>
      </c>
      <c r="BV19" s="22">
        <f t="shared" si="66"/>
        <v>5.4224137621353502E-2</v>
      </c>
      <c r="BW19" s="22">
        <f t="shared" si="67"/>
        <v>0.13964833235529664</v>
      </c>
      <c r="BX19" s="22">
        <f t="shared" si="68"/>
        <v>0.19379216965254717</v>
      </c>
      <c r="BY19" s="22">
        <f t="shared" si="69"/>
        <v>3.8111683127940851E-3</v>
      </c>
      <c r="BZ19" s="22">
        <f t="shared" si="70"/>
        <v>0.8820786294506604</v>
      </c>
      <c r="CA19" s="22">
        <f t="shared" si="71"/>
        <v>0.8364608470571403</v>
      </c>
      <c r="CB19" s="22">
        <f t="shared" si="72"/>
        <v>1.9629202597169954E-2</v>
      </c>
      <c r="CC19" s="22">
        <f t="shared" si="73"/>
        <v>0</v>
      </c>
      <c r="CD19" s="22">
        <f t="shared" si="74"/>
        <v>2.9644512477651095E-4</v>
      </c>
      <c r="CE19" s="15">
        <f t="shared" si="75"/>
        <v>4.0077795035544677</v>
      </c>
      <c r="CF19" s="15">
        <f t="shared" si="76"/>
        <v>1.5559007108932935E-2</v>
      </c>
      <c r="CG19" s="15">
        <f t="shared" si="77"/>
        <v>2.3293208264281162E-2</v>
      </c>
      <c r="CH19" s="15">
        <f t="shared" si="78"/>
        <v>1.9629202597169954E-2</v>
      </c>
      <c r="CI19" s="15">
        <f t="shared" si="79"/>
        <v>3.4594935024183551E-2</v>
      </c>
      <c r="CJ19" s="15">
        <f t="shared" si="80"/>
        <v>2.5414629854879793E-2</v>
      </c>
      <c r="CK19" s="15">
        <f t="shared" si="81"/>
        <v>1.4822256238825548E-4</v>
      </c>
      <c r="CL19" s="15">
        <f t="shared" si="82"/>
        <v>0.7763030596156888</v>
      </c>
      <c r="CM19" s="15">
        <f t="shared" si="83"/>
        <v>0.14978386974375935</v>
      </c>
      <c r="CN19" s="15">
        <f t="shared" si="84"/>
        <v>0.1223704336320412</v>
      </c>
      <c r="CO19" s="15">
        <f t="shared" si="85"/>
        <v>0.63422411370173681</v>
      </c>
      <c r="CP19" s="15">
        <f t="shared" si="86"/>
        <v>1.0058739193980697</v>
      </c>
      <c r="CQ19" s="15">
        <f t="shared" si="87"/>
        <v>0.7763030596156888</v>
      </c>
      <c r="CR19" s="15"/>
      <c r="CS19" s="1">
        <f t="shared" si="88"/>
        <v>0.83190495108199591</v>
      </c>
      <c r="CT19" s="15">
        <f t="shared" si="89"/>
        <v>0.17823316254361424</v>
      </c>
      <c r="CU19" s="59">
        <f t="shared" si="90"/>
        <v>0.23238474869369982</v>
      </c>
      <c r="CV19" s="22">
        <f t="shared" si="91"/>
        <v>0.60174566832845811</v>
      </c>
      <c r="CW19" s="22">
        <f t="shared" si="92"/>
        <v>0.32854554900784971</v>
      </c>
      <c r="CX19" s="22">
        <f t="shared" si="11"/>
        <v>0.75905795151301603</v>
      </c>
      <c r="CY19" s="22">
        <f t="shared" si="12"/>
        <v>0.15337555489389584</v>
      </c>
      <c r="CZ19" s="22">
        <f t="shared" si="13"/>
        <v>0.11654887041372328</v>
      </c>
      <c r="DA19" s="22">
        <f t="shared" si="14"/>
        <v>2.354991161917239E-2</v>
      </c>
      <c r="DB19" s="22">
        <f t="shared" si="15"/>
        <v>8.8467346827396751E-2</v>
      </c>
      <c r="DC19" s="22">
        <f t="shared" si="16"/>
        <v>0.13242780857099967</v>
      </c>
      <c r="DD19" s="1">
        <f t="shared" si="17"/>
        <v>0.91787704941224246</v>
      </c>
      <c r="DE19" s="1">
        <f t="shared" si="18"/>
        <v>2.1282242597535266E-3</v>
      </c>
      <c r="DF19" s="1">
        <f t="shared" si="19"/>
        <v>1.1671129157226783E-2</v>
      </c>
      <c r="DG19" s="1">
        <f t="shared" si="20"/>
        <v>0.14210872082665241</v>
      </c>
      <c r="DH19" s="1">
        <f t="shared" si="21"/>
        <v>3.1013215859030836E-3</v>
      </c>
      <c r="DI19" s="1">
        <f t="shared" si="22"/>
        <v>0.74408749416937103</v>
      </c>
      <c r="DJ19" s="1">
        <f t="shared" si="23"/>
        <v>2.9601943028742417E-2</v>
      </c>
      <c r="DK19" s="1">
        <f t="shared" si="24"/>
        <v>4.8403569601912906E-4</v>
      </c>
      <c r="DL19" s="1">
        <f t="shared" si="25"/>
        <v>0</v>
      </c>
      <c r="DM19" s="1">
        <f t="shared" si="26"/>
        <v>9.8685379168963832E-4</v>
      </c>
      <c r="DN19" s="1">
        <f t="shared" si="93"/>
        <v>1.8520467719276006</v>
      </c>
      <c r="DP19" s="15">
        <f t="shared" si="94"/>
        <v>1.8357540988244849</v>
      </c>
      <c r="DQ19" s="15">
        <f t="shared" si="94"/>
        <v>4.2564485195070532E-3</v>
      </c>
      <c r="DR19" s="15">
        <f t="shared" si="95"/>
        <v>3.5013387471680348E-2</v>
      </c>
      <c r="DS19" s="15">
        <f t="shared" si="96"/>
        <v>0.14210872082665241</v>
      </c>
      <c r="DT19" s="15">
        <f t="shared" si="96"/>
        <v>3.1013215859030836E-3</v>
      </c>
      <c r="DU19" s="15">
        <f t="shared" si="96"/>
        <v>0.74408749416937103</v>
      </c>
      <c r="DV19" s="15">
        <f t="shared" si="96"/>
        <v>2.9601943028742417E-2</v>
      </c>
      <c r="DW19" s="15">
        <f t="shared" si="96"/>
        <v>4.8403569601912906E-4</v>
      </c>
      <c r="DX19" s="15">
        <f t="shared" si="96"/>
        <v>0</v>
      </c>
      <c r="DY19" s="15">
        <f t="shared" si="97"/>
        <v>2.9605613750689147E-3</v>
      </c>
      <c r="DZ19" s="15">
        <f t="shared" si="98"/>
        <v>2.7973680114974298</v>
      </c>
      <c r="EA19" s="15">
        <f t="shared" si="99"/>
        <v>2.1448733149658787</v>
      </c>
      <c r="EC19" s="22">
        <f t="shared" si="100"/>
        <v>1.9687299897039361</v>
      </c>
      <c r="ED19" s="22">
        <f t="shared" si="101"/>
        <v>4.5647714230083502E-3</v>
      </c>
      <c r="EE19" s="22">
        <f t="shared" si="102"/>
        <v>3.127001029606391E-2</v>
      </c>
      <c r="EF19" s="22">
        <f t="shared" si="103"/>
        <v>1.8796176673647955E-2</v>
      </c>
      <c r="EG19" s="22">
        <f t="shared" si="104"/>
        <v>5.0066186969711865E-2</v>
      </c>
      <c r="EH19" s="22">
        <f t="shared" si="105"/>
        <v>0.30480520312502257</v>
      </c>
      <c r="EI19" s="22">
        <f t="shared" si="106"/>
        <v>6.6519419107311829E-3</v>
      </c>
      <c r="EJ19" s="22">
        <f t="shared" si="107"/>
        <v>1.5959734102437129</v>
      </c>
      <c r="EK19" s="22">
        <f t="shared" si="108"/>
        <v>6.3492417673489829E-2</v>
      </c>
      <c r="EL19" s="22">
        <f t="shared" si="109"/>
        <v>2.0763904957647314E-3</v>
      </c>
      <c r="EM19" s="22">
        <f t="shared" si="110"/>
        <v>0</v>
      </c>
      <c r="EN19" s="22">
        <f t="shared" si="111"/>
        <v>4.2333527271360026E-3</v>
      </c>
      <c r="EO19" s="15">
        <f t="shared" si="112"/>
        <v>4.0005936642725137</v>
      </c>
      <c r="EP19" s="15">
        <f t="shared" si="113"/>
        <v>1.1873285450279851E-3</v>
      </c>
      <c r="EQ19" s="15">
        <f t="shared" si="114"/>
        <v>1.7807285288142793E-3</v>
      </c>
      <c r="ER19" s="15">
        <f t="shared" si="115"/>
        <v>2.0763904957647314E-3</v>
      </c>
      <c r="ES19" s="15">
        <f t="shared" si="116"/>
        <v>4.5647714230083502E-3</v>
      </c>
      <c r="ET19" s="15">
        <f t="shared" si="117"/>
        <v>4.2333527271360026E-3</v>
      </c>
      <c r="EU19" s="15">
        <f t="shared" si="118"/>
        <v>1.2486433450747219E-2</v>
      </c>
      <c r="EV19" s="15">
        <f t="shared" si="119"/>
        <v>6.3492417673489829E-2</v>
      </c>
      <c r="EW19" s="15">
        <f t="shared" si="120"/>
        <v>0.91344346636611051</v>
      </c>
      <c r="EX19" s="15">
        <f t="shared" si="121"/>
        <v>0.76429072610067628</v>
      </c>
      <c r="EY19" s="15">
        <f t="shared" si="122"/>
        <v>5.3124980135453005E-2</v>
      </c>
      <c r="EZ19" s="59">
        <f t="shared" si="123"/>
        <v>0.63670509520165275</v>
      </c>
      <c r="FA19" s="15">
        <f t="shared" si="124"/>
        <v>6.3492417673489815E-2</v>
      </c>
      <c r="FB19" s="15">
        <f t="shared" si="125"/>
        <v>0.15983326361079406</v>
      </c>
      <c r="FC19" s="15">
        <f t="shared" si="126"/>
        <v>0.65918732222561005</v>
      </c>
      <c r="FD19" s="22">
        <f t="shared" si="127"/>
        <v>0.84016673638920603</v>
      </c>
      <c r="FE19" s="22">
        <f t="shared" si="128"/>
        <v>0.8159853687744405</v>
      </c>
      <c r="FF19" s="22">
        <f t="shared" si="129"/>
        <v>0.15523300185673913</v>
      </c>
      <c r="FG19" s="22">
        <f t="shared" si="130"/>
        <v>0.77948926449492406</v>
      </c>
      <c r="FH19" s="22">
        <f t="shared" si="131"/>
        <v>0.14828998542509036</v>
      </c>
      <c r="FI19" s="58">
        <f t="shared" si="132"/>
        <v>0.63605183494460804</v>
      </c>
      <c r="FJ19" s="15">
        <f t="shared" si="133"/>
        <v>1.0002968321362566</v>
      </c>
      <c r="FL19" s="1">
        <f t="shared" si="28"/>
        <v>950</v>
      </c>
      <c r="FM19" s="1">
        <f t="shared" si="134"/>
        <v>1.9379999999999999</v>
      </c>
      <c r="FO19" s="1">
        <f t="shared" si="29"/>
        <v>0.16660407653080206</v>
      </c>
      <c r="FP19" s="1">
        <f t="shared" si="135"/>
        <v>1106.3357395742478</v>
      </c>
      <c r="FR19" s="1">
        <f t="shared" si="30"/>
        <v>1232.0940350370515</v>
      </c>
      <c r="FS19" s="1">
        <f t="shared" si="31"/>
        <v>906.74764883041109</v>
      </c>
      <c r="FT19" s="1">
        <f t="shared" si="32"/>
        <v>1397.4095134255026</v>
      </c>
      <c r="FU19" s="1">
        <f t="shared" si="33"/>
        <v>1122.532667904725</v>
      </c>
      <c r="FV19" s="1">
        <f t="shared" si="136"/>
        <v>0.13908826602960925</v>
      </c>
      <c r="FW19" s="1">
        <f t="shared" si="137"/>
        <v>1023.267521631802</v>
      </c>
      <c r="FX19" s="1">
        <f t="shared" si="34"/>
        <v>1219.7781236188976</v>
      </c>
      <c r="FZ19" s="1">
        <f t="shared" si="138"/>
        <v>1052.4306539367208</v>
      </c>
      <c r="GA19" s="1">
        <f t="shared" si="139"/>
        <v>518.77291228497256</v>
      </c>
      <c r="GC19" s="1">
        <f t="shared" si="35"/>
        <v>9.5421788137746422</v>
      </c>
      <c r="GD19" s="1">
        <f t="shared" si="36"/>
        <v>9.2784058132447669</v>
      </c>
      <c r="GF19" s="1">
        <f t="shared" si="140"/>
        <v>26.186801980000002</v>
      </c>
      <c r="GG19" s="1">
        <f t="shared" si="141"/>
        <v>32.272440519999996</v>
      </c>
      <c r="GH19" s="1">
        <f t="shared" si="142"/>
        <v>25.210438</v>
      </c>
      <c r="GI19" s="1">
        <f t="shared" si="37"/>
        <v>466.60835723795128</v>
      </c>
      <c r="GJ19" s="1">
        <f t="shared" si="38"/>
        <v>970.19613187895618</v>
      </c>
      <c r="GL19" s="1">
        <f t="shared" si="143"/>
        <v>1134.7621316273758</v>
      </c>
      <c r="GM19" s="1">
        <f>-273.15+((35000+61.5*FM19)/((LN(EL19/CB19))^2+19.8))</f>
        <v>1140.309915126144</v>
      </c>
      <c r="GO19" s="1">
        <f t="shared" si="144"/>
        <v>1010.771404825298</v>
      </c>
      <c r="GQ19" s="1">
        <f t="shared" si="39"/>
        <v>2.3800047017117683</v>
      </c>
      <c r="GR19" s="1">
        <f t="shared" si="145"/>
        <v>0.44200470171176831</v>
      </c>
      <c r="GS19" s="2">
        <f t="shared" si="40"/>
        <v>1.9379999999999999</v>
      </c>
    </row>
    <row r="20" spans="1:201" ht="13.8" x14ac:dyDescent="0.25">
      <c r="A20" s="1" t="s">
        <v>42</v>
      </c>
      <c r="B20" s="1" t="s">
        <v>44</v>
      </c>
      <c r="C20" s="23">
        <v>0.2</v>
      </c>
      <c r="D20" s="2">
        <v>980</v>
      </c>
      <c r="F20" s="1">
        <v>86</v>
      </c>
      <c r="G20" s="23">
        <v>53.32</v>
      </c>
      <c r="H20" s="23">
        <v>0.48</v>
      </c>
      <c r="I20" s="23">
        <v>2.25</v>
      </c>
      <c r="J20" s="23">
        <v>5.92</v>
      </c>
      <c r="K20" s="23">
        <v>0.15</v>
      </c>
      <c r="L20" s="23">
        <v>16.91</v>
      </c>
      <c r="M20" s="23">
        <v>20.73</v>
      </c>
      <c r="N20" s="23">
        <v>0.28000000000000003</v>
      </c>
      <c r="O20" s="23">
        <v>0</v>
      </c>
      <c r="P20" s="23">
        <v>0.12</v>
      </c>
      <c r="R20" s="23">
        <v>56.32</v>
      </c>
      <c r="S20" s="23">
        <v>0.13</v>
      </c>
      <c r="T20" s="23">
        <v>1.41</v>
      </c>
      <c r="U20" s="23">
        <v>10.17</v>
      </c>
      <c r="V20" s="23">
        <v>0.26</v>
      </c>
      <c r="W20" s="23">
        <v>30.88</v>
      </c>
      <c r="X20" s="23">
        <v>1.05</v>
      </c>
      <c r="Y20" s="23">
        <v>0.02</v>
      </c>
      <c r="Z20" s="23">
        <v>0</v>
      </c>
      <c r="AA20" s="23">
        <v>0.16</v>
      </c>
      <c r="AC20" s="50">
        <f t="shared" ca="1" si="41"/>
        <v>1007.0530521710999</v>
      </c>
      <c r="AD20" s="50">
        <f t="shared" ca="1" si="0"/>
        <v>5.0748102514256148</v>
      </c>
      <c r="AE20" s="66">
        <f t="shared" si="42"/>
        <v>0.83584589061588355</v>
      </c>
      <c r="AF20" s="27">
        <f t="shared" ca="1" si="1"/>
        <v>1044.0325901807464</v>
      </c>
      <c r="AG20" s="27"/>
      <c r="AH20" s="27">
        <f t="shared" ca="1" si="2"/>
        <v>1007.0530521710999</v>
      </c>
      <c r="AI20" s="27">
        <f t="shared" ca="1" si="3"/>
        <v>997.48297437308167</v>
      </c>
      <c r="AJ20" s="27">
        <f t="shared" si="4"/>
        <v>4.099410731287854</v>
      </c>
      <c r="AK20" s="27">
        <f t="shared" ca="1" si="5"/>
        <v>5.0748102514256148</v>
      </c>
      <c r="AL20" s="27">
        <f t="shared" si="43"/>
        <v>1087.0067813997034</v>
      </c>
      <c r="AM20" s="27">
        <f t="shared" si="44"/>
        <v>1325.6881975308675</v>
      </c>
      <c r="AN20" s="27">
        <f t="shared" si="45"/>
        <v>1052.5381975308674</v>
      </c>
      <c r="AO20" s="29">
        <f t="shared" ca="1" si="6"/>
        <v>1044.7851236970066</v>
      </c>
      <c r="AP20" s="42">
        <f t="shared" si="7"/>
        <v>1.0630028719340689</v>
      </c>
      <c r="AQ20" s="44"/>
      <c r="AR20" s="1">
        <f t="shared" si="8"/>
        <v>0.20874504084078782</v>
      </c>
      <c r="AT20" s="1">
        <f t="shared" si="46"/>
        <v>0.88741984178895317</v>
      </c>
      <c r="AU20" s="1">
        <f t="shared" si="47"/>
        <v>6.0091037922452512E-3</v>
      </c>
      <c r="AV20" s="1">
        <f t="shared" si="48"/>
        <v>2.2067261011563245E-2</v>
      </c>
      <c r="AW20" s="1">
        <f t="shared" si="49"/>
        <v>8.2398004632104047E-2</v>
      </c>
      <c r="AX20" s="1">
        <f t="shared" si="50"/>
        <v>2.1145374449339205E-3</v>
      </c>
      <c r="AY20" s="1">
        <f t="shared" si="51"/>
        <v>0.4195571699367811</v>
      </c>
      <c r="AZ20" s="1">
        <f t="shared" si="52"/>
        <v>0.36966763794327129</v>
      </c>
      <c r="BA20" s="1">
        <f t="shared" si="53"/>
        <v>4.5176664961785384E-3</v>
      </c>
      <c r="BB20" s="1">
        <f t="shared" si="54"/>
        <v>0</v>
      </c>
      <c r="BC20" s="1">
        <f t="shared" si="55"/>
        <v>7.8948303335171072E-4</v>
      </c>
      <c r="BD20" s="1">
        <f t="shared" si="56"/>
        <v>1.7945407060793821</v>
      </c>
      <c r="BF20" s="15">
        <f t="shared" si="57"/>
        <v>1.7748396835779063</v>
      </c>
      <c r="BG20" s="15">
        <f t="shared" si="57"/>
        <v>1.2018207584490502E-2</v>
      </c>
      <c r="BH20" s="15">
        <f t="shared" si="58"/>
        <v>6.6201783034689737E-2</v>
      </c>
      <c r="BI20" s="15">
        <f t="shared" si="59"/>
        <v>8.2398004632104047E-2</v>
      </c>
      <c r="BJ20" s="15">
        <f t="shared" si="59"/>
        <v>2.1145374449339205E-3</v>
      </c>
      <c r="BK20" s="15">
        <f t="shared" si="59"/>
        <v>0.4195571699367811</v>
      </c>
      <c r="BL20" s="15">
        <f t="shared" si="59"/>
        <v>0.36966763794327129</v>
      </c>
      <c r="BM20" s="15">
        <f t="shared" si="59"/>
        <v>4.5176664961785384E-3</v>
      </c>
      <c r="BN20" s="15">
        <f t="shared" si="59"/>
        <v>0</v>
      </c>
      <c r="BO20" s="15">
        <f t="shared" si="60"/>
        <v>2.368449100055132E-3</v>
      </c>
      <c r="BP20" s="15">
        <f t="shared" si="61"/>
        <v>2.7336831397504104</v>
      </c>
      <c r="BQ20" s="15">
        <f t="shared" si="62"/>
        <v>2.1948410599436952</v>
      </c>
      <c r="BS20" s="22">
        <f t="shared" si="63"/>
        <v>1.9477455061671323</v>
      </c>
      <c r="BT20" s="22">
        <f t="shared" si="64"/>
        <v>1.3189027736683245E-2</v>
      </c>
      <c r="BU20" s="22">
        <f t="shared" si="65"/>
        <v>5.2254493832867732E-2</v>
      </c>
      <c r="BV20" s="22">
        <f t="shared" si="66"/>
        <v>4.4613767264479576E-2</v>
      </c>
      <c r="BW20" s="22">
        <f t="shared" si="67"/>
        <v>9.6868261097347308E-2</v>
      </c>
      <c r="BX20" s="22">
        <f t="shared" si="68"/>
        <v>0.18085052382397274</v>
      </c>
      <c r="BY20" s="22">
        <f t="shared" si="69"/>
        <v>4.641073606929399E-3</v>
      </c>
      <c r="BZ20" s="22">
        <f t="shared" si="70"/>
        <v>0.92086130357102169</v>
      </c>
      <c r="CA20" s="22">
        <f t="shared" si="71"/>
        <v>0.81136171029029169</v>
      </c>
      <c r="CB20" s="22">
        <f t="shared" si="72"/>
        <v>1.9831119841889247E-2</v>
      </c>
      <c r="CC20" s="22">
        <f t="shared" si="73"/>
        <v>0</v>
      </c>
      <c r="CD20" s="22">
        <f t="shared" si="74"/>
        <v>3.4655795554584647E-3</v>
      </c>
      <c r="CE20" s="15">
        <f t="shared" si="75"/>
        <v>3.9988141056907258</v>
      </c>
      <c r="CF20" s="15">
        <f t="shared" si="76"/>
        <v>0</v>
      </c>
      <c r="CG20" s="15">
        <f t="shared" si="77"/>
        <v>-3.5587379996080415E-3</v>
      </c>
      <c r="CH20" s="15">
        <f t="shared" si="78"/>
        <v>1.9831119841889247E-2</v>
      </c>
      <c r="CI20" s="15">
        <f t="shared" si="79"/>
        <v>2.4782647422590329E-2</v>
      </c>
      <c r="CJ20" s="15">
        <f t="shared" si="80"/>
        <v>1.3735923205138702E-2</v>
      </c>
      <c r="CK20" s="15">
        <f t="shared" si="81"/>
        <v>1.7327897777292323E-3</v>
      </c>
      <c r="CL20" s="15">
        <f t="shared" si="82"/>
        <v>0.7711103498848334</v>
      </c>
      <c r="CM20" s="15">
        <f t="shared" si="83"/>
        <v>0.1653007387550805</v>
      </c>
      <c r="CN20" s="15">
        <f t="shared" si="84"/>
        <v>0.13758634666516018</v>
      </c>
      <c r="CO20" s="15">
        <f t="shared" si="85"/>
        <v>0.64182566100653227</v>
      </c>
      <c r="CP20" s="15">
        <f t="shared" si="86"/>
        <v>0.99649356888726137</v>
      </c>
      <c r="CQ20" s="15">
        <f t="shared" si="87"/>
        <v>0.7711103498848334</v>
      </c>
      <c r="CR20" s="15"/>
      <c r="CS20" s="1">
        <f t="shared" si="88"/>
        <v>0.83584589061588355</v>
      </c>
      <c r="CT20" s="15">
        <f t="shared" si="89"/>
        <v>0.18085052382397274</v>
      </c>
      <c r="CU20" s="59">
        <f t="shared" si="90"/>
        <v>0.24975231184001387</v>
      </c>
      <c r="CV20" s="22">
        <f t="shared" si="91"/>
        <v>0.58510684948285718</v>
      </c>
      <c r="CW20" s="22">
        <f t="shared" si="92"/>
        <v>0.36014411677708708</v>
      </c>
      <c r="CX20" s="22">
        <f t="shared" si="11"/>
        <v>0.78463497151801687</v>
      </c>
      <c r="CY20" s="22">
        <f t="shared" si="12"/>
        <v>0.15409665392536184</v>
      </c>
      <c r="CZ20" s="22">
        <f t="shared" si="13"/>
        <v>0.13721755693811621</v>
      </c>
      <c r="DA20" s="22">
        <f t="shared" si="14"/>
        <v>2.6948539322773475E-2</v>
      </c>
      <c r="DB20" s="22">
        <f t="shared" si="15"/>
        <v>0.10766569387991064</v>
      </c>
      <c r="DC20" s="22">
        <f t="shared" si="16"/>
        <v>0.1586648164186252</v>
      </c>
      <c r="DD20" s="1">
        <f t="shared" si="17"/>
        <v>0.93734969035172255</v>
      </c>
      <c r="DE20" s="1">
        <f t="shared" si="18"/>
        <v>1.6274656103997557E-3</v>
      </c>
      <c r="DF20" s="1">
        <f t="shared" si="19"/>
        <v>1.3828816900579632E-2</v>
      </c>
      <c r="DG20" s="1">
        <f t="shared" si="20"/>
        <v>0.14155197755211116</v>
      </c>
      <c r="DH20" s="1">
        <f t="shared" si="21"/>
        <v>3.6651982378854628E-3</v>
      </c>
      <c r="DI20" s="1">
        <f t="shared" si="22"/>
        <v>0.76616945048183316</v>
      </c>
      <c r="DJ20" s="1">
        <f t="shared" si="23"/>
        <v>1.8724120590469604E-2</v>
      </c>
      <c r="DK20" s="1">
        <f t="shared" si="24"/>
        <v>3.2269046401275274E-4</v>
      </c>
      <c r="DL20" s="1">
        <f t="shared" si="25"/>
        <v>0</v>
      </c>
      <c r="DM20" s="1">
        <f t="shared" si="26"/>
        <v>1.0526440444689478E-3</v>
      </c>
      <c r="DN20" s="1">
        <f t="shared" si="93"/>
        <v>1.8842920542334831</v>
      </c>
      <c r="DP20" s="15">
        <f t="shared" si="94"/>
        <v>1.8746993807034451</v>
      </c>
      <c r="DQ20" s="15">
        <f t="shared" si="94"/>
        <v>3.2549312207995115E-3</v>
      </c>
      <c r="DR20" s="15">
        <f t="shared" si="95"/>
        <v>4.1486450701738897E-2</v>
      </c>
      <c r="DS20" s="15">
        <f t="shared" si="96"/>
        <v>0.14155197755211116</v>
      </c>
      <c r="DT20" s="15">
        <f t="shared" si="96"/>
        <v>3.6651982378854628E-3</v>
      </c>
      <c r="DU20" s="15">
        <f t="shared" si="96"/>
        <v>0.76616945048183316</v>
      </c>
      <c r="DV20" s="15">
        <f t="shared" si="96"/>
        <v>1.8724120590469604E-2</v>
      </c>
      <c r="DW20" s="15">
        <f t="shared" si="96"/>
        <v>3.2269046401275274E-4</v>
      </c>
      <c r="DX20" s="15">
        <f t="shared" si="96"/>
        <v>0</v>
      </c>
      <c r="DY20" s="15">
        <f t="shared" si="97"/>
        <v>3.1579321334068433E-3</v>
      </c>
      <c r="DZ20" s="15">
        <f t="shared" si="98"/>
        <v>2.8530321320857026</v>
      </c>
      <c r="EA20" s="15">
        <f t="shared" si="99"/>
        <v>2.1030257362063827</v>
      </c>
      <c r="EC20" s="22">
        <f t="shared" si="100"/>
        <v>1.9712705226347562</v>
      </c>
      <c r="ED20" s="22">
        <f t="shared" si="101"/>
        <v>3.4226020634615163E-3</v>
      </c>
      <c r="EE20" s="22">
        <f t="shared" si="102"/>
        <v>2.8729477365243783E-2</v>
      </c>
      <c r="EF20" s="22">
        <f t="shared" si="103"/>
        <v>2.9435238321165715E-2</v>
      </c>
      <c r="EG20" s="22">
        <f t="shared" si="104"/>
        <v>5.8164715686409497E-2</v>
      </c>
      <c r="EH20" s="22">
        <f t="shared" si="105"/>
        <v>0.29768745180299794</v>
      </c>
      <c r="EI20" s="22">
        <f t="shared" si="106"/>
        <v>7.7080062225714117E-3</v>
      </c>
      <c r="EJ20" s="22">
        <f t="shared" si="107"/>
        <v>1.6112740726583967</v>
      </c>
      <c r="EK20" s="22">
        <f t="shared" si="108"/>
        <v>3.9377307489589425E-2</v>
      </c>
      <c r="EL20" s="22">
        <f t="shared" si="109"/>
        <v>1.3572527012943971E-3</v>
      </c>
      <c r="EM20" s="22">
        <f t="shared" si="110"/>
        <v>0</v>
      </c>
      <c r="EN20" s="22">
        <f t="shared" si="111"/>
        <v>4.4274750331651461E-3</v>
      </c>
      <c r="EO20" s="15">
        <f t="shared" si="112"/>
        <v>3.9946894062926424</v>
      </c>
      <c r="EP20" s="15">
        <f t="shared" si="113"/>
        <v>0</v>
      </c>
      <c r="EQ20" s="15">
        <f t="shared" si="114"/>
        <v>-1.5952961045709202E-2</v>
      </c>
      <c r="ER20" s="15">
        <f t="shared" si="115"/>
        <v>1.3572527012943971E-3</v>
      </c>
      <c r="ES20" s="15">
        <f t="shared" si="116"/>
        <v>3.4226020634615163E-3</v>
      </c>
      <c r="ET20" s="15">
        <f t="shared" si="117"/>
        <v>4.4274750331651461E-3</v>
      </c>
      <c r="EU20" s="15">
        <f t="shared" si="118"/>
        <v>2.3650510586706169E-2</v>
      </c>
      <c r="EV20" s="15">
        <f t="shared" si="119"/>
        <v>3.9377307489589425E-2</v>
      </c>
      <c r="EW20" s="15">
        <f t="shared" si="120"/>
        <v>0.92510955527210448</v>
      </c>
      <c r="EX20" s="15">
        <f t="shared" si="121"/>
        <v>0.77770581569508102</v>
      </c>
      <c r="EY20" s="15">
        <f t="shared" si="122"/>
        <v>3.3103064244169082E-2</v>
      </c>
      <c r="EZ20" s="59">
        <f t="shared" si="123"/>
        <v>0.65253207377802358</v>
      </c>
      <c r="FA20" s="15">
        <f t="shared" si="124"/>
        <v>3.9377307489589425E-2</v>
      </c>
      <c r="FB20" s="15">
        <f t="shared" si="125"/>
        <v>0.15594209102092257</v>
      </c>
      <c r="FC20" s="15">
        <f t="shared" si="126"/>
        <v>0.67157798924077194</v>
      </c>
      <c r="FD20" s="22">
        <f t="shared" si="127"/>
        <v>0.8440579089790774</v>
      </c>
      <c r="FE20" s="22">
        <f t="shared" si="128"/>
        <v>0.8125869436119102</v>
      </c>
      <c r="FF20" s="22">
        <f t="shared" si="129"/>
        <v>0.15012774097029741</v>
      </c>
      <c r="FG20" s="22">
        <f t="shared" si="130"/>
        <v>0.80316957766655628</v>
      </c>
      <c r="FH20" s="22">
        <f t="shared" si="131"/>
        <v>0.14838785591998849</v>
      </c>
      <c r="FI20" s="58">
        <f t="shared" si="132"/>
        <v>0.65264511231813571</v>
      </c>
      <c r="FJ20" s="15">
        <f t="shared" si="133"/>
        <v>0.99734470314632118</v>
      </c>
      <c r="FL20" s="1">
        <f t="shared" si="28"/>
        <v>980</v>
      </c>
      <c r="FM20" s="1">
        <f t="shared" si="134"/>
        <v>2</v>
      </c>
      <c r="FO20" s="1">
        <f t="shared" si="29"/>
        <v>0.1924568939738853</v>
      </c>
      <c r="FP20" s="1">
        <f t="shared" si="135"/>
        <v>1148.0527860114596</v>
      </c>
      <c r="FR20" s="1">
        <f t="shared" si="30"/>
        <v>1279.8121912582953</v>
      </c>
      <c r="FS20" s="1">
        <f t="shared" si="31"/>
        <v>971.0566473845472</v>
      </c>
      <c r="FT20" s="1">
        <f t="shared" si="32"/>
        <v>1251.3982647003731</v>
      </c>
      <c r="FU20" s="1">
        <f t="shared" si="33"/>
        <v>1004.6280626082902</v>
      </c>
      <c r="FV20" s="1">
        <f t="shared" si="136"/>
        <v>0.16496820683677832</v>
      </c>
      <c r="FW20" s="1">
        <f t="shared" si="137"/>
        <v>1084.5658749879776</v>
      </c>
      <c r="FX20" s="1">
        <f t="shared" si="34"/>
        <v>1089.8870861454639</v>
      </c>
      <c r="FZ20" s="1">
        <f t="shared" si="138"/>
        <v>1087.0067813997034</v>
      </c>
      <c r="GA20" s="1">
        <f t="shared" si="139"/>
        <v>601.74005927673454</v>
      </c>
      <c r="GC20" s="1">
        <f t="shared" si="35"/>
        <v>36.659000524172839</v>
      </c>
      <c r="GD20" s="1">
        <f t="shared" si="36"/>
        <v>28.823019066811103</v>
      </c>
      <c r="GF20" s="1">
        <f t="shared" si="140"/>
        <v>26.185420000000001</v>
      </c>
      <c r="GG20" s="1">
        <f t="shared" si="141"/>
        <v>32.26708</v>
      </c>
      <c r="GH20" s="1">
        <f t="shared" si="142"/>
        <v>25.102</v>
      </c>
      <c r="GI20" s="1">
        <f t="shared" si="37"/>
        <v>503.70625490620785</v>
      </c>
      <c r="GJ20" s="1">
        <f t="shared" si="38"/>
        <v>874.74175169093553</v>
      </c>
      <c r="GL20" s="1">
        <f t="shared" si="143"/>
        <v>1002.6188496815843</v>
      </c>
      <c r="GM20" s="1">
        <f>-273.15+((35000+61.5*FM20)/((LN(EL20/CB20))^2+19.8))</f>
        <v>1028.0875633996593</v>
      </c>
      <c r="GO20" s="1">
        <f t="shared" si="144"/>
        <v>1052.5381975308674</v>
      </c>
      <c r="GQ20" s="1">
        <f t="shared" si="39"/>
        <v>4.099410731287854</v>
      </c>
      <c r="GR20" s="1">
        <f t="shared" si="145"/>
        <v>2.099410731287854</v>
      </c>
      <c r="GS20" s="2">
        <f t="shared" si="40"/>
        <v>2</v>
      </c>
    </row>
    <row r="21" spans="1:201" ht="13.8" x14ac:dyDescent="0.25">
      <c r="A21" s="1" t="s">
        <v>46</v>
      </c>
      <c r="B21" s="1" t="s">
        <v>45</v>
      </c>
      <c r="C21" s="23">
        <v>1.5</v>
      </c>
      <c r="D21" s="2">
        <v>1350</v>
      </c>
      <c r="F21" s="1">
        <v>3031</v>
      </c>
      <c r="G21" s="23">
        <v>51.58</v>
      </c>
      <c r="H21" s="23">
        <v>0</v>
      </c>
      <c r="I21" s="23">
        <v>7.28</v>
      </c>
      <c r="J21" s="23">
        <v>3.75</v>
      </c>
      <c r="K21" s="23">
        <v>0</v>
      </c>
      <c r="L21" s="23">
        <v>19.55</v>
      </c>
      <c r="M21" s="23">
        <v>15.94</v>
      </c>
      <c r="N21" s="23">
        <v>0.7</v>
      </c>
      <c r="O21" s="23">
        <v>0</v>
      </c>
      <c r="P21" s="23">
        <v>1.2</v>
      </c>
      <c r="R21" s="23">
        <v>54.4</v>
      </c>
      <c r="S21" s="23">
        <v>0</v>
      </c>
      <c r="T21" s="23">
        <v>5.4</v>
      </c>
      <c r="U21" s="23">
        <v>5.9</v>
      </c>
      <c r="V21" s="23">
        <v>0</v>
      </c>
      <c r="W21" s="23">
        <v>31.2</v>
      </c>
      <c r="X21" s="23">
        <v>2.2999999999999998</v>
      </c>
      <c r="Y21" s="23">
        <v>0.2</v>
      </c>
      <c r="Z21" s="23">
        <v>0</v>
      </c>
      <c r="AA21" s="23">
        <v>0.6</v>
      </c>
      <c r="AC21" s="50">
        <f t="shared" ca="1" si="41"/>
        <v>1430.9406658391481</v>
      </c>
      <c r="AD21" s="50">
        <f t="shared" ca="1" si="0"/>
        <v>18.829140544948309</v>
      </c>
      <c r="AE21" s="66">
        <f t="shared" si="42"/>
        <v>0.9028490402841578</v>
      </c>
      <c r="AF21" s="27">
        <f t="shared" ca="1" si="1"/>
        <v>1311.5283155864936</v>
      </c>
      <c r="AG21" s="27"/>
      <c r="AH21" s="27">
        <f t="shared" ca="1" si="2"/>
        <v>1430.9406658391481</v>
      </c>
      <c r="AI21" s="27">
        <f t="shared" ca="1" si="3"/>
        <v>1377.8548246985742</v>
      </c>
      <c r="AJ21" s="27">
        <f t="shared" si="4"/>
        <v>14.80987666987583</v>
      </c>
      <c r="AK21" s="27">
        <f t="shared" ca="1" si="5"/>
        <v>18.829140544948309</v>
      </c>
      <c r="AL21" s="27">
        <f t="shared" si="43"/>
        <v>1339.2619762158247</v>
      </c>
      <c r="AM21" s="27">
        <f t="shared" si="44"/>
        <v>1584.4254330091917</v>
      </c>
      <c r="AN21" s="27">
        <f t="shared" si="45"/>
        <v>1311.2754330091916</v>
      </c>
      <c r="AO21" s="29">
        <f t="shared" ca="1" si="6"/>
        <v>1323.3902215322391</v>
      </c>
      <c r="AP21" s="42">
        <f t="shared" si="7"/>
        <v>1.0143482595691189</v>
      </c>
      <c r="AQ21" s="44"/>
      <c r="AR21" s="1">
        <f t="shared" si="8"/>
        <v>0.21996912167557198</v>
      </c>
      <c r="AT21" s="1">
        <f t="shared" si="46"/>
        <v>0.85846052962254693</v>
      </c>
      <c r="AU21" s="1">
        <f t="shared" si="47"/>
        <v>0</v>
      </c>
      <c r="AV21" s="1">
        <f t="shared" si="48"/>
        <v>7.139984896185797E-2</v>
      </c>
      <c r="AW21" s="1">
        <f t="shared" si="49"/>
        <v>5.2194681988241579E-2</v>
      </c>
      <c r="AX21" s="1">
        <f t="shared" si="50"/>
        <v>0</v>
      </c>
      <c r="AY21" s="1">
        <f t="shared" si="51"/>
        <v>0.48505870326812955</v>
      </c>
      <c r="AZ21" s="1">
        <f t="shared" si="52"/>
        <v>0.28424998305912902</v>
      </c>
      <c r="BA21" s="1">
        <f t="shared" si="53"/>
        <v>1.1294166240446345E-2</v>
      </c>
      <c r="BB21" s="1">
        <f t="shared" si="54"/>
        <v>0</v>
      </c>
      <c r="BC21" s="1">
        <f t="shared" si="55"/>
        <v>7.8948303335171065E-3</v>
      </c>
      <c r="BD21" s="1">
        <f t="shared" si="56"/>
        <v>1.7705527434738686</v>
      </c>
      <c r="BF21" s="15">
        <f t="shared" si="57"/>
        <v>1.7169210592450939</v>
      </c>
      <c r="BG21" s="15">
        <f t="shared" si="57"/>
        <v>0</v>
      </c>
      <c r="BH21" s="15">
        <f t="shared" si="58"/>
        <v>0.21419954688557391</v>
      </c>
      <c r="BI21" s="15">
        <f t="shared" si="59"/>
        <v>5.2194681988241579E-2</v>
      </c>
      <c r="BJ21" s="15">
        <f t="shared" si="59"/>
        <v>0</v>
      </c>
      <c r="BK21" s="15">
        <f t="shared" si="59"/>
        <v>0.48505870326812955</v>
      </c>
      <c r="BL21" s="15">
        <f t="shared" si="59"/>
        <v>0.28424998305912902</v>
      </c>
      <c r="BM21" s="15">
        <f t="shared" si="59"/>
        <v>1.1294166240446345E-2</v>
      </c>
      <c r="BN21" s="15">
        <f t="shared" si="59"/>
        <v>0</v>
      </c>
      <c r="BO21" s="15">
        <f t="shared" si="60"/>
        <v>2.3684491000551318E-2</v>
      </c>
      <c r="BP21" s="15">
        <f t="shared" si="61"/>
        <v>2.7876026316871654</v>
      </c>
      <c r="BQ21" s="15">
        <f t="shared" si="62"/>
        <v>2.1523871199563933</v>
      </c>
      <c r="BS21" s="22">
        <f t="shared" si="63"/>
        <v>1.8477393869505139</v>
      </c>
      <c r="BT21" s="22">
        <f t="shared" si="64"/>
        <v>0</v>
      </c>
      <c r="BU21" s="22">
        <f t="shared" si="65"/>
        <v>0.15226061304948613</v>
      </c>
      <c r="BV21" s="22">
        <f t="shared" si="66"/>
        <v>0.15509961749518381</v>
      </c>
      <c r="BW21" s="22">
        <f t="shared" si="67"/>
        <v>0.30736023054466993</v>
      </c>
      <c r="BX21" s="22">
        <f t="shared" si="68"/>
        <v>0.11234316124171113</v>
      </c>
      <c r="BY21" s="22">
        <f t="shared" si="69"/>
        <v>0</v>
      </c>
      <c r="BZ21" s="22">
        <f t="shared" si="70"/>
        <v>1.0440341053370721</v>
      </c>
      <c r="CA21" s="22">
        <f t="shared" si="71"/>
        <v>0.61181600238429235</v>
      </c>
      <c r="CB21" s="22">
        <f t="shared" si="72"/>
        <v>4.8618835893166068E-2</v>
      </c>
      <c r="CC21" s="22">
        <f t="shared" si="73"/>
        <v>0</v>
      </c>
      <c r="CD21" s="22">
        <f t="shared" si="74"/>
        <v>3.3985462248206512E-2</v>
      </c>
      <c r="CE21" s="15">
        <f t="shared" si="75"/>
        <v>4.0058971845996316</v>
      </c>
      <c r="CF21" s="15">
        <f t="shared" si="76"/>
        <v>1.1794369199261877E-2</v>
      </c>
      <c r="CG21" s="15">
        <f t="shared" si="77"/>
        <v>1.7665509606096919E-2</v>
      </c>
      <c r="CH21" s="15">
        <f t="shared" si="78"/>
        <v>4.8618835893166068E-2</v>
      </c>
      <c r="CI21" s="15">
        <f t="shared" si="79"/>
        <v>0.10648078160201774</v>
      </c>
      <c r="CJ21" s="15">
        <f t="shared" si="80"/>
        <v>2.2889915723734194E-2</v>
      </c>
      <c r="CK21" s="15">
        <f t="shared" si="81"/>
        <v>1.6992731124103256E-2</v>
      </c>
      <c r="CL21" s="15">
        <f t="shared" si="82"/>
        <v>0.46545257393443712</v>
      </c>
      <c r="CM21" s="15">
        <f t="shared" si="83"/>
        <v>0.3454623463221731</v>
      </c>
      <c r="CN21" s="15">
        <f t="shared" si="84"/>
        <v>0.31190034783128728</v>
      </c>
      <c r="CO21" s="15">
        <f t="shared" si="85"/>
        <v>0.42023340967449746</v>
      </c>
      <c r="CP21" s="15">
        <f t="shared" si="86"/>
        <v>1.0058971845996316</v>
      </c>
      <c r="CQ21" s="15">
        <f t="shared" si="87"/>
        <v>0.46545257393443706</v>
      </c>
      <c r="CR21" s="15"/>
      <c r="CS21" s="1">
        <f t="shared" si="88"/>
        <v>0.91215245984135196</v>
      </c>
      <c r="CT21" s="15">
        <f t="shared" si="89"/>
        <v>0.10054879204244926</v>
      </c>
      <c r="CU21" s="59">
        <f t="shared" si="90"/>
        <v>0.29033757099231405</v>
      </c>
      <c r="CV21" s="22">
        <f t="shared" si="91"/>
        <v>0.49631131326768069</v>
      </c>
      <c r="CW21" s="22">
        <f t="shared" si="92"/>
        <v>0.4031961820108535</v>
      </c>
      <c r="CX21" s="22">
        <f t="shared" si="11"/>
        <v>0.72891977635673644</v>
      </c>
      <c r="CY21" s="22">
        <f t="shared" si="12"/>
        <v>7.0200774700611313E-2</v>
      </c>
      <c r="CZ21" s="22">
        <f t="shared" si="13"/>
        <v>0.3097351975416428</v>
      </c>
      <c r="DA21" s="22">
        <f t="shared" si="14"/>
        <v>2.9829964180898789E-2</v>
      </c>
      <c r="DB21" s="22">
        <f t="shared" si="15"/>
        <v>0.22577211092186386</v>
      </c>
      <c r="DC21" s="22">
        <f t="shared" si="16"/>
        <v>0.27335597759787622</v>
      </c>
      <c r="DD21" s="1">
        <f t="shared" si="17"/>
        <v>0.90539458727155009</v>
      </c>
      <c r="DE21" s="1">
        <f t="shared" si="18"/>
        <v>0</v>
      </c>
      <c r="DF21" s="1">
        <f t="shared" si="19"/>
        <v>5.2961426427751791E-2</v>
      </c>
      <c r="DG21" s="1">
        <f t="shared" si="20"/>
        <v>8.2119632994833422E-2</v>
      </c>
      <c r="DH21" s="1">
        <f t="shared" si="21"/>
        <v>0</v>
      </c>
      <c r="DI21" s="1">
        <f t="shared" si="22"/>
        <v>0.77410903027957245</v>
      </c>
      <c r="DJ21" s="1">
        <f t="shared" si="23"/>
        <v>4.1014740341028651E-2</v>
      </c>
      <c r="DK21" s="1">
        <f t="shared" si="24"/>
        <v>3.2269046401275274E-3</v>
      </c>
      <c r="DL21" s="1">
        <f t="shared" si="25"/>
        <v>0</v>
      </c>
      <c r="DM21" s="1">
        <f t="shared" si="26"/>
        <v>3.9474151667585533E-3</v>
      </c>
      <c r="DN21" s="1">
        <f t="shared" si="93"/>
        <v>1.8627737371216222</v>
      </c>
      <c r="DP21" s="15">
        <f t="shared" si="94"/>
        <v>1.8107891745431002</v>
      </c>
      <c r="DQ21" s="15">
        <f t="shared" si="94"/>
        <v>0</v>
      </c>
      <c r="DR21" s="15">
        <f t="shared" si="95"/>
        <v>0.15888427928325538</v>
      </c>
      <c r="DS21" s="15">
        <f t="shared" si="96"/>
        <v>8.2119632994833422E-2</v>
      </c>
      <c r="DT21" s="15">
        <f t="shared" si="96"/>
        <v>0</v>
      </c>
      <c r="DU21" s="15">
        <f t="shared" si="96"/>
        <v>0.77410903027957245</v>
      </c>
      <c r="DV21" s="15">
        <f t="shared" si="96"/>
        <v>4.1014740341028651E-2</v>
      </c>
      <c r="DW21" s="15">
        <f t="shared" si="96"/>
        <v>3.2269046401275274E-3</v>
      </c>
      <c r="DX21" s="15">
        <f t="shared" si="96"/>
        <v>0</v>
      </c>
      <c r="DY21" s="15">
        <f t="shared" si="97"/>
        <v>1.1842245500275659E-2</v>
      </c>
      <c r="DZ21" s="15">
        <f t="shared" si="98"/>
        <v>2.881986007582193</v>
      </c>
      <c r="EA21" s="15">
        <f t="shared" si="99"/>
        <v>2.0818976859064029</v>
      </c>
      <c r="EC21" s="22">
        <f t="shared" si="100"/>
        <v>1.8849388960728228</v>
      </c>
      <c r="ED21" s="22">
        <f t="shared" si="101"/>
        <v>0</v>
      </c>
      <c r="EE21" s="22">
        <f t="shared" si="102"/>
        <v>0.11506110392717717</v>
      </c>
      <c r="EF21" s="22">
        <f t="shared" si="103"/>
        <v>0.10545943831730017</v>
      </c>
      <c r="EG21" s="22">
        <f t="shared" si="104"/>
        <v>0.22052054224447734</v>
      </c>
      <c r="EH21" s="22">
        <f t="shared" si="105"/>
        <v>0.17096467389942679</v>
      </c>
      <c r="EI21" s="22">
        <f t="shared" si="106"/>
        <v>0</v>
      </c>
      <c r="EJ21" s="22">
        <f t="shared" si="107"/>
        <v>1.6116157987782915</v>
      </c>
      <c r="EK21" s="22">
        <f t="shared" si="108"/>
        <v>8.5388493004039542E-2</v>
      </c>
      <c r="EL21" s="22">
        <f t="shared" si="109"/>
        <v>1.3436170605844266E-2</v>
      </c>
      <c r="EM21" s="22">
        <f t="shared" si="110"/>
        <v>0</v>
      </c>
      <c r="EN21" s="22">
        <f t="shared" si="111"/>
        <v>1.6436229001972939E-2</v>
      </c>
      <c r="EO21" s="15">
        <f t="shared" si="112"/>
        <v>4.0033008036068747</v>
      </c>
      <c r="EP21" s="15">
        <f t="shared" si="113"/>
        <v>6.6016072137483131E-3</v>
      </c>
      <c r="EQ21" s="15">
        <f t="shared" si="114"/>
        <v>9.8942460798365772E-3</v>
      </c>
      <c r="ER21" s="15">
        <f t="shared" si="115"/>
        <v>1.3436170605844266E-2</v>
      </c>
      <c r="ES21" s="15">
        <f t="shared" si="116"/>
        <v>0</v>
      </c>
      <c r="ET21" s="15">
        <f t="shared" si="117"/>
        <v>1.6436229001972939E-2</v>
      </c>
      <c r="EU21" s="15">
        <f t="shared" si="118"/>
        <v>7.5587038709482968E-2</v>
      </c>
      <c r="EV21" s="15">
        <f t="shared" si="119"/>
        <v>8.5388493004039542E-2</v>
      </c>
      <c r="EW21" s="15">
        <f t="shared" si="120"/>
        <v>0.81080247048209786</v>
      </c>
      <c r="EX21" s="15">
        <f t="shared" si="121"/>
        <v>0.73303959689098619</v>
      </c>
      <c r="EY21" s="15">
        <f t="shared" si="122"/>
        <v>7.719900810562709E-2</v>
      </c>
      <c r="EZ21" s="59">
        <f t="shared" si="123"/>
        <v>0.64733038478253302</v>
      </c>
      <c r="FA21" s="15">
        <f t="shared" si="124"/>
        <v>8.5388493004039556E-2</v>
      </c>
      <c r="FB21" s="15">
        <f t="shared" si="125"/>
        <v>9.2547873109255177E-2</v>
      </c>
      <c r="FC21" s="15">
        <f t="shared" si="126"/>
        <v>0.68598623809770853</v>
      </c>
      <c r="FD21" s="22">
        <f t="shared" si="127"/>
        <v>0.90745212689074473</v>
      </c>
      <c r="FE21" s="22">
        <f t="shared" si="128"/>
        <v>0.79084700181609047</v>
      </c>
      <c r="FF21" s="22">
        <f t="shared" si="129"/>
        <v>8.0655723650888064E-2</v>
      </c>
      <c r="FG21" s="22">
        <f t="shared" si="130"/>
        <v>0.8177734757086933</v>
      </c>
      <c r="FH21" s="22">
        <f t="shared" si="131"/>
        <v>8.3401860681422912E-2</v>
      </c>
      <c r="FI21" s="58">
        <f t="shared" si="132"/>
        <v>0.64673370142894371</v>
      </c>
      <c r="FJ21" s="15">
        <f t="shared" si="133"/>
        <v>1.0016504018034376</v>
      </c>
      <c r="FL21" s="1">
        <f t="shared" si="28"/>
        <v>1350</v>
      </c>
      <c r="FM21" s="1">
        <f t="shared" si="134"/>
        <v>15</v>
      </c>
      <c r="FO21" s="1">
        <f t="shared" si="29"/>
        <v>0.40371280895092893</v>
      </c>
      <c r="FP21" s="1">
        <f t="shared" si="135"/>
        <v>1399.4931197994383</v>
      </c>
      <c r="FR21" s="1">
        <f t="shared" si="30"/>
        <v>1213.068400493263</v>
      </c>
      <c r="FS21" s="1">
        <f t="shared" si="31"/>
        <v>1113.0166618345081</v>
      </c>
      <c r="FT21" s="1">
        <f t="shared" si="32"/>
        <v>1521.4976597875791</v>
      </c>
      <c r="FU21" s="1">
        <f t="shared" si="33"/>
        <v>1371.6338981389451</v>
      </c>
      <c r="FV21" s="1">
        <f t="shared" si="136"/>
        <v>0.3490959423067414</v>
      </c>
      <c r="FW21" s="1">
        <f t="shared" si="137"/>
        <v>1440.4911324784262</v>
      </c>
      <c r="FX21" s="1">
        <f t="shared" si="34"/>
        <v>1392.3377723333979</v>
      </c>
      <c r="FZ21" s="1">
        <f t="shared" si="138"/>
        <v>1339.2619762158247</v>
      </c>
      <c r="GA21" s="1">
        <f t="shared" si="139"/>
        <v>984.77682286736433</v>
      </c>
      <c r="GC21" s="1">
        <f t="shared" si="35"/>
        <v>33.700653687377851</v>
      </c>
      <c r="GD21" s="1">
        <f t="shared" si="36"/>
        <v>26.771516741663074</v>
      </c>
      <c r="GF21" s="1">
        <f t="shared" si="140"/>
        <v>25.89565</v>
      </c>
      <c r="GG21" s="1">
        <f t="shared" si="141"/>
        <v>31.143099999999997</v>
      </c>
      <c r="GH21" s="1">
        <f t="shared" si="142"/>
        <v>2.3649999999999984</v>
      </c>
      <c r="GI21" s="1">
        <f t="shared" si="37"/>
        <v>780.90929491162831</v>
      </c>
      <c r="GJ21" s="1">
        <f t="shared" si="38"/>
        <v>1464.9637894688531</v>
      </c>
      <c r="GL21" s="1">
        <f t="shared" si="143"/>
        <v>1311.8227832618845</v>
      </c>
      <c r="GM21" s="1">
        <f t="shared" ref="GM21:GM27" si="146">-273.15+((35000+61.5*FM21)/((LN(EL21/CB21))^2+19.8))</f>
        <v>1401.2501282572393</v>
      </c>
      <c r="GO21" s="1">
        <f t="shared" si="144"/>
        <v>1311.2754330091916</v>
      </c>
      <c r="GQ21" s="1">
        <f t="shared" si="39"/>
        <v>14.80987666987583</v>
      </c>
      <c r="GR21" s="1">
        <f t="shared" si="145"/>
        <v>-0.1901233301241696</v>
      </c>
      <c r="GS21" s="2">
        <f t="shared" si="40"/>
        <v>15</v>
      </c>
    </row>
    <row r="22" spans="1:201" ht="13.8" x14ac:dyDescent="0.25">
      <c r="A22" s="1" t="s">
        <v>46</v>
      </c>
      <c r="B22" s="1" t="s">
        <v>47</v>
      </c>
      <c r="C22" s="23">
        <v>1.5</v>
      </c>
      <c r="D22" s="2">
        <v>1325</v>
      </c>
      <c r="F22" s="1">
        <v>3030</v>
      </c>
      <c r="G22" s="23">
        <v>51.12</v>
      </c>
      <c r="H22" s="23">
        <v>0.1</v>
      </c>
      <c r="I22" s="23">
        <v>8.07</v>
      </c>
      <c r="J22" s="23">
        <v>3.57</v>
      </c>
      <c r="K22" s="23">
        <v>0</v>
      </c>
      <c r="L22" s="23">
        <v>17.95</v>
      </c>
      <c r="M22" s="23">
        <v>17.260000000000002</v>
      </c>
      <c r="N22" s="23">
        <v>0.77</v>
      </c>
      <c r="O22" s="23">
        <v>0</v>
      </c>
      <c r="P22" s="23">
        <v>1.1599999999999999</v>
      </c>
      <c r="R22" s="23">
        <v>54.1</v>
      </c>
      <c r="S22" s="23">
        <v>0</v>
      </c>
      <c r="T22" s="23">
        <v>5.7</v>
      </c>
      <c r="U22" s="23">
        <v>6.3</v>
      </c>
      <c r="V22" s="23">
        <v>0</v>
      </c>
      <c r="W22" s="23">
        <v>31.5</v>
      </c>
      <c r="X22" s="23">
        <v>1.65</v>
      </c>
      <c r="Y22" s="23">
        <v>0.25</v>
      </c>
      <c r="Z22" s="23">
        <v>0</v>
      </c>
      <c r="AA22" s="23">
        <v>0.5</v>
      </c>
      <c r="AC22" s="50">
        <f t="shared" ca="1" si="41"/>
        <v>1344.1488038455816</v>
      </c>
      <c r="AD22" s="50">
        <f t="shared" ca="1" si="0"/>
        <v>17.02961098284128</v>
      </c>
      <c r="AE22" s="66">
        <f t="shared" si="42"/>
        <v>0.89962766781762438</v>
      </c>
      <c r="AF22" s="27">
        <f t="shared" ca="1" si="1"/>
        <v>1258.9355092663427</v>
      </c>
      <c r="AG22" s="27"/>
      <c r="AH22" s="27">
        <f t="shared" ca="1" si="2"/>
        <v>1344.1488038455816</v>
      </c>
      <c r="AI22" s="27">
        <f t="shared" ca="1" si="3"/>
        <v>1311.2679853678865</v>
      </c>
      <c r="AJ22" s="27">
        <f t="shared" si="4"/>
        <v>14.906103538311488</v>
      </c>
      <c r="AK22" s="27">
        <f t="shared" ca="1" si="5"/>
        <v>17.02961098284128</v>
      </c>
      <c r="AL22" s="27">
        <f t="shared" si="43"/>
        <v>1283.0122749691127</v>
      </c>
      <c r="AM22" s="27">
        <f t="shared" si="44"/>
        <v>1507.5118847781737</v>
      </c>
      <c r="AN22" s="27">
        <f t="shared" si="45"/>
        <v>1234.3618847781736</v>
      </c>
      <c r="AO22" s="29">
        <f t="shared" ca="1" si="6"/>
        <v>1256.2488787153898</v>
      </c>
      <c r="AP22" s="42">
        <f t="shared" si="7"/>
        <v>0.99442896935933167</v>
      </c>
      <c r="AQ22" s="44"/>
      <c r="AR22" s="1">
        <f t="shared" si="8"/>
        <v>0.18256578429762702</v>
      </c>
      <c r="AT22" s="1">
        <f t="shared" si="46"/>
        <v>0.85080461950958897</v>
      </c>
      <c r="AU22" s="1">
        <f t="shared" si="47"/>
        <v>1.2518966233844276E-3</v>
      </c>
      <c r="AV22" s="1">
        <f t="shared" si="48"/>
        <v>7.9147909494806837E-2</v>
      </c>
      <c r="AW22" s="1">
        <f t="shared" si="49"/>
        <v>4.9689337252805985E-2</v>
      </c>
      <c r="AX22" s="1">
        <f t="shared" si="50"/>
        <v>0</v>
      </c>
      <c r="AY22" s="1">
        <f t="shared" si="51"/>
        <v>0.44536080427943348</v>
      </c>
      <c r="AZ22" s="1">
        <f t="shared" si="52"/>
        <v>0.30778887751571937</v>
      </c>
      <c r="BA22" s="1">
        <f t="shared" si="53"/>
        <v>1.242358286449098E-2</v>
      </c>
      <c r="BB22" s="1">
        <f t="shared" si="54"/>
        <v>0</v>
      </c>
      <c r="BC22" s="1">
        <f t="shared" si="55"/>
        <v>7.6316693223998705E-3</v>
      </c>
      <c r="BD22" s="1">
        <f t="shared" si="56"/>
        <v>1.75409869686263</v>
      </c>
      <c r="BF22" s="15">
        <f t="shared" si="57"/>
        <v>1.7016092390191779</v>
      </c>
      <c r="BG22" s="15">
        <f t="shared" si="57"/>
        <v>2.5037932467688552E-3</v>
      </c>
      <c r="BH22" s="15">
        <f t="shared" si="58"/>
        <v>0.23744372848442052</v>
      </c>
      <c r="BI22" s="15">
        <f t="shared" si="59"/>
        <v>4.9689337252805985E-2</v>
      </c>
      <c r="BJ22" s="15">
        <f t="shared" si="59"/>
        <v>0</v>
      </c>
      <c r="BK22" s="15">
        <f t="shared" si="59"/>
        <v>0.44536080427943348</v>
      </c>
      <c r="BL22" s="15">
        <f t="shared" si="59"/>
        <v>0.30778887751571937</v>
      </c>
      <c r="BM22" s="15">
        <f t="shared" si="59"/>
        <v>1.242358286449098E-2</v>
      </c>
      <c r="BN22" s="15">
        <f t="shared" si="59"/>
        <v>0</v>
      </c>
      <c r="BO22" s="15">
        <f t="shared" si="60"/>
        <v>2.2895007967199611E-2</v>
      </c>
      <c r="BP22" s="15">
        <f t="shared" si="61"/>
        <v>2.7797143706300167</v>
      </c>
      <c r="BQ22" s="15">
        <f t="shared" si="62"/>
        <v>2.1584951545363675</v>
      </c>
      <c r="BS22" s="22">
        <f t="shared" si="63"/>
        <v>1.8364576486686057</v>
      </c>
      <c r="BT22" s="22">
        <f t="shared" si="64"/>
        <v>2.7022127955557266E-3</v>
      </c>
      <c r="BU22" s="22">
        <f t="shared" si="65"/>
        <v>0.16354235133139428</v>
      </c>
      <c r="BV22" s="22">
        <f t="shared" si="66"/>
        <v>0.17813840694105276</v>
      </c>
      <c r="BW22" s="22">
        <f t="shared" si="67"/>
        <v>0.34168075827244704</v>
      </c>
      <c r="BX22" s="22">
        <f t="shared" si="68"/>
        <v>0.10725419369230514</v>
      </c>
      <c r="BY22" s="22">
        <f t="shared" si="69"/>
        <v>0</v>
      </c>
      <c r="BZ22" s="22">
        <f t="shared" si="70"/>
        <v>0.96130913805757667</v>
      </c>
      <c r="CA22" s="22">
        <f t="shared" si="71"/>
        <v>0.66436080073786774</v>
      </c>
      <c r="CB22" s="22">
        <f t="shared" si="72"/>
        <v>5.3632486829969649E-2</v>
      </c>
      <c r="CC22" s="22">
        <f t="shared" si="73"/>
        <v>0</v>
      </c>
      <c r="CD22" s="22">
        <f t="shared" si="74"/>
        <v>3.2945842506847928E-2</v>
      </c>
      <c r="CE22" s="15">
        <f t="shared" si="75"/>
        <v>4.0003430815611756</v>
      </c>
      <c r="CF22" s="15">
        <f t="shared" si="76"/>
        <v>6.86163122351785E-4</v>
      </c>
      <c r="CG22" s="15">
        <f t="shared" si="77"/>
        <v>1.0291564123789954E-3</v>
      </c>
      <c r="CH22" s="15">
        <f t="shared" si="78"/>
        <v>5.3632486829969649E-2</v>
      </c>
      <c r="CI22" s="15">
        <f t="shared" si="79"/>
        <v>0.12450592011108311</v>
      </c>
      <c r="CJ22" s="15">
        <f t="shared" si="80"/>
        <v>1.9518215610155584E-2</v>
      </c>
      <c r="CK22" s="15">
        <f t="shared" si="81"/>
        <v>1.6472921253423964E-2</v>
      </c>
      <c r="CL22" s="15">
        <f t="shared" si="82"/>
        <v>0.5038637437632052</v>
      </c>
      <c r="CM22" s="15">
        <f t="shared" si="83"/>
        <v>0.28234979399333826</v>
      </c>
      <c r="CN22" s="15">
        <f t="shared" si="84"/>
        <v>0.25400968667901364</v>
      </c>
      <c r="CO22" s="15">
        <f t="shared" si="85"/>
        <v>0.4532897646995494</v>
      </c>
      <c r="CP22" s="15">
        <f t="shared" si="86"/>
        <v>1.0003430815611758</v>
      </c>
      <c r="CQ22" s="15">
        <f t="shared" si="87"/>
        <v>0.5038637437632052</v>
      </c>
      <c r="CR22" s="15"/>
      <c r="CS22" s="1">
        <f t="shared" si="88"/>
        <v>0.90020572243630037</v>
      </c>
      <c r="CT22" s="15">
        <f t="shared" si="89"/>
        <v>0.10656803056995336</v>
      </c>
      <c r="CU22" s="59">
        <f t="shared" si="90"/>
        <v>0.24679907386681676</v>
      </c>
      <c r="CV22" s="22">
        <f t="shared" si="91"/>
        <v>0.53066849375706093</v>
      </c>
      <c r="CW22" s="22">
        <f t="shared" si="92"/>
        <v>0.35788235797486057</v>
      </c>
      <c r="CX22" s="22">
        <f t="shared" si="11"/>
        <v>0.70713623777606294</v>
      </c>
      <c r="CY22" s="22">
        <f t="shared" si="12"/>
        <v>7.839113685812879E-2</v>
      </c>
      <c r="CZ22" s="22">
        <f t="shared" si="13"/>
        <v>0.25386405629688097</v>
      </c>
      <c r="DA22" s="22">
        <f t="shared" si="14"/>
        <v>2.8142656135281659E-2</v>
      </c>
      <c r="DB22" s="22">
        <f t="shared" si="15"/>
        <v>0.17951647367634704</v>
      </c>
      <c r="DC22" s="22">
        <f t="shared" si="16"/>
        <v>0.2216207437492195</v>
      </c>
      <c r="DD22" s="1">
        <f t="shared" si="17"/>
        <v>0.90040160241527323</v>
      </c>
      <c r="DE22" s="1">
        <f t="shared" si="18"/>
        <v>0</v>
      </c>
      <c r="DF22" s="1">
        <f t="shared" si="19"/>
        <v>5.5903727895960223E-2</v>
      </c>
      <c r="DG22" s="1">
        <f t="shared" si="20"/>
        <v>8.7687065740245845E-2</v>
      </c>
      <c r="DH22" s="1">
        <f t="shared" si="21"/>
        <v>0</v>
      </c>
      <c r="DI22" s="1">
        <f t="shared" si="22"/>
        <v>0.78155238633995294</v>
      </c>
      <c r="DJ22" s="1">
        <f t="shared" si="23"/>
        <v>2.9423618070737945E-2</v>
      </c>
      <c r="DK22" s="1">
        <f t="shared" si="24"/>
        <v>4.0336308001594091E-3</v>
      </c>
      <c r="DL22" s="1">
        <f t="shared" si="25"/>
        <v>0</v>
      </c>
      <c r="DM22" s="1">
        <f t="shared" si="26"/>
        <v>3.2895126389654613E-3</v>
      </c>
      <c r="DN22" s="1">
        <f t="shared" si="93"/>
        <v>1.8622915439012948</v>
      </c>
      <c r="DP22" s="15">
        <f t="shared" si="94"/>
        <v>1.8008032048305465</v>
      </c>
      <c r="DQ22" s="15">
        <f t="shared" si="94"/>
        <v>0</v>
      </c>
      <c r="DR22" s="15">
        <f t="shared" si="95"/>
        <v>0.16771118368788068</v>
      </c>
      <c r="DS22" s="15">
        <f t="shared" si="96"/>
        <v>8.7687065740245845E-2</v>
      </c>
      <c r="DT22" s="15">
        <f t="shared" si="96"/>
        <v>0</v>
      </c>
      <c r="DU22" s="15">
        <f t="shared" si="96"/>
        <v>0.78155238633995294</v>
      </c>
      <c r="DV22" s="15">
        <f t="shared" si="96"/>
        <v>2.9423618070737945E-2</v>
      </c>
      <c r="DW22" s="15">
        <f t="shared" si="96"/>
        <v>4.0336308001594091E-3</v>
      </c>
      <c r="DX22" s="15">
        <f t="shared" si="96"/>
        <v>0</v>
      </c>
      <c r="DY22" s="15">
        <f t="shared" si="97"/>
        <v>9.8685379168963836E-3</v>
      </c>
      <c r="DZ22" s="15">
        <f t="shared" si="98"/>
        <v>2.8810796273864199</v>
      </c>
      <c r="EA22" s="15">
        <f t="shared" si="99"/>
        <v>2.0825526455313277</v>
      </c>
      <c r="EC22" s="22">
        <f t="shared" si="100"/>
        <v>1.875133739150574</v>
      </c>
      <c r="ED22" s="22">
        <f t="shared" si="101"/>
        <v>0</v>
      </c>
      <c r="EE22" s="22">
        <f t="shared" si="102"/>
        <v>0.12486626084942598</v>
      </c>
      <c r="EF22" s="22">
        <f t="shared" si="103"/>
        <v>0.1079786520001649</v>
      </c>
      <c r="EG22" s="22">
        <f t="shared" si="104"/>
        <v>0.23284491284959088</v>
      </c>
      <c r="EH22" s="22">
        <f t="shared" si="105"/>
        <v>0.18261293073622845</v>
      </c>
      <c r="EI22" s="22">
        <f t="shared" si="106"/>
        <v>0</v>
      </c>
      <c r="EJ22" s="22">
        <f t="shared" si="107"/>
        <v>1.6276239897935914</v>
      </c>
      <c r="EK22" s="22">
        <f t="shared" si="108"/>
        <v>6.1276233654318689E-2</v>
      </c>
      <c r="EL22" s="22">
        <f t="shared" si="109"/>
        <v>1.6800496987937247E-2</v>
      </c>
      <c r="EM22" s="22">
        <f t="shared" si="110"/>
        <v>0</v>
      </c>
      <c r="EN22" s="22">
        <f t="shared" si="111"/>
        <v>1.3701166497572522E-2</v>
      </c>
      <c r="EO22" s="15">
        <f t="shared" si="112"/>
        <v>4.0099934696698138</v>
      </c>
      <c r="EP22" s="15">
        <f t="shared" si="113"/>
        <v>1.9986939339625812E-2</v>
      </c>
      <c r="EQ22" s="15">
        <f t="shared" si="114"/>
        <v>2.9905693598957228E-2</v>
      </c>
      <c r="ER22" s="15">
        <f t="shared" si="115"/>
        <v>1.6800496987937247E-2</v>
      </c>
      <c r="ES22" s="15">
        <f t="shared" si="116"/>
        <v>0</v>
      </c>
      <c r="ET22" s="15">
        <f t="shared" si="117"/>
        <v>1.3701166497572522E-2</v>
      </c>
      <c r="EU22" s="15">
        <f t="shared" si="118"/>
        <v>7.7476988514655135E-2</v>
      </c>
      <c r="EV22" s="15">
        <f t="shared" si="119"/>
        <v>6.1276233654318689E-2</v>
      </c>
      <c r="EW22" s="15">
        <f t="shared" si="120"/>
        <v>0.83574184918042305</v>
      </c>
      <c r="EX22" s="15">
        <f t="shared" si="121"/>
        <v>0.75143395186216255</v>
      </c>
      <c r="EY22" s="15">
        <f t="shared" si="122"/>
        <v>5.509481481063605E-2</v>
      </c>
      <c r="EZ22" s="59">
        <f t="shared" si="123"/>
        <v>0.65637763223492096</v>
      </c>
      <c r="FA22" s="15">
        <f t="shared" si="124"/>
        <v>6.1276233654318689E-2</v>
      </c>
      <c r="FB22" s="15">
        <f t="shared" si="125"/>
        <v>9.0839822988567007E-2</v>
      </c>
      <c r="FC22" s="15">
        <f t="shared" si="126"/>
        <v>0.68939299732831671</v>
      </c>
      <c r="FD22" s="22">
        <f t="shared" si="127"/>
        <v>0.90916017701143303</v>
      </c>
      <c r="FE22" s="22">
        <f t="shared" si="128"/>
        <v>0.78036240237938015</v>
      </c>
      <c r="FF22" s="22">
        <f t="shared" si="129"/>
        <v>7.797083978325671E-2</v>
      </c>
      <c r="FG22" s="22">
        <f t="shared" si="130"/>
        <v>0.83817592276024566</v>
      </c>
      <c r="FH22" s="22">
        <f t="shared" si="131"/>
        <v>8.3747346597498412E-2</v>
      </c>
      <c r="FI22" s="58">
        <f t="shared" si="132"/>
        <v>0.65408097670173893</v>
      </c>
      <c r="FJ22" s="15">
        <f t="shared" si="133"/>
        <v>1.0049967348349067</v>
      </c>
      <c r="FL22" s="1">
        <f t="shared" si="28"/>
        <v>1325</v>
      </c>
      <c r="FM22" s="1">
        <f t="shared" si="134"/>
        <v>15</v>
      </c>
      <c r="FO22" s="1">
        <f t="shared" si="29"/>
        <v>0.33552766742067619</v>
      </c>
      <c r="FP22" s="1">
        <f t="shared" si="135"/>
        <v>1346.2253357010425</v>
      </c>
      <c r="FR22" s="1">
        <f t="shared" si="30"/>
        <v>1109.1299915510276</v>
      </c>
      <c r="FS22" s="1">
        <f t="shared" si="31"/>
        <v>1007.2328242586124</v>
      </c>
      <c r="FT22" s="1">
        <f t="shared" si="32"/>
        <v>1419.0916089909276</v>
      </c>
      <c r="FU22" s="1">
        <f t="shared" si="33"/>
        <v>1261.7408067622544</v>
      </c>
      <c r="FV22" s="1">
        <f t="shared" si="136"/>
        <v>0.27445603842749672</v>
      </c>
      <c r="FW22" s="1">
        <f t="shared" si="137"/>
        <v>1307.5134244253022</v>
      </c>
      <c r="FX22" s="1">
        <f t="shared" si="34"/>
        <v>1248.8606750820859</v>
      </c>
      <c r="FZ22" s="1">
        <f t="shared" si="138"/>
        <v>1283.0122749691127</v>
      </c>
      <c r="GA22" s="1">
        <f t="shared" si="139"/>
        <v>990.72825464949722</v>
      </c>
      <c r="GC22" s="1">
        <f t="shared" si="35"/>
        <v>44.927787780484167</v>
      </c>
      <c r="GD22" s="1">
        <f t="shared" si="36"/>
        <v>34.457946637871316</v>
      </c>
      <c r="GF22" s="1">
        <f t="shared" si="140"/>
        <v>25.89565</v>
      </c>
      <c r="GG22" s="1">
        <f t="shared" si="141"/>
        <v>31.143099999999997</v>
      </c>
      <c r="GH22" s="1">
        <f t="shared" si="142"/>
        <v>2.3649999999999984</v>
      </c>
      <c r="GI22" s="1">
        <f t="shared" si="37"/>
        <v>688.9192074562186</v>
      </c>
      <c r="GJ22" s="1">
        <f t="shared" si="38"/>
        <v>1330.2705363143305</v>
      </c>
      <c r="GL22" s="1">
        <f t="shared" si="143"/>
        <v>1198.3635969141988</v>
      </c>
      <c r="GM22" s="1">
        <f t="shared" si="146"/>
        <v>1425.5276017017081</v>
      </c>
      <c r="GO22" s="1">
        <f t="shared" si="144"/>
        <v>1234.3618847781736</v>
      </c>
      <c r="GQ22" s="1">
        <f t="shared" si="39"/>
        <v>14.906103538311488</v>
      </c>
      <c r="GR22" s="1">
        <f t="shared" si="145"/>
        <v>-9.3896461688512289E-2</v>
      </c>
      <c r="GS22" s="2">
        <f t="shared" si="40"/>
        <v>15</v>
      </c>
    </row>
    <row r="23" spans="1:201" ht="13.8" x14ac:dyDescent="0.25">
      <c r="A23" s="1" t="s">
        <v>26</v>
      </c>
      <c r="B23" s="1" t="s">
        <v>27</v>
      </c>
      <c r="C23" s="23">
        <v>1</v>
      </c>
      <c r="D23" s="2">
        <v>1325</v>
      </c>
      <c r="F23" s="1">
        <v>1114</v>
      </c>
      <c r="G23" s="23">
        <v>52.5</v>
      </c>
      <c r="H23" s="23">
        <v>0</v>
      </c>
      <c r="I23" s="23">
        <v>5.19</v>
      </c>
      <c r="J23" s="23">
        <v>4.12</v>
      </c>
      <c r="K23" s="23">
        <v>0</v>
      </c>
      <c r="L23" s="23">
        <v>21.28</v>
      </c>
      <c r="M23" s="23">
        <v>15.45</v>
      </c>
      <c r="N23" s="23">
        <v>0</v>
      </c>
      <c r="O23" s="23">
        <v>0</v>
      </c>
      <c r="P23" s="23">
        <v>1.45</v>
      </c>
      <c r="R23" s="23">
        <v>55.2</v>
      </c>
      <c r="S23" s="23">
        <v>0</v>
      </c>
      <c r="T23" s="23">
        <v>3.3</v>
      </c>
      <c r="U23" s="23">
        <v>5.6</v>
      </c>
      <c r="V23" s="23">
        <v>0</v>
      </c>
      <c r="W23" s="23">
        <v>32.700000000000003</v>
      </c>
      <c r="X23" s="23">
        <v>2</v>
      </c>
      <c r="Y23" s="23">
        <v>0</v>
      </c>
      <c r="Z23" s="23">
        <v>0</v>
      </c>
      <c r="AA23" s="23">
        <v>1.3</v>
      </c>
      <c r="AC23" s="50">
        <f t="shared" ca="1" si="41"/>
        <v>1317.3412718587153</v>
      </c>
      <c r="AD23" s="50">
        <f t="shared" ca="1" si="0"/>
        <v>8.9157441739836099</v>
      </c>
      <c r="AE23" s="66">
        <f t="shared" si="42"/>
        <v>0.90202981391401882</v>
      </c>
      <c r="AF23" s="27">
        <f t="shared" ca="1" si="1"/>
        <v>1319.2195026829904</v>
      </c>
      <c r="AG23" s="27"/>
      <c r="AH23" s="27">
        <f t="shared" ca="1" si="2"/>
        <v>1317.3412718587153</v>
      </c>
      <c r="AI23" s="27">
        <f t="shared" ca="1" si="3"/>
        <v>1323.2809430193313</v>
      </c>
      <c r="AJ23" s="27">
        <f t="shared" si="4"/>
        <v>9.6986155181214553</v>
      </c>
      <c r="AK23" s="27">
        <f t="shared" ca="1" si="5"/>
        <v>8.9157441739836099</v>
      </c>
      <c r="AL23" s="27">
        <f t="shared" si="43"/>
        <v>1393.8328164864338</v>
      </c>
      <c r="AM23" s="27">
        <f t="shared" si="44"/>
        <v>1643.1482027571951</v>
      </c>
      <c r="AN23" s="27">
        <f t="shared" si="45"/>
        <v>1369.998202757195</v>
      </c>
      <c r="AO23" s="29">
        <f t="shared" ca="1" si="6"/>
        <v>1259.5899102327026</v>
      </c>
      <c r="AP23" s="42">
        <f t="shared" si="7"/>
        <v>1.1305383995703548</v>
      </c>
      <c r="AQ23" s="44"/>
      <c r="AR23" s="1">
        <f t="shared" si="8"/>
        <v>0.18204089426046283</v>
      </c>
      <c r="AT23" s="1">
        <f t="shared" si="46"/>
        <v>0.87377234984846297</v>
      </c>
      <c r="AU23" s="1">
        <f t="shared" si="47"/>
        <v>0</v>
      </c>
      <c r="AV23" s="1">
        <f t="shared" si="48"/>
        <v>5.0901815400005893E-2</v>
      </c>
      <c r="AW23" s="1">
        <f t="shared" si="49"/>
        <v>5.7344557277748086E-2</v>
      </c>
      <c r="AX23" s="1">
        <f t="shared" si="50"/>
        <v>0</v>
      </c>
      <c r="AY23" s="1">
        <f t="shared" si="51"/>
        <v>0.52798205654965713</v>
      </c>
      <c r="AZ23" s="1">
        <f t="shared" si="52"/>
        <v>0.27551206011690982</v>
      </c>
      <c r="BA23" s="1">
        <f t="shared" si="53"/>
        <v>0</v>
      </c>
      <c r="BB23" s="1">
        <f t="shared" si="54"/>
        <v>0</v>
      </c>
      <c r="BC23" s="1">
        <f t="shared" si="55"/>
        <v>9.5395866529998374E-3</v>
      </c>
      <c r="BD23" s="1">
        <f t="shared" ref="BD23:BD29" si="147">SUM(AT23:BC23)</f>
        <v>1.7950524258457841</v>
      </c>
      <c r="BF23" s="15">
        <f t="shared" ref="BF23:BG29" si="148">AT23*2</f>
        <v>1.7475446996969259</v>
      </c>
      <c r="BG23" s="15">
        <f t="shared" si="148"/>
        <v>0</v>
      </c>
      <c r="BH23" s="15">
        <f t="shared" ref="BH23:BH29" si="149">AV23*3</f>
        <v>0.15270544620001769</v>
      </c>
      <c r="BI23" s="15">
        <f t="shared" ref="BI23:BK29" si="150">AW23</f>
        <v>5.7344557277748086E-2</v>
      </c>
      <c r="BJ23" s="15">
        <f t="shared" si="150"/>
        <v>0</v>
      </c>
      <c r="BK23" s="15">
        <f t="shared" si="150"/>
        <v>0.52798205654965713</v>
      </c>
      <c r="BL23" s="15">
        <f t="shared" ref="BL23:BN29" si="151">AZ23</f>
        <v>0.27551206011690982</v>
      </c>
      <c r="BM23" s="15">
        <f t="shared" si="151"/>
        <v>0</v>
      </c>
      <c r="BN23" s="15">
        <f t="shared" si="151"/>
        <v>0</v>
      </c>
      <c r="BO23" s="15">
        <f t="shared" ref="BO23:BO29" si="152">BC23*3</f>
        <v>2.8618759958999512E-2</v>
      </c>
      <c r="BP23" s="15">
        <f t="shared" ref="BP23:BP29" si="153">SUM(BF23:BO23)</f>
        <v>2.789707579800258</v>
      </c>
      <c r="BQ23" s="15">
        <f t="shared" ref="BQ23:BQ29" si="154">6/BP23</f>
        <v>2.1507630561155797</v>
      </c>
      <c r="BS23" s="22">
        <f t="shared" si="63"/>
        <v>1.8792772895093717</v>
      </c>
      <c r="BT23" s="22">
        <f t="shared" si="64"/>
        <v>0</v>
      </c>
      <c r="BU23" s="22">
        <f t="shared" ref="BU23:BU29" si="155">2-BS23</f>
        <v>0.12072271049062833</v>
      </c>
      <c r="BV23" s="22">
        <f t="shared" ref="BV23:BV29" si="156">IF(BW23-BU23&lt;0,0,BW23-BU23)</f>
        <v>9.8232777612467181E-2</v>
      </c>
      <c r="BW23" s="22">
        <f t="shared" si="67"/>
        <v>0.21895548810309551</v>
      </c>
      <c r="BX23" s="22">
        <f t="shared" si="68"/>
        <v>0.12333455526228439</v>
      </c>
      <c r="BY23" s="22">
        <f t="shared" si="69"/>
        <v>0</v>
      </c>
      <c r="BZ23" s="22">
        <f t="shared" si="70"/>
        <v>1.1355643015189294</v>
      </c>
      <c r="CA23" s="22">
        <f t="shared" si="71"/>
        <v>0.59256116041374429</v>
      </c>
      <c r="CB23" s="22">
        <f t="shared" si="72"/>
        <v>0</v>
      </c>
      <c r="CC23" s="22">
        <f t="shared" si="73"/>
        <v>0</v>
      </c>
      <c r="CD23" s="22">
        <f t="shared" si="74"/>
        <v>4.1034781087770651E-2</v>
      </c>
      <c r="CE23" s="15">
        <f t="shared" ref="CE23:CE29" si="157">BS23+BT23+BW23+BX23+BY23+BZ23+CA23+CB23+CC23+CD23</f>
        <v>3.9907275758951961</v>
      </c>
      <c r="CF23" s="15">
        <f t="shared" ref="CF23:CF29" si="158">IF(CB23+BU23-BV23-2*BT23-CD23&gt;0,CB23+BU23-BV23-2*BT23-CD23,0)</f>
        <v>0</v>
      </c>
      <c r="CG23" s="15">
        <f t="shared" ref="CG23:CG29" si="159">12-48/CE23</f>
        <v>-2.7881905527637585E-2</v>
      </c>
      <c r="CH23" s="15">
        <f t="shared" ref="CH23:CH29" si="160">IF(CB23&lt;BV23,CB23,BV23)</f>
        <v>0</v>
      </c>
      <c r="CI23" s="15">
        <f t="shared" ref="CI23:CI29" si="161">IF(BV23&gt;CB23,BV23-CB23,0)</f>
        <v>9.8232777612467181E-2</v>
      </c>
      <c r="CJ23" s="15">
        <f t="shared" ref="CJ23:CJ29" si="162">IF(BU23&gt;CI23,(BU23-CI23)/2,0)</f>
        <v>1.1244966439080573E-2</v>
      </c>
      <c r="CK23" s="15">
        <f t="shared" ref="CK23:CK29" si="163">CD23/2</f>
        <v>2.0517390543885326E-2</v>
      </c>
      <c r="CL23" s="15">
        <f t="shared" ref="CL23:CL29" si="164">IF(CA23-CJ23-CI23-CK23&gt;0,CA23-CJ23-CI23-CK23,0)</f>
        <v>0.46256602581831119</v>
      </c>
      <c r="CM23" s="15">
        <f t="shared" ref="CM23:CM29" si="165">((BX23+BZ23)-CL23)/2</f>
        <v>0.39816641548145132</v>
      </c>
      <c r="CN23" s="15">
        <f t="shared" ref="CN23:CN29" si="166">CM23*(BZ23/(BZ23+BY23+BX23))</f>
        <v>0.35915797766354546</v>
      </c>
      <c r="CO23" s="15">
        <f t="shared" ref="CO23:CO29" si="167">CQ23*(BZ23/(BZ23+BY23+BX23))</f>
        <v>0.41724834619183848</v>
      </c>
      <c r="CP23" s="15">
        <f t="shared" ref="CP23:CP29" si="168">SUM(CH23:CM23)</f>
        <v>0.99072757589519567</v>
      </c>
      <c r="CQ23" s="15">
        <f t="shared" ref="CQ23:CQ29" si="169">CA23-CI23-CJ23-CK23</f>
        <v>0.46256602581831119</v>
      </c>
      <c r="CR23" s="15"/>
      <c r="CS23" s="1">
        <f t="shared" ref="CS23:CS29" si="170">BZ23/(BZ23+CT23)</f>
        <v>0.90202981391401882</v>
      </c>
      <c r="CT23" s="15">
        <f t="shared" ref="CT23:CT29" si="171">BX23-CF23</f>
        <v>0.12333455526228439</v>
      </c>
      <c r="CU23" s="59">
        <f t="shared" si="90"/>
        <v>0.34318004263124874</v>
      </c>
      <c r="CV23" s="22">
        <f t="shared" si="91"/>
        <v>0.4849067314494569</v>
      </c>
      <c r="CW23" s="22">
        <f t="shared" ref="CW23:CW29" si="172">(BZ23/(CA23+BZ23+BX23-CF23+BY23+CB23))*(BZ23/(BX23+BW23+BT23+CD23+BZ23))</f>
        <v>0.45854615041361363</v>
      </c>
      <c r="CX23" s="22">
        <f t="shared" si="11"/>
        <v>0.77640632385538355</v>
      </c>
      <c r="CY23" s="22">
        <f t="shared" si="12"/>
        <v>8.4326117444378568E-2</v>
      </c>
      <c r="CZ23" s="22">
        <f t="shared" si="13"/>
        <v>0.36752198065333402</v>
      </c>
      <c r="DA23" s="22">
        <f t="shared" si="14"/>
        <v>3.9916858932921705E-2</v>
      </c>
      <c r="DB23" s="22">
        <f t="shared" si="15"/>
        <v>0.28534638993510447</v>
      </c>
      <c r="DC23" s="22">
        <f t="shared" si="16"/>
        <v>0.35447377279483333</v>
      </c>
      <c r="DD23" s="1">
        <f t="shared" si="17"/>
        <v>0.91870921355495538</v>
      </c>
      <c r="DE23" s="1">
        <f t="shared" si="18"/>
        <v>0</v>
      </c>
      <c r="DF23" s="1">
        <f t="shared" si="19"/>
        <v>3.2365316150292756E-2</v>
      </c>
      <c r="DG23" s="1">
        <f t="shared" si="20"/>
        <v>7.7944058435774094E-2</v>
      </c>
      <c r="DH23" s="1">
        <f t="shared" si="21"/>
        <v>0</v>
      </c>
      <c r="DI23" s="1">
        <f t="shared" si="22"/>
        <v>0.81132581058147502</v>
      </c>
      <c r="DJ23" s="1">
        <f t="shared" si="23"/>
        <v>3.566499160089448E-2</v>
      </c>
      <c r="DK23" s="1">
        <f t="shared" si="24"/>
        <v>0</v>
      </c>
      <c r="DL23" s="1">
        <f t="shared" si="25"/>
        <v>0</v>
      </c>
      <c r="DM23" s="1">
        <f t="shared" si="26"/>
        <v>8.5527328613102006E-3</v>
      </c>
      <c r="DN23" s="1">
        <f t="shared" ref="DN23:DN29" si="173">SUM(DD23:DM23)</f>
        <v>1.8845621231847018</v>
      </c>
      <c r="DP23" s="15">
        <f t="shared" ref="DP23:DQ29" si="174">DD23*2</f>
        <v>1.8374184271099108</v>
      </c>
      <c r="DQ23" s="15">
        <f t="shared" si="174"/>
        <v>0</v>
      </c>
      <c r="DR23" s="15">
        <f t="shared" ref="DR23:DR29" si="175">DF23*3</f>
        <v>9.7095948450878267E-2</v>
      </c>
      <c r="DS23" s="15">
        <f t="shared" ref="DS23:DU29" si="176">DG23</f>
        <v>7.7944058435774094E-2</v>
      </c>
      <c r="DT23" s="15">
        <f t="shared" si="176"/>
        <v>0</v>
      </c>
      <c r="DU23" s="15">
        <f t="shared" si="176"/>
        <v>0.81132581058147502</v>
      </c>
      <c r="DV23" s="15">
        <f t="shared" ref="DV23:DX29" si="177">DJ23</f>
        <v>3.566499160089448E-2</v>
      </c>
      <c r="DW23" s="15">
        <f t="shared" si="177"/>
        <v>0</v>
      </c>
      <c r="DX23" s="15">
        <f t="shared" si="177"/>
        <v>0</v>
      </c>
      <c r="DY23" s="15">
        <f t="shared" ref="DY23:DY29" si="178">DM23*3</f>
        <v>2.5658198583930602E-2</v>
      </c>
      <c r="DZ23" s="15">
        <f t="shared" ref="DZ23:DZ29" si="179">SUM(DP23:DY23)</f>
        <v>2.8851074347628631</v>
      </c>
      <c r="EA23" s="15">
        <f t="shared" ref="EA23:EA29" si="180">6/DZ23</f>
        <v>2.0796452595510226</v>
      </c>
      <c r="EC23" s="22">
        <f t="shared" si="100"/>
        <v>1.9105892608754111</v>
      </c>
      <c r="ED23" s="22">
        <f t="shared" si="101"/>
        <v>0</v>
      </c>
      <c r="EE23" s="22">
        <f t="shared" ref="EE23:EE29" si="181">2-EC23</f>
        <v>8.9410739124588856E-2</v>
      </c>
      <c r="EF23" s="22">
        <f t="shared" ref="EF23:EF29" si="182">IF(EG23-EE23&lt;0,0,EG23-EE23)</f>
        <v>4.5206013487064101E-2</v>
      </c>
      <c r="EG23" s="22">
        <f t="shared" si="104"/>
        <v>0.13461675261165296</v>
      </c>
      <c r="EH23" s="22">
        <f t="shared" si="105"/>
        <v>0.16209599163612548</v>
      </c>
      <c r="EI23" s="22">
        <f t="shared" si="106"/>
        <v>0</v>
      </c>
      <c r="EJ23" s="22">
        <f t="shared" si="107"/>
        <v>1.6872698759271554</v>
      </c>
      <c r="EK23" s="22">
        <f t="shared" si="108"/>
        <v>7.4170530714727248E-2</v>
      </c>
      <c r="EL23" s="22">
        <f t="shared" si="109"/>
        <v>0</v>
      </c>
      <c r="EM23" s="22">
        <f t="shared" si="110"/>
        <v>0</v>
      </c>
      <c r="EN23" s="22">
        <f t="shared" si="111"/>
        <v>3.5573300702460023E-2</v>
      </c>
      <c r="EO23" s="15">
        <f t="shared" ref="EO23:EO29" si="183">EC23+ED23+EG23+EH23+EI23+EJ23+EK23+EL23+EM23+EN23</f>
        <v>4.0043157124675322</v>
      </c>
      <c r="EP23" s="15">
        <f t="shared" ref="EP23:EP29" si="184">IF(EL23+EE23-EF23-2*ED23-EN23&gt;0,EL23+EE23-EF23-2*ED23-EN23,0)</f>
        <v>8.6314249350647326E-3</v>
      </c>
      <c r="EQ23" s="15">
        <f t="shared" ref="EQ23:EQ29" si="185">12-48/EO23</f>
        <v>1.2933183427355388E-2</v>
      </c>
      <c r="ER23" s="15">
        <f t="shared" ref="ER23:ER29" si="186">EL23</f>
        <v>0</v>
      </c>
      <c r="ES23" s="15">
        <f t="shared" ref="ES23:ES29" si="187">ED23</f>
        <v>0</v>
      </c>
      <c r="ET23" s="15">
        <f t="shared" ref="ET23:ET29" si="188">EN23</f>
        <v>3.5573300702460023E-2</v>
      </c>
      <c r="EU23" s="15">
        <f t="shared" ref="EU23:EU29" si="189">(EF23-ER23-ET23)</f>
        <v>9.6327127846040778E-3</v>
      </c>
      <c r="EV23" s="15">
        <f t="shared" ref="EV23:EV29" si="190">EK23</f>
        <v>7.4170530714727248E-2</v>
      </c>
      <c r="EW23" s="15">
        <f t="shared" ref="EW23:EW29" si="191">((EH23+EJ23+EI23)-ES23-EU23-EV23)/2</f>
        <v>0.88278131203197474</v>
      </c>
      <c r="EX23" s="15">
        <f t="shared" ref="EX23:EX29" si="192">EW23*(EJ23/(EJ23+EH23+EI23))</f>
        <v>0.80540597236475964</v>
      </c>
      <c r="EY23" s="15">
        <f t="shared" ref="EY23:EY29" si="193">EV23*(EJ23/(EJ23+EH23+EI23))</f>
        <v>6.7669520861970228E-2</v>
      </c>
      <c r="EZ23" s="59">
        <f t="shared" si="123"/>
        <v>0.70869921787582513</v>
      </c>
      <c r="FA23" s="15">
        <f t="shared" si="124"/>
        <v>7.4170530714727248E-2</v>
      </c>
      <c r="FB23" s="15">
        <f t="shared" ref="FB23:FB29" si="194">(EH23-EP23)/((EH23-EP23)+EJ23)</f>
        <v>8.3371377830005033E-2</v>
      </c>
      <c r="FC23" s="15">
        <f t="shared" ref="FC23:FC29" si="195">(EJ23/(EK23+EJ23-EP23+EH23+EI23+EL23))*(EJ23/(EP23+EH23-EP23+EG23+ED23+EN23+EJ23))</f>
        <v>0.73614945579295654</v>
      </c>
      <c r="FD23" s="22">
        <f t="shared" si="127"/>
        <v>0.91662862216999497</v>
      </c>
      <c r="FE23" s="22">
        <f t="shared" si="128"/>
        <v>0.83467217955902218</v>
      </c>
      <c r="FF23" s="22">
        <f t="shared" si="129"/>
        <v>7.5917081316388926E-2</v>
      </c>
      <c r="FG23" s="22">
        <f t="shared" si="130"/>
        <v>0.8486417907953373</v>
      </c>
      <c r="FH23" s="22">
        <f t="shared" si="131"/>
        <v>7.7187678489935518E-2</v>
      </c>
      <c r="FI23" s="58">
        <f t="shared" si="132"/>
        <v>0.70833769318801576</v>
      </c>
      <c r="FJ23" s="15">
        <f t="shared" ref="FJ23:FJ29" si="196">SUM(ER23:EW23)</f>
        <v>1.0021578562337661</v>
      </c>
      <c r="FL23" s="1">
        <f t="shared" si="28"/>
        <v>1325</v>
      </c>
      <c r="FM23" s="1">
        <f t="shared" si="134"/>
        <v>10</v>
      </c>
      <c r="FO23" s="1">
        <f t="shared" si="29"/>
        <v>0.42018266118736636</v>
      </c>
      <c r="FP23" s="1">
        <f t="shared" ref="FP23:FP29" si="197">1616.67+287.935*LN(FO23)+2.933*FM23</f>
        <v>1396.3414219317858</v>
      </c>
      <c r="FR23" s="1">
        <f t="shared" si="30"/>
        <v>1245.2866427017791</v>
      </c>
      <c r="FS23" s="1">
        <f t="shared" si="31"/>
        <v>1128.3732569336389</v>
      </c>
      <c r="FT23" s="1">
        <f t="shared" si="32"/>
        <v>1541.6327288258806</v>
      </c>
      <c r="FU23" s="1">
        <f t="shared" si="33"/>
        <v>1398.5523597980398</v>
      </c>
      <c r="FV23" s="1">
        <f t="shared" si="136"/>
        <v>0.40283948274846965</v>
      </c>
      <c r="FW23" s="1">
        <f t="shared" ref="FW23:FW29" si="198">-273.15+(4900/(1.807-LN(FV23)))</f>
        <v>1530.8295110646877</v>
      </c>
      <c r="FX23" s="1">
        <f t="shared" si="34"/>
        <v>1347.2881183533241</v>
      </c>
      <c r="FZ23" s="1">
        <f t="shared" si="138"/>
        <v>1393.8328164864338</v>
      </c>
      <c r="GA23" s="1">
        <f t="shared" ref="GA23:GA29" si="199">-273.15+(3666/(0.8808-LN(EF23/(0.5*EJ23))))</f>
        <v>689.73967931162963</v>
      </c>
      <c r="GC23" s="1">
        <f t="shared" si="35"/>
        <v>45.117119628691341</v>
      </c>
      <c r="GD23" s="1">
        <f t="shared" si="36"/>
        <v>34.585290023066563</v>
      </c>
      <c r="GF23" s="1">
        <f t="shared" ref="GF23:GF29" si="200">26.23-0.02229*FM23</f>
        <v>26.007100000000001</v>
      </c>
      <c r="GG23" s="1">
        <f t="shared" ref="GG23:GG29" si="201">32.44-0.08646*FM23</f>
        <v>31.575399999999998</v>
      </c>
      <c r="GH23" s="1">
        <f t="shared" ref="GH23:GH29" si="202">28.6-1.749*FM23</f>
        <v>11.11</v>
      </c>
      <c r="GI23" s="1">
        <f t="shared" si="37"/>
        <v>860.28241748231642</v>
      </c>
      <c r="GJ23" s="1">
        <f t="shared" si="38"/>
        <v>1282.1204710840516</v>
      </c>
      <c r="GL23" s="1">
        <f t="shared" si="143"/>
        <v>1231.8939894827868</v>
      </c>
      <c r="GM23" s="1" t="e">
        <f>-273.15+((35000+61.5*FM23)/((LN(EL23/CB23))^2+19.8))</f>
        <v>#DIV/0!</v>
      </c>
      <c r="GO23" s="1">
        <f t="shared" si="144"/>
        <v>1369.998202757195</v>
      </c>
      <c r="GQ23" s="1">
        <f t="shared" si="39"/>
        <v>9.6986155181214553</v>
      </c>
      <c r="GR23" s="1">
        <f t="shared" si="145"/>
        <v>-0.30138448187854472</v>
      </c>
      <c r="GS23" s="2">
        <f t="shared" si="40"/>
        <v>10</v>
      </c>
    </row>
    <row r="24" spans="1:201" ht="13.8" x14ac:dyDescent="0.25">
      <c r="A24" s="1" t="s">
        <v>26</v>
      </c>
      <c r="B24" s="1" t="s">
        <v>28</v>
      </c>
      <c r="C24" s="23">
        <v>1</v>
      </c>
      <c r="D24" s="2">
        <v>1321</v>
      </c>
      <c r="F24" s="1">
        <v>1113</v>
      </c>
      <c r="G24" s="23">
        <v>51.8</v>
      </c>
      <c r="H24" s="23">
        <v>0.17</v>
      </c>
      <c r="I24" s="23">
        <v>5.0999999999999996</v>
      </c>
      <c r="J24" s="23">
        <v>4.5999999999999996</v>
      </c>
      <c r="K24" s="23">
        <v>0.19</v>
      </c>
      <c r="L24" s="23">
        <v>21.5</v>
      </c>
      <c r="M24" s="23">
        <v>14.9</v>
      </c>
      <c r="N24" s="23">
        <v>0.21</v>
      </c>
      <c r="O24" s="23">
        <v>0</v>
      </c>
      <c r="P24" s="23">
        <v>1.58</v>
      </c>
      <c r="R24" s="23">
        <v>54.1</v>
      </c>
      <c r="S24" s="23">
        <v>0.09</v>
      </c>
      <c r="T24" s="23">
        <v>4.2</v>
      </c>
      <c r="U24" s="23">
        <v>5.9</v>
      </c>
      <c r="V24" s="23">
        <v>0.21</v>
      </c>
      <c r="W24" s="23">
        <v>31.3</v>
      </c>
      <c r="X24" s="23">
        <v>2.9</v>
      </c>
      <c r="Y24" s="23">
        <v>0.04</v>
      </c>
      <c r="Z24" s="23">
        <v>0</v>
      </c>
      <c r="AA24" s="23">
        <v>1.32</v>
      </c>
      <c r="AC24" s="50">
        <f t="shared" ca="1" si="41"/>
        <v>1349.5306989527849</v>
      </c>
      <c r="AD24" s="50">
        <f t="shared" ca="1" si="0"/>
        <v>8.6259773169153764</v>
      </c>
      <c r="AE24" s="66">
        <f t="shared" si="42"/>
        <v>0.8928382917349923</v>
      </c>
      <c r="AF24" s="27">
        <f t="shared" ca="1" si="1"/>
        <v>1319.8934768077511</v>
      </c>
      <c r="AG24" s="27"/>
      <c r="AH24" s="27">
        <f t="shared" ca="1" si="2"/>
        <v>1349.5306989527849</v>
      </c>
      <c r="AI24" s="27">
        <f t="shared" ca="1" si="3"/>
        <v>1313.5962395167228</v>
      </c>
      <c r="AJ24" s="27">
        <f t="shared" si="4"/>
        <v>10.843843049195684</v>
      </c>
      <c r="AK24" s="27">
        <f t="shared" ca="1" si="5"/>
        <v>8.6259773169153764</v>
      </c>
      <c r="AL24" s="27">
        <f t="shared" si="43"/>
        <v>1412.0553503787928</v>
      </c>
      <c r="AM24" s="27">
        <f t="shared" si="44"/>
        <v>1671.3272571408475</v>
      </c>
      <c r="AN24" s="27">
        <f t="shared" si="45"/>
        <v>1398.1772571408474</v>
      </c>
      <c r="AO24" s="29">
        <f t="shared" ca="1" si="6"/>
        <v>1254.4612995251096</v>
      </c>
      <c r="AP24" s="42">
        <f t="shared" si="7"/>
        <v>1.1350413874655101</v>
      </c>
      <c r="AQ24" s="44"/>
      <c r="AR24" s="1">
        <f t="shared" si="8"/>
        <v>0.25388308397120191</v>
      </c>
      <c r="AT24" s="1">
        <f t="shared" si="46"/>
        <v>0.86212205185048341</v>
      </c>
      <c r="AU24" s="1">
        <f t="shared" si="47"/>
        <v>2.1282242597535266E-3</v>
      </c>
      <c r="AV24" s="1">
        <f t="shared" si="48"/>
        <v>5.0019124959543353E-2</v>
      </c>
      <c r="AW24" s="1">
        <f t="shared" si="49"/>
        <v>6.4025476572243001E-2</v>
      </c>
      <c r="AX24" s="1">
        <f t="shared" si="50"/>
        <v>2.6784140969162997E-3</v>
      </c>
      <c r="AY24" s="1">
        <f t="shared" si="51"/>
        <v>0.53344051766060285</v>
      </c>
      <c r="AZ24" s="1">
        <f t="shared" si="52"/>
        <v>0.26570418742666391</v>
      </c>
      <c r="BA24" s="1">
        <f t="shared" si="53"/>
        <v>3.3882498721339032E-3</v>
      </c>
      <c r="BB24" s="1">
        <f t="shared" si="54"/>
        <v>0</v>
      </c>
      <c r="BC24" s="1">
        <f t="shared" si="55"/>
        <v>1.0394859939130859E-2</v>
      </c>
      <c r="BD24" s="1">
        <f t="shared" si="147"/>
        <v>1.7939011066374708</v>
      </c>
      <c r="BF24" s="15">
        <f t="shared" si="148"/>
        <v>1.7242441037009668</v>
      </c>
      <c r="BG24" s="15">
        <f t="shared" si="148"/>
        <v>4.2564485195070532E-3</v>
      </c>
      <c r="BH24" s="15">
        <f t="shared" si="149"/>
        <v>0.15005737487863005</v>
      </c>
      <c r="BI24" s="15">
        <f t="shared" si="150"/>
        <v>6.4025476572243001E-2</v>
      </c>
      <c r="BJ24" s="15">
        <f t="shared" si="150"/>
        <v>2.6784140969162997E-3</v>
      </c>
      <c r="BK24" s="15">
        <f t="shared" si="150"/>
        <v>0.53344051766060285</v>
      </c>
      <c r="BL24" s="15">
        <f t="shared" si="151"/>
        <v>0.26570418742666391</v>
      </c>
      <c r="BM24" s="15">
        <f t="shared" si="151"/>
        <v>3.3882498721339032E-3</v>
      </c>
      <c r="BN24" s="15">
        <f t="shared" si="151"/>
        <v>0</v>
      </c>
      <c r="BO24" s="15">
        <f t="shared" si="152"/>
        <v>3.1184579817392578E-2</v>
      </c>
      <c r="BP24" s="15">
        <f t="shared" si="153"/>
        <v>2.7789793525450563</v>
      </c>
      <c r="BQ24" s="15">
        <f t="shared" si="154"/>
        <v>2.1590660594527464</v>
      </c>
      <c r="BS24" s="22">
        <f t="shared" si="63"/>
        <v>1.8613784612561395</v>
      </c>
      <c r="BT24" s="22">
        <f t="shared" si="64"/>
        <v>4.5949767661377849E-3</v>
      </c>
      <c r="BU24" s="22">
        <f t="shared" si="155"/>
        <v>0.13862153874386052</v>
      </c>
      <c r="BV24" s="22">
        <f t="shared" si="156"/>
        <v>7.7367651303491047E-2</v>
      </c>
      <c r="BW24" s="22">
        <f t="shared" si="67"/>
        <v>0.21598919004735156</v>
      </c>
      <c r="BX24" s="22">
        <f t="shared" si="68"/>
        <v>0.13823523340741684</v>
      </c>
      <c r="BY24" s="22">
        <f t="shared" si="69"/>
        <v>5.7828729698117618E-3</v>
      </c>
      <c r="BZ24" s="22">
        <f t="shared" si="70"/>
        <v>1.1517333164179111</v>
      </c>
      <c r="CA24" s="22">
        <f t="shared" si="71"/>
        <v>0.57367289292738122</v>
      </c>
      <c r="CB24" s="22">
        <f t="shared" si="72"/>
        <v>1.4630910599738837E-2</v>
      </c>
      <c r="CC24" s="22">
        <f t="shared" si="73"/>
        <v>0</v>
      </c>
      <c r="CD24" s="22">
        <f t="shared" si="74"/>
        <v>4.4886378574684957E-2</v>
      </c>
      <c r="CE24" s="15">
        <f t="shared" si="157"/>
        <v>4.0109042329665732</v>
      </c>
      <c r="CF24" s="15">
        <f t="shared" si="158"/>
        <v>2.180846593314778E-2</v>
      </c>
      <c r="CG24" s="15">
        <f t="shared" si="159"/>
        <v>3.2623764617310869E-2</v>
      </c>
      <c r="CH24" s="15">
        <f t="shared" si="160"/>
        <v>1.4630910599738837E-2</v>
      </c>
      <c r="CI24" s="15">
        <f t="shared" si="161"/>
        <v>6.2736740703752208E-2</v>
      </c>
      <c r="CJ24" s="15">
        <f t="shared" si="162"/>
        <v>3.7942399020054154E-2</v>
      </c>
      <c r="CK24" s="15">
        <f t="shared" si="163"/>
        <v>2.2443189287342478E-2</v>
      </c>
      <c r="CL24" s="15">
        <f t="shared" si="164"/>
        <v>0.45055056391623238</v>
      </c>
      <c r="CM24" s="15">
        <f t="shared" si="165"/>
        <v>0.41970899295454778</v>
      </c>
      <c r="CN24" s="15">
        <f t="shared" si="166"/>
        <v>0.37305984919793383</v>
      </c>
      <c r="CO24" s="15">
        <f t="shared" si="167"/>
        <v>0.40047349056644138</v>
      </c>
      <c r="CP24" s="15">
        <f t="shared" si="168"/>
        <v>1.0080127964816679</v>
      </c>
      <c r="CQ24" s="15">
        <f t="shared" si="169"/>
        <v>0.45055056391623238</v>
      </c>
      <c r="CR24" s="15"/>
      <c r="CS24" s="1">
        <f t="shared" si="170"/>
        <v>0.9081923733816496</v>
      </c>
      <c r="CT24" s="15">
        <f t="shared" si="171"/>
        <v>0.11642676747426906</v>
      </c>
      <c r="CU24" s="59">
        <f t="shared" si="90"/>
        <v>0.35484801522435744</v>
      </c>
      <c r="CV24" s="22">
        <f t="shared" si="91"/>
        <v>0.46709692121818835</v>
      </c>
      <c r="CW24" s="22">
        <f t="shared" si="172"/>
        <v>0.45794531665509708</v>
      </c>
      <c r="CX24" s="22">
        <f t="shared" si="11"/>
        <v>0.77318279054060746</v>
      </c>
      <c r="CY24" s="22">
        <f t="shared" si="12"/>
        <v>7.8159736881931161E-2</v>
      </c>
      <c r="CZ24" s="22">
        <f t="shared" si="13"/>
        <v>0.36864738465948482</v>
      </c>
      <c r="DA24" s="22">
        <f t="shared" si="14"/>
        <v>3.7265938843583361E-2</v>
      </c>
      <c r="DB24" s="22">
        <f t="shared" si="15"/>
        <v>0.28503181359651719</v>
      </c>
      <c r="DC24" s="22">
        <f t="shared" si="16"/>
        <v>0.35498371167326026</v>
      </c>
      <c r="DD24" s="1">
        <f t="shared" si="17"/>
        <v>0.90040160241527323</v>
      </c>
      <c r="DE24" s="1">
        <f t="shared" si="18"/>
        <v>1.1267069610459847E-3</v>
      </c>
      <c r="DF24" s="1">
        <f t="shared" si="19"/>
        <v>4.1192220554918058E-2</v>
      </c>
      <c r="DG24" s="1">
        <f t="shared" si="20"/>
        <v>8.2119632994833422E-2</v>
      </c>
      <c r="DH24" s="1">
        <f t="shared" si="21"/>
        <v>2.9603524229074888E-3</v>
      </c>
      <c r="DI24" s="1">
        <f t="shared" si="22"/>
        <v>0.77659014896636591</v>
      </c>
      <c r="DJ24" s="1">
        <f t="shared" si="23"/>
        <v>5.1714237821296992E-2</v>
      </c>
      <c r="DK24" s="1">
        <f t="shared" si="24"/>
        <v>6.4538092802550549E-4</v>
      </c>
      <c r="DL24" s="1">
        <f t="shared" si="25"/>
        <v>0</v>
      </c>
      <c r="DM24" s="1">
        <f t="shared" si="26"/>
        <v>8.6843133668688191E-3</v>
      </c>
      <c r="DN24" s="1">
        <f t="shared" si="173"/>
        <v>1.8654345964315355</v>
      </c>
      <c r="DP24" s="15">
        <f t="shared" si="174"/>
        <v>1.8008032048305465</v>
      </c>
      <c r="DQ24" s="15">
        <f t="shared" si="174"/>
        <v>2.2534139220919693E-3</v>
      </c>
      <c r="DR24" s="15">
        <f t="shared" si="175"/>
        <v>0.12357666166475417</v>
      </c>
      <c r="DS24" s="15">
        <f t="shared" si="176"/>
        <v>8.2119632994833422E-2</v>
      </c>
      <c r="DT24" s="15">
        <f t="shared" si="176"/>
        <v>2.9603524229074888E-3</v>
      </c>
      <c r="DU24" s="15">
        <f t="shared" si="176"/>
        <v>0.77659014896636591</v>
      </c>
      <c r="DV24" s="15">
        <f t="shared" si="177"/>
        <v>5.1714237821296992E-2</v>
      </c>
      <c r="DW24" s="15">
        <f t="shared" si="177"/>
        <v>6.4538092802550549E-4</v>
      </c>
      <c r="DX24" s="15">
        <f t="shared" si="177"/>
        <v>0</v>
      </c>
      <c r="DY24" s="15">
        <f t="shared" si="178"/>
        <v>2.6052940100606457E-2</v>
      </c>
      <c r="DZ24" s="15">
        <f t="shared" si="179"/>
        <v>2.8667159736514289</v>
      </c>
      <c r="EA24" s="15">
        <f t="shared" si="180"/>
        <v>2.0929872562009013</v>
      </c>
      <c r="EC24" s="22">
        <f t="shared" si="100"/>
        <v>1.8845290793180376</v>
      </c>
      <c r="ED24" s="22">
        <f t="shared" si="101"/>
        <v>2.3581833109420913E-3</v>
      </c>
      <c r="EE24" s="22">
        <f t="shared" si="181"/>
        <v>0.11547092068196241</v>
      </c>
      <c r="EF24" s="22">
        <f t="shared" si="182"/>
        <v>5.6958664670158227E-2</v>
      </c>
      <c r="EG24" s="22">
        <f t="shared" si="104"/>
        <v>0.17242958535212063</v>
      </c>
      <c r="EH24" s="22">
        <f t="shared" si="105"/>
        <v>0.1718753453420814</v>
      </c>
      <c r="EI24" s="22">
        <f t="shared" si="106"/>
        <v>6.1959798950088352E-3</v>
      </c>
      <c r="EJ24" s="22">
        <f t="shared" si="107"/>
        <v>1.6253932850777635</v>
      </c>
      <c r="EK24" s="22">
        <f t="shared" si="108"/>
        <v>0.10823724072411726</v>
      </c>
      <c r="EL24" s="22">
        <f t="shared" si="109"/>
        <v>2.7015481155049882E-3</v>
      </c>
      <c r="EM24" s="22">
        <f t="shared" si="110"/>
        <v>0</v>
      </c>
      <c r="EN24" s="22">
        <f t="shared" si="111"/>
        <v>3.6352314411423163E-2</v>
      </c>
      <c r="EO24" s="15">
        <f t="shared" si="183"/>
        <v>4.0100725615470001</v>
      </c>
      <c r="EP24" s="15">
        <f t="shared" si="184"/>
        <v>2.0145123094001828E-2</v>
      </c>
      <c r="EQ24" s="15">
        <f t="shared" si="185"/>
        <v>3.0141783398894617E-2</v>
      </c>
      <c r="ER24" s="15">
        <f t="shared" si="186"/>
        <v>2.7015481155049882E-3</v>
      </c>
      <c r="ES24" s="15">
        <f t="shared" si="187"/>
        <v>2.3581833109420913E-3</v>
      </c>
      <c r="ET24" s="15">
        <f t="shared" si="188"/>
        <v>3.6352314411423163E-2</v>
      </c>
      <c r="EU24" s="15">
        <f t="shared" si="189"/>
        <v>1.7904802143230078E-2</v>
      </c>
      <c r="EV24" s="15">
        <f t="shared" si="190"/>
        <v>0.10823724072411726</v>
      </c>
      <c r="EW24" s="15">
        <f t="shared" si="191"/>
        <v>0.83748219206828223</v>
      </c>
      <c r="EX24" s="15">
        <f t="shared" si="192"/>
        <v>0.75479048691858897</v>
      </c>
      <c r="EY24" s="15">
        <f t="shared" si="193"/>
        <v>9.7550061843249394E-2</v>
      </c>
      <c r="EZ24" s="59">
        <f t="shared" si="123"/>
        <v>0.6538733533098019</v>
      </c>
      <c r="FA24" s="15">
        <f t="shared" si="124"/>
        <v>0.10823724072411726</v>
      </c>
      <c r="FB24" s="15">
        <f t="shared" si="194"/>
        <v>8.5379672050142547E-2</v>
      </c>
      <c r="FC24" s="15">
        <f t="shared" si="195"/>
        <v>0.69442545526058308</v>
      </c>
      <c r="FD24" s="22">
        <f t="shared" si="127"/>
        <v>0.91462032794985737</v>
      </c>
      <c r="FE24" s="22">
        <f t="shared" si="128"/>
        <v>0.80869422817689318</v>
      </c>
      <c r="FF24" s="22">
        <f t="shared" si="129"/>
        <v>7.5491486336581509E-2</v>
      </c>
      <c r="FG24" s="22">
        <f t="shared" si="130"/>
        <v>0.80748648735545847</v>
      </c>
      <c r="FH24" s="22">
        <f t="shared" si="131"/>
        <v>7.5378743909910534E-2</v>
      </c>
      <c r="FI24" s="58">
        <f t="shared" si="132"/>
        <v>0.65300966165519314</v>
      </c>
      <c r="FJ24" s="15">
        <f t="shared" si="196"/>
        <v>1.0050362807734998</v>
      </c>
      <c r="FL24" s="1">
        <f t="shared" si="28"/>
        <v>1321</v>
      </c>
      <c r="FM24" s="1">
        <f t="shared" si="134"/>
        <v>10</v>
      </c>
      <c r="FO24" s="1">
        <f t="shared" si="29"/>
        <v>0.46667762385729433</v>
      </c>
      <c r="FP24" s="1">
        <f t="shared" si="197"/>
        <v>1426.5599646602593</v>
      </c>
      <c r="FR24" s="1">
        <f t="shared" si="30"/>
        <v>1311.6042671459782</v>
      </c>
      <c r="FS24" s="1">
        <f t="shared" si="31"/>
        <v>1176.1302723533656</v>
      </c>
      <c r="FT24" s="1">
        <f t="shared" si="32"/>
        <v>1637.9182835464269</v>
      </c>
      <c r="FU24" s="1">
        <f t="shared" si="33"/>
        <v>1483.1270238880563</v>
      </c>
      <c r="FV24" s="1">
        <f t="shared" si="136"/>
        <v>0.43648942785018352</v>
      </c>
      <c r="FW24" s="1">
        <f t="shared" si="198"/>
        <v>1585.7333455789603</v>
      </c>
      <c r="FX24" s="1">
        <f t="shared" si="34"/>
        <v>1518.4627821227023</v>
      </c>
      <c r="FZ24" s="1">
        <f t="shared" si="138"/>
        <v>1412.0553503787928</v>
      </c>
      <c r="GA24" s="1">
        <f t="shared" si="199"/>
        <v>762.78499608032837</v>
      </c>
      <c r="GC24" s="1">
        <f t="shared" si="35"/>
        <v>26.3144382949422</v>
      </c>
      <c r="GD24" s="1">
        <f t="shared" si="36"/>
        <v>21.565427158077391</v>
      </c>
      <c r="GF24" s="1">
        <f t="shared" si="200"/>
        <v>26.007100000000001</v>
      </c>
      <c r="GG24" s="1">
        <f t="shared" si="201"/>
        <v>31.575399999999998</v>
      </c>
      <c r="GH24" s="1">
        <f t="shared" si="202"/>
        <v>11.11</v>
      </c>
      <c r="GI24" s="1">
        <f t="shared" si="37"/>
        <v>880.19124691325135</v>
      </c>
      <c r="GJ24" s="1">
        <f t="shared" si="38"/>
        <v>1418.6551929175193</v>
      </c>
      <c r="GL24" s="1">
        <f t="shared" si="143"/>
        <v>1371.7818811114225</v>
      </c>
      <c r="GM24" s="1">
        <f t="shared" si="146"/>
        <v>1298.9942788893613</v>
      </c>
      <c r="GO24" s="1">
        <f t="shared" si="144"/>
        <v>1398.1772571408474</v>
      </c>
      <c r="GQ24" s="1">
        <f t="shared" si="39"/>
        <v>10.843843049195684</v>
      </c>
      <c r="GR24" s="1">
        <f t="shared" si="145"/>
        <v>0.84384304919568365</v>
      </c>
      <c r="GS24" s="2">
        <f t="shared" si="40"/>
        <v>10</v>
      </c>
    </row>
    <row r="25" spans="1:201" ht="13.8" x14ac:dyDescent="0.25">
      <c r="A25" s="1" t="s">
        <v>26</v>
      </c>
      <c r="B25" s="1" t="s">
        <v>29</v>
      </c>
      <c r="C25" s="23">
        <v>1</v>
      </c>
      <c r="D25" s="2">
        <v>1310</v>
      </c>
      <c r="F25" s="1">
        <v>1112</v>
      </c>
      <c r="G25" s="23">
        <v>51.67</v>
      </c>
      <c r="H25" s="23">
        <v>0.16</v>
      </c>
      <c r="I25" s="23">
        <v>5.62</v>
      </c>
      <c r="J25" s="23">
        <v>4.45</v>
      </c>
      <c r="K25" s="23">
        <v>0.16</v>
      </c>
      <c r="L25" s="23">
        <v>21.82</v>
      </c>
      <c r="M25" s="23">
        <v>14.34</v>
      </c>
      <c r="N25" s="23">
        <v>0.22</v>
      </c>
      <c r="O25" s="23">
        <v>0</v>
      </c>
      <c r="P25" s="23">
        <v>1.56</v>
      </c>
      <c r="R25" s="23">
        <v>54.2</v>
      </c>
      <c r="S25" s="23">
        <v>0.06</v>
      </c>
      <c r="T25" s="23">
        <v>4.3</v>
      </c>
      <c r="U25" s="23">
        <v>5.66</v>
      </c>
      <c r="V25" s="23">
        <v>0.19</v>
      </c>
      <c r="W25" s="23">
        <v>31.6</v>
      </c>
      <c r="X25" s="23">
        <v>2.68</v>
      </c>
      <c r="Y25" s="23">
        <v>0.04</v>
      </c>
      <c r="Z25" s="23">
        <v>0</v>
      </c>
      <c r="AA25" s="23">
        <v>1.3</v>
      </c>
      <c r="AC25" s="50">
        <f t="shared" ca="1" si="41"/>
        <v>1355.9379676502783</v>
      </c>
      <c r="AD25" s="50">
        <f t="shared" ca="1" si="0"/>
        <v>9.7207295218432783</v>
      </c>
      <c r="AE25" s="66">
        <f t="shared" si="42"/>
        <v>0.89733820110582874</v>
      </c>
      <c r="AF25" s="27">
        <f t="shared" ca="1" si="1"/>
        <v>1334.5087387943204</v>
      </c>
      <c r="AG25" s="27"/>
      <c r="AH25" s="27">
        <f t="shared" ca="1" si="2"/>
        <v>1355.9379676502783</v>
      </c>
      <c r="AI25" s="27">
        <f t="shared" ca="1" si="3"/>
        <v>1328.7652835175845</v>
      </c>
      <c r="AJ25" s="27">
        <f t="shared" si="4"/>
        <v>11.335397864837734</v>
      </c>
      <c r="AK25" s="27">
        <f t="shared" ca="1" si="5"/>
        <v>9.7207295218432783</v>
      </c>
      <c r="AL25" s="27">
        <f t="shared" si="43"/>
        <v>1427.9206847862583</v>
      </c>
      <c r="AM25" s="27">
        <f t="shared" si="44"/>
        <v>1687.1856349372488</v>
      </c>
      <c r="AN25" s="27">
        <f t="shared" si="45"/>
        <v>1414.0356349372487</v>
      </c>
      <c r="AO25" s="29">
        <f t="shared" ca="1" si="6"/>
        <v>1274.3128745777212</v>
      </c>
      <c r="AP25" s="42">
        <f t="shared" si="7"/>
        <v>1.1386124183408746</v>
      </c>
      <c r="AQ25" s="44"/>
      <c r="AR25" s="1">
        <f t="shared" si="8"/>
        <v>0.22235406161690977</v>
      </c>
      <c r="AT25" s="1">
        <f t="shared" si="46"/>
        <v>0.8599584250794301</v>
      </c>
      <c r="AU25" s="1">
        <f t="shared" si="47"/>
        <v>2.0030345974150839E-3</v>
      </c>
      <c r="AV25" s="1">
        <f t="shared" si="48"/>
        <v>5.5119114171104641E-2</v>
      </c>
      <c r="AW25" s="1">
        <f t="shared" si="49"/>
        <v>6.1937689292713344E-2</v>
      </c>
      <c r="AX25" s="1">
        <f t="shared" si="50"/>
        <v>2.2555066079295153E-3</v>
      </c>
      <c r="AY25" s="1">
        <f t="shared" si="51"/>
        <v>0.54138009745834204</v>
      </c>
      <c r="AZ25" s="1">
        <f t="shared" si="52"/>
        <v>0.25571798977841342</v>
      </c>
      <c r="BA25" s="1">
        <f t="shared" si="53"/>
        <v>3.5495951041402797E-3</v>
      </c>
      <c r="BB25" s="1">
        <f t="shared" si="54"/>
        <v>0</v>
      </c>
      <c r="BC25" s="1">
        <f t="shared" si="55"/>
        <v>1.0263279433572241E-2</v>
      </c>
      <c r="BD25" s="1">
        <f t="shared" si="147"/>
        <v>1.7921847315230606</v>
      </c>
      <c r="BF25" s="15">
        <f t="shared" si="148"/>
        <v>1.7199168501588602</v>
      </c>
      <c r="BG25" s="15">
        <f t="shared" si="148"/>
        <v>4.0060691948301677E-3</v>
      </c>
      <c r="BH25" s="15">
        <f t="shared" si="149"/>
        <v>0.16535734251331391</v>
      </c>
      <c r="BI25" s="15">
        <f t="shared" si="150"/>
        <v>6.1937689292713344E-2</v>
      </c>
      <c r="BJ25" s="15">
        <f t="shared" si="150"/>
        <v>2.2555066079295153E-3</v>
      </c>
      <c r="BK25" s="15">
        <f t="shared" si="150"/>
        <v>0.54138009745834204</v>
      </c>
      <c r="BL25" s="15">
        <f t="shared" si="151"/>
        <v>0.25571798977841342</v>
      </c>
      <c r="BM25" s="15">
        <f t="shared" si="151"/>
        <v>3.5495951041402797E-3</v>
      </c>
      <c r="BN25" s="15">
        <f t="shared" si="151"/>
        <v>0</v>
      </c>
      <c r="BO25" s="15">
        <f t="shared" si="152"/>
        <v>3.0789838300716722E-2</v>
      </c>
      <c r="BP25" s="15">
        <f t="shared" si="153"/>
        <v>2.7849109784092594</v>
      </c>
      <c r="BQ25" s="15">
        <f t="shared" si="154"/>
        <v>2.1544674305629687</v>
      </c>
      <c r="BS25" s="22">
        <f t="shared" si="63"/>
        <v>1.8527524184718571</v>
      </c>
      <c r="BT25" s="22">
        <f t="shared" si="64"/>
        <v>4.3154728024216065E-3</v>
      </c>
      <c r="BU25" s="22">
        <f t="shared" si="155"/>
        <v>0.14724758152814288</v>
      </c>
      <c r="BV25" s="22">
        <f t="shared" si="156"/>
        <v>9.0257091038110582E-2</v>
      </c>
      <c r="BW25" s="22">
        <f t="shared" si="67"/>
        <v>0.23750467256625346</v>
      </c>
      <c r="BX25" s="22">
        <f t="shared" si="68"/>
        <v>0.13344273430547962</v>
      </c>
      <c r="BY25" s="22">
        <f t="shared" si="69"/>
        <v>4.8594155262037001E-3</v>
      </c>
      <c r="BZ25" s="22">
        <f t="shared" si="70"/>
        <v>1.1663857875290038</v>
      </c>
      <c r="CA25" s="22">
        <f t="shared" si="71"/>
        <v>0.55093608038662589</v>
      </c>
      <c r="CB25" s="22">
        <f t="shared" si="72"/>
        <v>1.5294974087112004E-2</v>
      </c>
      <c r="CC25" s="22">
        <f t="shared" si="73"/>
        <v>0</v>
      </c>
      <c r="CD25" s="22">
        <f t="shared" si="74"/>
        <v>4.4223802540796296E-2</v>
      </c>
      <c r="CE25" s="15">
        <f t="shared" si="157"/>
        <v>4.0097153582157539</v>
      </c>
      <c r="CF25" s="15">
        <f t="shared" si="158"/>
        <v>1.9430716431504784E-2</v>
      </c>
      <c r="CG25" s="15">
        <f t="shared" si="159"/>
        <v>2.9075455032030462E-2</v>
      </c>
      <c r="CH25" s="15">
        <f t="shared" si="160"/>
        <v>1.5294974087112004E-2</v>
      </c>
      <c r="CI25" s="15">
        <f t="shared" si="161"/>
        <v>7.4962116950998581E-2</v>
      </c>
      <c r="CJ25" s="15">
        <f t="shared" si="162"/>
        <v>3.6142732288572149E-2</v>
      </c>
      <c r="CK25" s="15">
        <f t="shared" si="163"/>
        <v>2.2111901270398148E-2</v>
      </c>
      <c r="CL25" s="15">
        <f t="shared" si="164"/>
        <v>0.41771932987665705</v>
      </c>
      <c r="CM25" s="15">
        <f t="shared" si="165"/>
        <v>0.44105459597891317</v>
      </c>
      <c r="CN25" s="15">
        <f t="shared" si="166"/>
        <v>0.39430104130098348</v>
      </c>
      <c r="CO25" s="15">
        <f t="shared" si="167"/>
        <v>0.37343940692047461</v>
      </c>
      <c r="CP25" s="15">
        <f t="shared" si="168"/>
        <v>1.0072856504526511</v>
      </c>
      <c r="CQ25" s="15">
        <f t="shared" si="169"/>
        <v>0.417719329876657</v>
      </c>
      <c r="CR25" s="15"/>
      <c r="CS25" s="1">
        <f t="shared" si="170"/>
        <v>0.91095578468436078</v>
      </c>
      <c r="CT25" s="15">
        <f t="shared" si="171"/>
        <v>0.11401201787397483</v>
      </c>
      <c r="CU25" s="59">
        <f t="shared" si="90"/>
        <v>0.36044725275389816</v>
      </c>
      <c r="CV25" s="22">
        <f t="shared" si="91"/>
        <v>0.4548344043982836</v>
      </c>
      <c r="CW25" s="22">
        <f t="shared" si="172"/>
        <v>0.46333511127061078</v>
      </c>
      <c r="CX25" s="22">
        <f t="shared" si="11"/>
        <v>0.76681790830227903</v>
      </c>
      <c r="CY25" s="22">
        <f t="shared" si="12"/>
        <v>7.4955008884887819E-2</v>
      </c>
      <c r="CZ25" s="22">
        <f t="shared" si="13"/>
        <v>0.39071761745980355</v>
      </c>
      <c r="DA25" s="22">
        <f t="shared" si="14"/>
        <v>3.8191912540254815E-2</v>
      </c>
      <c r="DB25" s="22">
        <f t="shared" si="15"/>
        <v>0.2996092661573766</v>
      </c>
      <c r="DC25" s="22">
        <f t="shared" si="16"/>
        <v>0.36934917134949968</v>
      </c>
      <c r="DD25" s="1">
        <f t="shared" si="17"/>
        <v>0.90206593070069896</v>
      </c>
      <c r="DE25" s="1">
        <f t="shared" si="18"/>
        <v>7.511379740306564E-4</v>
      </c>
      <c r="DF25" s="1">
        <f t="shared" si="19"/>
        <v>4.2172987710987535E-2</v>
      </c>
      <c r="DG25" s="1">
        <f t="shared" si="20"/>
        <v>7.8779173347585954E-2</v>
      </c>
      <c r="DH25" s="1">
        <f t="shared" si="21"/>
        <v>2.6784140969162997E-3</v>
      </c>
      <c r="DI25" s="1">
        <f t="shared" si="22"/>
        <v>0.78403350502674651</v>
      </c>
      <c r="DJ25" s="1">
        <f t="shared" si="23"/>
        <v>4.7791088745198607E-2</v>
      </c>
      <c r="DK25" s="1">
        <f t="shared" si="24"/>
        <v>6.4538092802550549E-4</v>
      </c>
      <c r="DL25" s="1">
        <f t="shared" si="25"/>
        <v>0</v>
      </c>
      <c r="DM25" s="1">
        <f t="shared" si="26"/>
        <v>8.5527328613102006E-3</v>
      </c>
      <c r="DN25" s="1">
        <f t="shared" si="173"/>
        <v>1.8674703513915005</v>
      </c>
      <c r="DP25" s="15">
        <f t="shared" si="174"/>
        <v>1.8041318614013979</v>
      </c>
      <c r="DQ25" s="15">
        <f t="shared" si="174"/>
        <v>1.5022759480613128E-3</v>
      </c>
      <c r="DR25" s="15">
        <f t="shared" si="175"/>
        <v>0.1265189631329626</v>
      </c>
      <c r="DS25" s="15">
        <f t="shared" si="176"/>
        <v>7.8779173347585954E-2</v>
      </c>
      <c r="DT25" s="15">
        <f t="shared" si="176"/>
        <v>2.6784140969162997E-3</v>
      </c>
      <c r="DU25" s="15">
        <f t="shared" si="176"/>
        <v>0.78403350502674651</v>
      </c>
      <c r="DV25" s="15">
        <f t="shared" si="177"/>
        <v>4.7791088745198607E-2</v>
      </c>
      <c r="DW25" s="15">
        <f t="shared" si="177"/>
        <v>6.4538092802550549E-4</v>
      </c>
      <c r="DX25" s="15">
        <f t="shared" si="177"/>
        <v>0</v>
      </c>
      <c r="DY25" s="15">
        <f t="shared" si="178"/>
        <v>2.5658198583930602E-2</v>
      </c>
      <c r="DZ25" s="15">
        <f t="shared" si="179"/>
        <v>2.8717388612108254</v>
      </c>
      <c r="EA25" s="15">
        <f t="shared" si="180"/>
        <v>2.0893264638520059</v>
      </c>
      <c r="EC25" s="22">
        <f t="shared" si="100"/>
        <v>1.8847102211522599</v>
      </c>
      <c r="ED25" s="22">
        <f t="shared" si="101"/>
        <v>1.5693724471464313E-3</v>
      </c>
      <c r="EE25" s="22">
        <f t="shared" si="181"/>
        <v>0.11528977884774005</v>
      </c>
      <c r="EF25" s="22">
        <f t="shared" si="182"/>
        <v>6.0936499720803311E-2</v>
      </c>
      <c r="EG25" s="22">
        <f t="shared" si="104"/>
        <v>0.17622627856854337</v>
      </c>
      <c r="EH25" s="22">
        <f t="shared" si="105"/>
        <v>0.16459541167549596</v>
      </c>
      <c r="EI25" s="22">
        <f t="shared" si="106"/>
        <v>5.5960814538414966E-3</v>
      </c>
      <c r="EJ25" s="22">
        <f t="shared" si="107"/>
        <v>1.6381019505990262</v>
      </c>
      <c r="EK25" s="22">
        <f t="shared" si="108"/>
        <v>9.9851186451643204E-2</v>
      </c>
      <c r="EL25" s="22">
        <f t="shared" si="109"/>
        <v>2.6968229043781108E-3</v>
      </c>
      <c r="EM25" s="22">
        <f t="shared" si="110"/>
        <v>0</v>
      </c>
      <c r="EN25" s="22">
        <f t="shared" si="111"/>
        <v>3.5738902210784178E-2</v>
      </c>
      <c r="EO25" s="15">
        <f t="shared" si="183"/>
        <v>4.0090862274631194</v>
      </c>
      <c r="EP25" s="15">
        <f t="shared" si="184"/>
        <v>1.817245492623782E-2</v>
      </c>
      <c r="EQ25" s="15">
        <f t="shared" si="185"/>
        <v>2.7196903077443935E-2</v>
      </c>
      <c r="ER25" s="15">
        <f t="shared" si="186"/>
        <v>2.6968229043781108E-3</v>
      </c>
      <c r="ES25" s="15">
        <f t="shared" si="187"/>
        <v>1.5693724471464313E-3</v>
      </c>
      <c r="ET25" s="15">
        <f t="shared" si="188"/>
        <v>3.5738902210784178E-2</v>
      </c>
      <c r="EU25" s="15">
        <f t="shared" si="189"/>
        <v>2.2500774605641025E-2</v>
      </c>
      <c r="EV25" s="15">
        <f t="shared" si="190"/>
        <v>9.9851186451643204E-2</v>
      </c>
      <c r="EW25" s="15">
        <f t="shared" si="191"/>
        <v>0.84218605511196665</v>
      </c>
      <c r="EX25" s="15">
        <f t="shared" si="192"/>
        <v>0.76292187223870112</v>
      </c>
      <c r="EY25" s="15">
        <f t="shared" si="193"/>
        <v>9.0453473612568294E-2</v>
      </c>
      <c r="EZ25" s="59">
        <f t="shared" si="123"/>
        <v>0.66480161557182038</v>
      </c>
      <c r="FA25" s="15">
        <f t="shared" si="124"/>
        <v>9.9851186451643204E-2</v>
      </c>
      <c r="FB25" s="15">
        <f t="shared" si="194"/>
        <v>8.2051506340046224E-2</v>
      </c>
      <c r="FC25" s="15">
        <f t="shared" si="195"/>
        <v>0.70318031005974757</v>
      </c>
      <c r="FD25" s="22">
        <f t="shared" si="127"/>
        <v>0.91794849365995379</v>
      </c>
      <c r="FE25" s="22">
        <f t="shared" si="128"/>
        <v>0.8110834733833896</v>
      </c>
      <c r="FF25" s="22">
        <f t="shared" si="129"/>
        <v>7.2499297311638719E-2</v>
      </c>
      <c r="FG25" s="22">
        <f t="shared" si="130"/>
        <v>0.81867778840281502</v>
      </c>
      <c r="FH25" s="22">
        <f t="shared" si="131"/>
        <v>7.3178120787322221E-2</v>
      </c>
      <c r="FI25" s="58">
        <f t="shared" si="132"/>
        <v>0.66401602419958683</v>
      </c>
      <c r="FJ25" s="15">
        <f t="shared" si="196"/>
        <v>1.0045431137315597</v>
      </c>
      <c r="FL25" s="1">
        <f t="shared" si="28"/>
        <v>1310</v>
      </c>
      <c r="FM25" s="1">
        <f t="shared" si="134"/>
        <v>10</v>
      </c>
      <c r="FO25" s="1">
        <f t="shared" si="29"/>
        <v>0.48211525097046609</v>
      </c>
      <c r="FP25" s="1">
        <f t="shared" si="197"/>
        <v>1435.9306621038775</v>
      </c>
      <c r="FR25" s="1">
        <f t="shared" si="30"/>
        <v>1284.0845522245124</v>
      </c>
      <c r="FS25" s="1">
        <f t="shared" si="31"/>
        <v>1167.7242771156434</v>
      </c>
      <c r="FT25" s="1">
        <f t="shared" si="32"/>
        <v>1622.6106053864826</v>
      </c>
      <c r="FU25" s="1">
        <f t="shared" si="33"/>
        <v>1478.0947337244777</v>
      </c>
      <c r="FV25" s="1">
        <f t="shared" si="136"/>
        <v>0.45120788540988799</v>
      </c>
      <c r="FW25" s="1">
        <f t="shared" si="198"/>
        <v>1609.4183793750385</v>
      </c>
      <c r="FX25" s="1">
        <f t="shared" si="34"/>
        <v>1494.174087792745</v>
      </c>
      <c r="FZ25" s="1">
        <f t="shared" si="138"/>
        <v>1427.9206847862583</v>
      </c>
      <c r="GA25" s="1">
        <f t="shared" si="199"/>
        <v>780.56655299457623</v>
      </c>
      <c r="GC25" s="1">
        <f t="shared" si="35"/>
        <v>33.1095139514387</v>
      </c>
      <c r="GD25" s="1">
        <f t="shared" si="36"/>
        <v>26.359300666825124</v>
      </c>
      <c r="GF25" s="1">
        <f t="shared" si="200"/>
        <v>26.007100000000001</v>
      </c>
      <c r="GG25" s="1">
        <f t="shared" si="201"/>
        <v>31.575399999999998</v>
      </c>
      <c r="GH25" s="1">
        <f t="shared" si="202"/>
        <v>11.11</v>
      </c>
      <c r="GI25" s="1">
        <f t="shared" si="37"/>
        <v>884.59145037978612</v>
      </c>
      <c r="GJ25" s="1">
        <f t="shared" si="38"/>
        <v>1393.7528628954233</v>
      </c>
      <c r="GL25" s="1">
        <f t="shared" si="143"/>
        <v>1339.7943209062942</v>
      </c>
      <c r="GM25" s="1">
        <f t="shared" si="146"/>
        <v>1288.1043189850311</v>
      </c>
      <c r="GO25" s="1">
        <f t="shared" si="144"/>
        <v>1414.0356349372487</v>
      </c>
      <c r="GQ25" s="1">
        <f t="shared" si="39"/>
        <v>11.335397864837734</v>
      </c>
      <c r="GR25" s="1">
        <f t="shared" si="145"/>
        <v>1.3353978648377343</v>
      </c>
      <c r="GS25" s="2">
        <f t="shared" si="40"/>
        <v>10</v>
      </c>
    </row>
    <row r="26" spans="1:201" ht="13.8" x14ac:dyDescent="0.25">
      <c r="A26" s="1" t="s">
        <v>26</v>
      </c>
      <c r="B26" s="1" t="s">
        <v>30</v>
      </c>
      <c r="C26" s="23">
        <v>1</v>
      </c>
      <c r="D26" s="2">
        <v>1314</v>
      </c>
      <c r="F26" s="1">
        <v>1111</v>
      </c>
      <c r="G26" s="23">
        <v>53</v>
      </c>
      <c r="H26" s="23">
        <v>0.11</v>
      </c>
      <c r="I26" s="23">
        <v>4.5</v>
      </c>
      <c r="J26" s="23">
        <v>5.0999999999999996</v>
      </c>
      <c r="K26" s="23">
        <v>0.2</v>
      </c>
      <c r="L26" s="23">
        <v>24.7</v>
      </c>
      <c r="M26" s="23">
        <v>10.9</v>
      </c>
      <c r="N26" s="23">
        <v>0.16</v>
      </c>
      <c r="O26" s="23">
        <v>0</v>
      </c>
      <c r="P26" s="23">
        <v>1.5</v>
      </c>
      <c r="R26" s="23">
        <v>54.5</v>
      </c>
      <c r="S26" s="23">
        <v>0.09</v>
      </c>
      <c r="T26" s="23">
        <v>3.9</v>
      </c>
      <c r="U26" s="23">
        <v>5.8</v>
      </c>
      <c r="V26" s="23">
        <v>0.19</v>
      </c>
      <c r="W26" s="23">
        <v>31.6</v>
      </c>
      <c r="X26" s="23">
        <v>2.7</v>
      </c>
      <c r="Y26" s="23">
        <v>0.08</v>
      </c>
      <c r="Z26" s="23">
        <v>0</v>
      </c>
      <c r="AA26" s="23">
        <v>1.3</v>
      </c>
      <c r="AC26" s="50">
        <f t="shared" ca="1" si="41"/>
        <v>1399.698071111635</v>
      </c>
      <c r="AD26" s="50">
        <f t="shared" ca="1" si="0"/>
        <v>12.126280318110416</v>
      </c>
      <c r="AE26" s="66">
        <f t="shared" si="42"/>
        <v>0.89619394713914124</v>
      </c>
      <c r="AF26" s="27">
        <f t="shared" ca="1" si="1"/>
        <v>1373.2812606250736</v>
      </c>
      <c r="AG26" s="27"/>
      <c r="AH26" s="27">
        <f t="shared" ca="1" si="2"/>
        <v>1399.698071111635</v>
      </c>
      <c r="AI26" s="27">
        <f t="shared" ca="1" si="3"/>
        <v>1359.8290717107548</v>
      </c>
      <c r="AJ26" s="27">
        <f t="shared" si="4"/>
        <v>12.9386781227683</v>
      </c>
      <c r="AK26" s="27">
        <f t="shared" ca="1" si="5"/>
        <v>12.126280318110416</v>
      </c>
      <c r="AL26" s="27">
        <f t="shared" si="43"/>
        <v>1512.8660941015291</v>
      </c>
      <c r="AM26" s="27">
        <f t="shared" si="44"/>
        <v>1810.4984497979385</v>
      </c>
      <c r="AN26" s="27">
        <f t="shared" si="45"/>
        <v>1537.3484497979384</v>
      </c>
      <c r="AO26" s="29">
        <f t="shared" ca="1" si="6"/>
        <v>1346.9871624506061</v>
      </c>
      <c r="AP26" s="42">
        <f t="shared" si="7"/>
        <v>1.1249476476336735</v>
      </c>
      <c r="AQ26" s="44"/>
      <c r="AR26" s="1">
        <f t="shared" si="8"/>
        <v>0.17174434266824848</v>
      </c>
      <c r="AT26" s="1">
        <f t="shared" si="46"/>
        <v>0.88209399127559118</v>
      </c>
      <c r="AU26" s="1">
        <f t="shared" si="47"/>
        <v>1.3770862857228701E-3</v>
      </c>
      <c r="AV26" s="1">
        <f t="shared" si="48"/>
        <v>4.4134522023126489E-2</v>
      </c>
      <c r="AW26" s="1">
        <f t="shared" si="49"/>
        <v>7.0984767504008547E-2</v>
      </c>
      <c r="AX26" s="1">
        <f t="shared" si="50"/>
        <v>2.8193832599118945E-3</v>
      </c>
      <c r="AY26" s="1">
        <f t="shared" si="51"/>
        <v>0.61283631563799479</v>
      </c>
      <c r="AZ26" s="1">
        <f t="shared" si="52"/>
        <v>0.19437420422487492</v>
      </c>
      <c r="BA26" s="1">
        <f t="shared" si="53"/>
        <v>2.5815237121020219E-3</v>
      </c>
      <c r="BB26" s="1">
        <f t="shared" si="54"/>
        <v>0</v>
      </c>
      <c r="BC26" s="1">
        <f t="shared" si="55"/>
        <v>9.8685379168963853E-3</v>
      </c>
      <c r="BD26" s="1">
        <f t="shared" si="147"/>
        <v>1.821070331840229</v>
      </c>
      <c r="BF26" s="15">
        <f t="shared" si="148"/>
        <v>1.7641879825511824</v>
      </c>
      <c r="BG26" s="15">
        <f t="shared" si="148"/>
        <v>2.7541725714457402E-3</v>
      </c>
      <c r="BH26" s="15">
        <f t="shared" si="149"/>
        <v>0.13240356606937947</v>
      </c>
      <c r="BI26" s="15">
        <f t="shared" si="150"/>
        <v>7.0984767504008547E-2</v>
      </c>
      <c r="BJ26" s="15">
        <f t="shared" si="150"/>
        <v>2.8193832599118945E-3</v>
      </c>
      <c r="BK26" s="15">
        <f t="shared" si="150"/>
        <v>0.61283631563799479</v>
      </c>
      <c r="BL26" s="15">
        <f t="shared" si="151"/>
        <v>0.19437420422487492</v>
      </c>
      <c r="BM26" s="15">
        <f t="shared" si="151"/>
        <v>2.5815237121020219E-3</v>
      </c>
      <c r="BN26" s="15">
        <f t="shared" si="151"/>
        <v>0</v>
      </c>
      <c r="BO26" s="15">
        <f t="shared" si="152"/>
        <v>2.9605613750689156E-2</v>
      </c>
      <c r="BP26" s="15">
        <f t="shared" si="153"/>
        <v>2.8125475292815887</v>
      </c>
      <c r="BQ26" s="15">
        <f t="shared" si="154"/>
        <v>2.1332972821023168</v>
      </c>
      <c r="BS26" s="22">
        <f t="shared" si="63"/>
        <v>1.8817687141470034</v>
      </c>
      <c r="BT26" s="22">
        <f t="shared" si="64"/>
        <v>2.9377344305529731E-3</v>
      </c>
      <c r="BU26" s="22">
        <f t="shared" si="155"/>
        <v>0.11823128585299658</v>
      </c>
      <c r="BV26" s="22">
        <f t="shared" si="156"/>
        <v>7.0072825904644587E-2</v>
      </c>
      <c r="BW26" s="22">
        <f t="shared" si="67"/>
        <v>0.18830411175764117</v>
      </c>
      <c r="BX26" s="22">
        <f t="shared" si="68"/>
        <v>0.1514316115869663</v>
      </c>
      <c r="BY26" s="22">
        <f t="shared" si="69"/>
        <v>6.0145826455748142E-3</v>
      </c>
      <c r="BZ26" s="22">
        <f t="shared" si="70"/>
        <v>1.3073620465241318</v>
      </c>
      <c r="CA26" s="22">
        <f t="shared" si="71"/>
        <v>0.41465796158372631</v>
      </c>
      <c r="CB26" s="22">
        <f t="shared" si="72"/>
        <v>1.1014315037419854E-2</v>
      </c>
      <c r="CC26" s="22">
        <f t="shared" si="73"/>
        <v>0</v>
      </c>
      <c r="CD26" s="22">
        <f t="shared" si="74"/>
        <v>4.2105050232877438E-2</v>
      </c>
      <c r="CE26" s="15">
        <f t="shared" si="157"/>
        <v>4.0055961279458945</v>
      </c>
      <c r="CF26" s="15">
        <f t="shared" si="158"/>
        <v>1.1192255891788454E-2</v>
      </c>
      <c r="CG26" s="15">
        <f t="shared" si="159"/>
        <v>1.6764929165530518E-2</v>
      </c>
      <c r="CH26" s="15">
        <f t="shared" si="160"/>
        <v>1.1014315037419854E-2</v>
      </c>
      <c r="CI26" s="15">
        <f t="shared" si="161"/>
        <v>5.9058510867224731E-2</v>
      </c>
      <c r="CJ26" s="15">
        <f t="shared" si="162"/>
        <v>2.9586387492885925E-2</v>
      </c>
      <c r="CK26" s="15">
        <f t="shared" si="163"/>
        <v>2.1052525116438719E-2</v>
      </c>
      <c r="CL26" s="15">
        <f t="shared" si="164"/>
        <v>0.30496053810717688</v>
      </c>
      <c r="CM26" s="15">
        <f t="shared" si="165"/>
        <v>0.57691656000196057</v>
      </c>
      <c r="CN26" s="15">
        <f t="shared" si="166"/>
        <v>0.51490617923354232</v>
      </c>
      <c r="CO26" s="15">
        <f t="shared" si="167"/>
        <v>0.27218158808483139</v>
      </c>
      <c r="CP26" s="15">
        <f t="shared" si="168"/>
        <v>1.0025888366231066</v>
      </c>
      <c r="CQ26" s="15">
        <f t="shared" si="169"/>
        <v>0.30496053810717688</v>
      </c>
      <c r="CR26" s="15"/>
      <c r="CS26" s="1">
        <f t="shared" si="170"/>
        <v>0.90312294843029473</v>
      </c>
      <c r="CT26" s="15">
        <f t="shared" si="171"/>
        <v>0.14023935569517784</v>
      </c>
      <c r="CU26" s="59">
        <f t="shared" si="90"/>
        <v>0.44080634941613006</v>
      </c>
      <c r="CV26" s="22">
        <f t="shared" si="91"/>
        <v>0.35885973661945797</v>
      </c>
      <c r="CW26" s="22">
        <f t="shared" si="172"/>
        <v>0.5374795078950958</v>
      </c>
      <c r="CX26" s="22">
        <f t="shared" si="11"/>
        <v>0.78905141566312287</v>
      </c>
      <c r="CY26" s="22">
        <f t="shared" si="12"/>
        <v>8.4640717877013633E-2</v>
      </c>
      <c r="CZ26" s="22">
        <f t="shared" si="13"/>
        <v>0.51325663929071996</v>
      </c>
      <c r="DA26" s="22">
        <f t="shared" si="14"/>
        <v>5.5056501442559039E-2</v>
      </c>
      <c r="DB26" s="22">
        <f t="shared" si="15"/>
        <v>0.40498587783083939</v>
      </c>
      <c r="DC26" s="22">
        <f t="shared" si="16"/>
        <v>0.50499962541302235</v>
      </c>
      <c r="DD26" s="1">
        <f t="shared" si="17"/>
        <v>0.90705891555697582</v>
      </c>
      <c r="DE26" s="1">
        <f t="shared" si="18"/>
        <v>1.1267069610459847E-3</v>
      </c>
      <c r="DF26" s="1">
        <f t="shared" si="19"/>
        <v>3.8249919086709626E-2</v>
      </c>
      <c r="DG26" s="1">
        <f t="shared" si="20"/>
        <v>8.0727774808480313E-2</v>
      </c>
      <c r="DH26" s="1">
        <f t="shared" si="21"/>
        <v>2.6784140969162997E-3</v>
      </c>
      <c r="DI26" s="1">
        <f t="shared" si="22"/>
        <v>0.78403350502674651</v>
      </c>
      <c r="DJ26" s="1">
        <f t="shared" si="23"/>
        <v>4.8147738661207549E-2</v>
      </c>
      <c r="DK26" s="1">
        <f t="shared" si="24"/>
        <v>1.290761856051011E-3</v>
      </c>
      <c r="DL26" s="1">
        <f t="shared" si="25"/>
        <v>0</v>
      </c>
      <c r="DM26" s="1">
        <f t="shared" si="26"/>
        <v>8.5527328613102006E-3</v>
      </c>
      <c r="DN26" s="1">
        <f t="shared" si="173"/>
        <v>1.8718664689154429</v>
      </c>
      <c r="DP26" s="15">
        <f t="shared" si="174"/>
        <v>1.8141178311139516</v>
      </c>
      <c r="DQ26" s="15">
        <f t="shared" si="174"/>
        <v>2.2534139220919693E-3</v>
      </c>
      <c r="DR26" s="15">
        <f t="shared" si="175"/>
        <v>0.11474975726012887</v>
      </c>
      <c r="DS26" s="15">
        <f t="shared" si="176"/>
        <v>8.0727774808480313E-2</v>
      </c>
      <c r="DT26" s="15">
        <f t="shared" si="176"/>
        <v>2.6784140969162997E-3</v>
      </c>
      <c r="DU26" s="15">
        <f t="shared" si="176"/>
        <v>0.78403350502674651</v>
      </c>
      <c r="DV26" s="15">
        <f t="shared" si="177"/>
        <v>4.8147738661207549E-2</v>
      </c>
      <c r="DW26" s="15">
        <f t="shared" si="177"/>
        <v>1.290761856051011E-3</v>
      </c>
      <c r="DX26" s="15">
        <f t="shared" si="177"/>
        <v>0</v>
      </c>
      <c r="DY26" s="15">
        <f t="shared" si="178"/>
        <v>2.5658198583930602E-2</v>
      </c>
      <c r="DZ26" s="15">
        <f t="shared" si="179"/>
        <v>2.8736573953295048</v>
      </c>
      <c r="EA26" s="15">
        <f t="shared" si="180"/>
        <v>2.087931571018756</v>
      </c>
      <c r="EC26" s="22">
        <f t="shared" si="100"/>
        <v>1.8938769465654457</v>
      </c>
      <c r="ED26" s="22">
        <f t="shared" si="101"/>
        <v>2.352487035254511E-3</v>
      </c>
      <c r="EE26" s="22">
        <f t="shared" si="181"/>
        <v>0.1061230534345543</v>
      </c>
      <c r="EF26" s="22">
        <f t="shared" si="182"/>
        <v>5.3603373865553555E-2</v>
      </c>
      <c r="EG26" s="22">
        <f t="shared" si="104"/>
        <v>0.15972642730010786</v>
      </c>
      <c r="EH26" s="22">
        <f t="shared" si="105"/>
        <v>0.16855406968071865</v>
      </c>
      <c r="EI26" s="22">
        <f t="shared" si="106"/>
        <v>5.5923453532132324E-3</v>
      </c>
      <c r="EJ26" s="22">
        <f t="shared" si="107"/>
        <v>1.6370083078818367</v>
      </c>
      <c r="EK26" s="22">
        <f t="shared" si="108"/>
        <v>0.10052918362389558</v>
      </c>
      <c r="EL26" s="22">
        <f t="shared" si="109"/>
        <v>5.390044859831346E-3</v>
      </c>
      <c r="EM26" s="22">
        <f t="shared" si="110"/>
        <v>0</v>
      </c>
      <c r="EN26" s="22">
        <f t="shared" si="111"/>
        <v>3.5715041919238293E-2</v>
      </c>
      <c r="EO26" s="15">
        <f t="shared" si="183"/>
        <v>4.0087448542195414</v>
      </c>
      <c r="EP26" s="15">
        <f t="shared" si="184"/>
        <v>1.7489708439084775E-2</v>
      </c>
      <c r="EQ26" s="15">
        <f t="shared" si="185"/>
        <v>2.6177333417475523E-2</v>
      </c>
      <c r="ER26" s="15">
        <f t="shared" si="186"/>
        <v>5.390044859831346E-3</v>
      </c>
      <c r="ES26" s="15">
        <f t="shared" si="187"/>
        <v>2.352487035254511E-3</v>
      </c>
      <c r="ET26" s="15">
        <f t="shared" si="188"/>
        <v>3.5715041919238293E-2</v>
      </c>
      <c r="EU26" s="15">
        <f t="shared" si="189"/>
        <v>1.2498287086483914E-2</v>
      </c>
      <c r="EV26" s="15">
        <f t="shared" si="190"/>
        <v>0.10052918362389558</v>
      </c>
      <c r="EW26" s="15">
        <f t="shared" si="191"/>
        <v>0.84788738258506735</v>
      </c>
      <c r="EX26" s="15">
        <f t="shared" si="192"/>
        <v>0.76636119039317019</v>
      </c>
      <c r="EY26" s="15">
        <f t="shared" si="193"/>
        <v>9.0863086789161801E-2</v>
      </c>
      <c r="EZ26" s="59">
        <f t="shared" si="123"/>
        <v>0.6641295546377679</v>
      </c>
      <c r="FA26" s="15">
        <f t="shared" si="124"/>
        <v>0.1005291836238956</v>
      </c>
      <c r="FB26" s="15">
        <f t="shared" si="194"/>
        <v>8.4484464110559321E-2</v>
      </c>
      <c r="FC26" s="15">
        <f t="shared" si="195"/>
        <v>0.70418213853909217</v>
      </c>
      <c r="FD26" s="22">
        <f t="shared" si="127"/>
        <v>0.91551553588944068</v>
      </c>
      <c r="FE26" s="22">
        <f t="shared" si="128"/>
        <v>0.81557730037451837</v>
      </c>
      <c r="FF26" s="22">
        <f t="shared" si="129"/>
        <v>7.5262088366350538E-2</v>
      </c>
      <c r="FG26" s="22">
        <f t="shared" si="130"/>
        <v>0.81342495761023947</v>
      </c>
      <c r="FH26" s="22">
        <f t="shared" si="131"/>
        <v>7.5063468552820367E-2</v>
      </c>
      <c r="FI26" s="58">
        <f t="shared" si="132"/>
        <v>0.66341093098501613</v>
      </c>
      <c r="FJ26" s="15">
        <f t="shared" si="196"/>
        <v>1.0043724271097709</v>
      </c>
      <c r="FL26" s="1">
        <f t="shared" si="28"/>
        <v>1314</v>
      </c>
      <c r="FM26" s="1">
        <f t="shared" si="134"/>
        <v>10</v>
      </c>
      <c r="FO26" s="1">
        <f t="shared" si="29"/>
        <v>0.64065695872493478</v>
      </c>
      <c r="FP26" s="1">
        <f t="shared" si="197"/>
        <v>1517.7937362139785</v>
      </c>
      <c r="FR26" s="1">
        <f t="shared" si="30"/>
        <v>1370.5115118463709</v>
      </c>
      <c r="FS26" s="1">
        <f t="shared" si="31"/>
        <v>1284.1162052992154</v>
      </c>
      <c r="FT26" s="1">
        <f t="shared" si="32"/>
        <v>1659.6864824799666</v>
      </c>
      <c r="FU26" s="1">
        <f t="shared" si="33"/>
        <v>1534.4064779259729</v>
      </c>
      <c r="FV26" s="1">
        <f t="shared" si="136"/>
        <v>0.61046006165368183</v>
      </c>
      <c r="FW26" s="1">
        <f t="shared" si="198"/>
        <v>1856.7824828093744</v>
      </c>
      <c r="FX26" s="1">
        <f t="shared" si="34"/>
        <v>1609.2898106080856</v>
      </c>
      <c r="FZ26" s="1">
        <f t="shared" si="138"/>
        <v>1512.8660941015291</v>
      </c>
      <c r="GA26" s="1">
        <f t="shared" si="199"/>
        <v>743.30107473470264</v>
      </c>
      <c r="GC26" s="1">
        <f t="shared" si="35"/>
        <v>49.057283185501646</v>
      </c>
      <c r="GD26" s="1">
        <f t="shared" si="36"/>
        <v>37.218667856447126</v>
      </c>
      <c r="GF26" s="1">
        <f t="shared" si="200"/>
        <v>26.007100000000001</v>
      </c>
      <c r="GG26" s="1">
        <f t="shared" si="201"/>
        <v>31.575399999999998</v>
      </c>
      <c r="GH26" s="1">
        <f t="shared" si="202"/>
        <v>11.11</v>
      </c>
      <c r="GI26" s="1">
        <f t="shared" si="37"/>
        <v>997.09621270184687</v>
      </c>
      <c r="GJ26" s="1">
        <f t="shared" si="38"/>
        <v>1432.6082960706653</v>
      </c>
      <c r="GL26" s="1">
        <f t="shared" si="143"/>
        <v>1342.4305986919039</v>
      </c>
      <c r="GM26" s="1">
        <f t="shared" si="146"/>
        <v>1480.3580848328806</v>
      </c>
      <c r="GO26" s="1">
        <f t="shared" si="144"/>
        <v>1537.3484497979384</v>
      </c>
      <c r="GQ26" s="1">
        <f t="shared" si="39"/>
        <v>12.9386781227683</v>
      </c>
      <c r="GR26" s="1">
        <f t="shared" si="145"/>
        <v>2.9386781227682999</v>
      </c>
      <c r="GS26" s="2">
        <f t="shared" si="40"/>
        <v>10</v>
      </c>
    </row>
    <row r="27" spans="1:201" ht="13.8" x14ac:dyDescent="0.25">
      <c r="A27" s="1" t="s">
        <v>32</v>
      </c>
      <c r="B27" s="1" t="s">
        <v>31</v>
      </c>
      <c r="C27" s="23">
        <v>1.5</v>
      </c>
      <c r="D27" s="2">
        <v>1350</v>
      </c>
      <c r="F27" s="1">
        <v>1032</v>
      </c>
      <c r="G27" s="23">
        <v>51.64</v>
      </c>
      <c r="H27" s="23">
        <v>0.38</v>
      </c>
      <c r="I27" s="23">
        <v>8.16</v>
      </c>
      <c r="J27" s="23">
        <v>3.97</v>
      </c>
      <c r="K27" s="23">
        <v>0</v>
      </c>
      <c r="L27" s="23">
        <v>19.66</v>
      </c>
      <c r="M27" s="23">
        <v>14.85</v>
      </c>
      <c r="N27" s="23">
        <v>0.66</v>
      </c>
      <c r="O27" s="23">
        <v>0</v>
      </c>
      <c r="P27" s="23">
        <v>0.75</v>
      </c>
      <c r="R27" s="23">
        <v>53.3</v>
      </c>
      <c r="S27" s="23">
        <v>0.16</v>
      </c>
      <c r="T27" s="23">
        <v>7.5</v>
      </c>
      <c r="U27" s="23">
        <v>5.4</v>
      </c>
      <c r="V27" s="23">
        <v>0</v>
      </c>
      <c r="W27" s="23">
        <v>30.6</v>
      </c>
      <c r="X27" s="23">
        <v>2.2999999999999998</v>
      </c>
      <c r="Y27" s="23">
        <v>0</v>
      </c>
      <c r="Z27" s="23">
        <v>0</v>
      </c>
      <c r="AA27" s="23">
        <v>0.76</v>
      </c>
      <c r="AC27" s="50">
        <f t="shared" ca="1" si="41"/>
        <v>1319.7813672048803</v>
      </c>
      <c r="AD27" s="50">
        <f t="shared" ca="1" si="0"/>
        <v>15.307649309023356</v>
      </c>
      <c r="AE27" s="66">
        <f t="shared" si="42"/>
        <v>0.89824636975679106</v>
      </c>
      <c r="AF27" s="27">
        <f t="shared" ca="1" si="1"/>
        <v>1333.8998682523875</v>
      </c>
      <c r="AG27" s="27"/>
      <c r="AH27" s="27">
        <f t="shared" ca="1" si="2"/>
        <v>1319.7813672048803</v>
      </c>
      <c r="AI27" s="27">
        <f t="shared" ca="1" si="3"/>
        <v>1353.6492416876406</v>
      </c>
      <c r="AJ27" s="27">
        <f t="shared" si="4"/>
        <v>13.673876595046206</v>
      </c>
      <c r="AK27" s="27">
        <f t="shared" ca="1" si="5"/>
        <v>15.307649309023356</v>
      </c>
      <c r="AL27" s="27">
        <f t="shared" si="43"/>
        <v>1373.659680730219</v>
      </c>
      <c r="AM27" s="27">
        <f t="shared" si="44"/>
        <v>1626.9297048104322</v>
      </c>
      <c r="AN27" s="27">
        <f t="shared" si="45"/>
        <v>1353.7797048104321</v>
      </c>
      <c r="AO27" s="29">
        <f t="shared" ca="1" si="6"/>
        <v>1305.6847362624751</v>
      </c>
      <c r="AP27" s="42">
        <f t="shared" si="7"/>
        <v>1.1442861987114277</v>
      </c>
      <c r="AQ27" s="44"/>
      <c r="AR27" s="1">
        <f t="shared" si="8"/>
        <v>0.19674450639999203</v>
      </c>
      <c r="AT27" s="1">
        <f t="shared" si="46"/>
        <v>0.85945912659380241</v>
      </c>
      <c r="AU27" s="1">
        <f t="shared" si="47"/>
        <v>4.757207168860824E-3</v>
      </c>
      <c r="AV27" s="1">
        <f t="shared" si="48"/>
        <v>8.003059993526937E-2</v>
      </c>
      <c r="AW27" s="1">
        <f t="shared" si="49"/>
        <v>5.5256769998218422E-2</v>
      </c>
      <c r="AX27" s="1">
        <f t="shared" si="50"/>
        <v>0</v>
      </c>
      <c r="AY27" s="1">
        <f t="shared" si="51"/>
        <v>0.48778793382360236</v>
      </c>
      <c r="AZ27" s="1">
        <f t="shared" si="52"/>
        <v>0.26481256263664149</v>
      </c>
      <c r="BA27" s="1">
        <f t="shared" si="53"/>
        <v>1.064878531242084E-2</v>
      </c>
      <c r="BB27" s="1">
        <f t="shared" si="54"/>
        <v>0</v>
      </c>
      <c r="BC27" s="1">
        <f t="shared" si="55"/>
        <v>4.9342689584481927E-3</v>
      </c>
      <c r="BD27" s="1">
        <f t="shared" si="147"/>
        <v>1.7676872544272639</v>
      </c>
      <c r="BF27" s="15">
        <f t="shared" si="148"/>
        <v>1.7189182531876048</v>
      </c>
      <c r="BG27" s="15">
        <f t="shared" si="148"/>
        <v>9.5144143377216481E-3</v>
      </c>
      <c r="BH27" s="15">
        <f t="shared" si="149"/>
        <v>0.24009179980580811</v>
      </c>
      <c r="BI27" s="15">
        <f t="shared" si="150"/>
        <v>5.5256769998218422E-2</v>
      </c>
      <c r="BJ27" s="15">
        <f t="shared" si="150"/>
        <v>0</v>
      </c>
      <c r="BK27" s="15">
        <f t="shared" si="150"/>
        <v>0.48778793382360236</v>
      </c>
      <c r="BL27" s="15">
        <f t="shared" si="151"/>
        <v>0.26481256263664149</v>
      </c>
      <c r="BM27" s="15">
        <f t="shared" si="151"/>
        <v>1.064878531242084E-2</v>
      </c>
      <c r="BN27" s="15">
        <f t="shared" si="151"/>
        <v>0</v>
      </c>
      <c r="BO27" s="15">
        <f t="shared" si="152"/>
        <v>1.4802806875344578E-2</v>
      </c>
      <c r="BP27" s="15">
        <f t="shared" si="153"/>
        <v>2.8018333259773622</v>
      </c>
      <c r="BQ27" s="15">
        <f t="shared" si="154"/>
        <v>2.1414550053247807</v>
      </c>
      <c r="BS27" s="22">
        <f t="shared" si="63"/>
        <v>1.8404930485163626</v>
      </c>
      <c r="BT27" s="22">
        <f t="shared" si="64"/>
        <v>1.018734510312394E-2</v>
      </c>
      <c r="BU27" s="22">
        <f t="shared" si="155"/>
        <v>0.15950695148363736</v>
      </c>
      <c r="BV27" s="22">
        <f t="shared" si="156"/>
        <v>0.18325690613741796</v>
      </c>
      <c r="BW27" s="22">
        <f t="shared" si="67"/>
        <v>0.34276385762105532</v>
      </c>
      <c r="BX27" s="22">
        <f t="shared" si="68"/>
        <v>0.11832988669076501</v>
      </c>
      <c r="BY27" s="22">
        <f t="shared" si="69"/>
        <v>0</v>
      </c>
      <c r="BZ27" s="22">
        <f t="shared" si="70"/>
        <v>1.0445759124235863</v>
      </c>
      <c r="CA27" s="22">
        <f t="shared" si="71"/>
        <v>0.56708418773111791</v>
      </c>
      <c r="CB27" s="22">
        <f t="shared" si="72"/>
        <v>4.5607789215825235E-2</v>
      </c>
      <c r="CC27" s="22">
        <f t="shared" si="73"/>
        <v>0</v>
      </c>
      <c r="CD27" s="22">
        <f t="shared" si="74"/>
        <v>2.1133029917375149E-2</v>
      </c>
      <c r="CE27" s="15">
        <f t="shared" si="157"/>
        <v>3.9901750572192118</v>
      </c>
      <c r="CF27" s="15">
        <f t="shared" si="158"/>
        <v>0</v>
      </c>
      <c r="CG27" s="15">
        <f t="shared" si="159"/>
        <v>-2.9547403730106225E-2</v>
      </c>
      <c r="CH27" s="15">
        <f t="shared" si="160"/>
        <v>4.5607789215825235E-2</v>
      </c>
      <c r="CI27" s="15">
        <f t="shared" si="161"/>
        <v>0.13764911692159273</v>
      </c>
      <c r="CJ27" s="15">
        <f t="shared" si="162"/>
        <v>1.0928917281022313E-2</v>
      </c>
      <c r="CK27" s="15">
        <f t="shared" si="163"/>
        <v>1.0566514958687575E-2</v>
      </c>
      <c r="CL27" s="15">
        <f t="shared" si="164"/>
        <v>0.40793963856981524</v>
      </c>
      <c r="CM27" s="15">
        <f t="shared" si="165"/>
        <v>0.37748308027226796</v>
      </c>
      <c r="CN27" s="15">
        <f t="shared" si="166"/>
        <v>0.33907280649917609</v>
      </c>
      <c r="CO27" s="15">
        <f t="shared" si="167"/>
        <v>0.36643029942523403</v>
      </c>
      <c r="CP27" s="15">
        <f t="shared" si="168"/>
        <v>0.99017505721921106</v>
      </c>
      <c r="CQ27" s="15">
        <f t="shared" si="169"/>
        <v>0.40793963856981524</v>
      </c>
      <c r="CR27" s="15"/>
      <c r="CS27" s="1">
        <f t="shared" si="170"/>
        <v>0.89824636975679117</v>
      </c>
      <c r="CT27" s="15">
        <f t="shared" si="171"/>
        <v>0.11832988669076501</v>
      </c>
      <c r="CU27" s="59">
        <f t="shared" si="90"/>
        <v>0.28696799870222256</v>
      </c>
      <c r="CV27" s="22">
        <f t="shared" si="91"/>
        <v>0.47488725940127752</v>
      </c>
      <c r="CW27" s="22">
        <f t="shared" si="172"/>
        <v>0.39981986721685708</v>
      </c>
      <c r="CX27" s="22">
        <f t="shared" si="11"/>
        <v>0.7055031059244099</v>
      </c>
      <c r="CY27" s="22">
        <f t="shared" si="12"/>
        <v>7.9919612917673077E-2</v>
      </c>
      <c r="CZ27" s="22">
        <f t="shared" si="13"/>
        <v>0.34789802568508787</v>
      </c>
      <c r="DA27" s="22">
        <f t="shared" si="14"/>
        <v>3.9409997367968942E-2</v>
      </c>
      <c r="DB27" s="22">
        <f t="shared" si="15"/>
        <v>0.24544313766579967</v>
      </c>
      <c r="DC27" s="22">
        <f t="shared" si="16"/>
        <v>0.30800579966072089</v>
      </c>
      <c r="DD27" s="1">
        <f t="shared" si="17"/>
        <v>0.88708697613186804</v>
      </c>
      <c r="DE27" s="1">
        <f t="shared" si="18"/>
        <v>2.0030345974150839E-3</v>
      </c>
      <c r="DF27" s="1">
        <f t="shared" si="19"/>
        <v>7.3557536705210813E-2</v>
      </c>
      <c r="DG27" s="1">
        <f t="shared" si="20"/>
        <v>7.5160342063067875E-2</v>
      </c>
      <c r="DH27" s="1">
        <f t="shared" si="21"/>
        <v>0</v>
      </c>
      <c r="DI27" s="1">
        <f t="shared" si="22"/>
        <v>0.75922231815881147</v>
      </c>
      <c r="DJ27" s="1">
        <f t="shared" si="23"/>
        <v>4.1014740341028651E-2</v>
      </c>
      <c r="DK27" s="1">
        <f t="shared" si="24"/>
        <v>0</v>
      </c>
      <c r="DL27" s="1">
        <f t="shared" si="25"/>
        <v>0</v>
      </c>
      <c r="DM27" s="1">
        <f t="shared" si="26"/>
        <v>5.0000592112275019E-3</v>
      </c>
      <c r="DN27" s="1">
        <f t="shared" si="173"/>
        <v>1.8430450072086295</v>
      </c>
      <c r="DP27" s="15">
        <f t="shared" si="174"/>
        <v>1.7741739522637361</v>
      </c>
      <c r="DQ27" s="15">
        <f t="shared" si="174"/>
        <v>4.0060691948301677E-3</v>
      </c>
      <c r="DR27" s="15">
        <f t="shared" si="175"/>
        <v>0.22067261011563244</v>
      </c>
      <c r="DS27" s="15">
        <f t="shared" si="176"/>
        <v>7.5160342063067875E-2</v>
      </c>
      <c r="DT27" s="15">
        <f t="shared" si="176"/>
        <v>0</v>
      </c>
      <c r="DU27" s="15">
        <f t="shared" si="176"/>
        <v>0.75922231815881147</v>
      </c>
      <c r="DV27" s="15">
        <f t="shared" si="177"/>
        <v>4.1014740341028651E-2</v>
      </c>
      <c r="DW27" s="15">
        <f t="shared" si="177"/>
        <v>0</v>
      </c>
      <c r="DX27" s="15">
        <f t="shared" si="177"/>
        <v>0</v>
      </c>
      <c r="DY27" s="15">
        <f t="shared" si="178"/>
        <v>1.5000177633682506E-2</v>
      </c>
      <c r="DZ27" s="15">
        <f t="shared" si="179"/>
        <v>2.8892502097707893</v>
      </c>
      <c r="EA27" s="15">
        <f t="shared" si="180"/>
        <v>2.0766633432124917</v>
      </c>
      <c r="EC27" s="22">
        <f t="shared" si="100"/>
        <v>1.8421810055742649</v>
      </c>
      <c r="ED27" s="22">
        <f t="shared" si="101"/>
        <v>4.1596285236382953E-3</v>
      </c>
      <c r="EE27" s="22">
        <f t="shared" si="181"/>
        <v>0.1578189944257351</v>
      </c>
      <c r="EF27" s="22">
        <f t="shared" si="182"/>
        <v>0.1476894857597022</v>
      </c>
      <c r="EG27" s="22">
        <f t="shared" si="104"/>
        <v>0.3055084801854373</v>
      </c>
      <c r="EH27" s="22">
        <f t="shared" si="105"/>
        <v>0.156082727225685</v>
      </c>
      <c r="EI27" s="22">
        <f t="shared" si="106"/>
        <v>0</v>
      </c>
      <c r="EJ27" s="22">
        <f t="shared" si="107"/>
        <v>1.5766491574692154</v>
      </c>
      <c r="EK27" s="22">
        <f t="shared" si="108"/>
        <v>8.5173807797592815E-2</v>
      </c>
      <c r="EL27" s="22">
        <f t="shared" si="109"/>
        <v>0</v>
      </c>
      <c r="EM27" s="22">
        <f t="shared" si="110"/>
        <v>0</v>
      </c>
      <c r="EN27" s="22">
        <f t="shared" si="111"/>
        <v>2.0766879355696235E-2</v>
      </c>
      <c r="EO27" s="15">
        <f t="shared" si="183"/>
        <v>3.9905216861315305</v>
      </c>
      <c r="EP27" s="15">
        <f t="shared" si="184"/>
        <v>0</v>
      </c>
      <c r="EQ27" s="15">
        <f t="shared" si="185"/>
        <v>-2.8502480469388303E-2</v>
      </c>
      <c r="ER27" s="15">
        <f t="shared" si="186"/>
        <v>0</v>
      </c>
      <c r="ES27" s="15">
        <f t="shared" si="187"/>
        <v>4.1596285236382953E-3</v>
      </c>
      <c r="ET27" s="15">
        <f t="shared" si="188"/>
        <v>2.0766879355696235E-2</v>
      </c>
      <c r="EU27" s="15">
        <f t="shared" si="189"/>
        <v>0.12692260640400596</v>
      </c>
      <c r="EV27" s="15">
        <f t="shared" si="190"/>
        <v>8.5173807797592815E-2</v>
      </c>
      <c r="EW27" s="15">
        <f t="shared" si="191"/>
        <v>0.75823792098483178</v>
      </c>
      <c r="EX27" s="15">
        <f t="shared" si="192"/>
        <v>0.68993661964755948</v>
      </c>
      <c r="EY27" s="15">
        <f t="shared" si="193"/>
        <v>7.7501437751960833E-2</v>
      </c>
      <c r="EZ27" s="59">
        <f t="shared" si="123"/>
        <v>0.62860119526310887</v>
      </c>
      <c r="FA27" s="15">
        <f t="shared" si="124"/>
        <v>8.5173807797592802E-2</v>
      </c>
      <c r="FB27" s="15">
        <f t="shared" si="194"/>
        <v>9.0078983716034094E-2</v>
      </c>
      <c r="FC27" s="15">
        <f t="shared" si="195"/>
        <v>0.66277240905403234</v>
      </c>
      <c r="FD27" s="22">
        <f t="shared" si="127"/>
        <v>0.90992101628396582</v>
      </c>
      <c r="FE27" s="22">
        <f t="shared" si="128"/>
        <v>0.75285409592506702</v>
      </c>
      <c r="FF27" s="22">
        <f t="shared" si="129"/>
        <v>7.4529910435896338E-2</v>
      </c>
      <c r="FG27" s="22">
        <f t="shared" si="130"/>
        <v>0.8324195785320051</v>
      </c>
      <c r="FH27" s="22">
        <f t="shared" si="131"/>
        <v>8.2406613670402196E-2</v>
      </c>
      <c r="FI27" s="58">
        <f t="shared" si="132"/>
        <v>0.62669048922603798</v>
      </c>
      <c r="FJ27" s="15">
        <f t="shared" si="196"/>
        <v>0.99526084306576512</v>
      </c>
      <c r="FL27" s="1">
        <f t="shared" si="28"/>
        <v>1350</v>
      </c>
      <c r="FM27" s="1">
        <f t="shared" si="134"/>
        <v>15</v>
      </c>
      <c r="FO27" s="1">
        <f t="shared" si="29"/>
        <v>0.46281758823221814</v>
      </c>
      <c r="FP27" s="1">
        <f t="shared" si="197"/>
        <v>1438.8334606856079</v>
      </c>
      <c r="FR27" s="1">
        <f t="shared" si="30"/>
        <v>1239.6837719946154</v>
      </c>
      <c r="FS27" s="1">
        <f t="shared" si="31"/>
        <v>1137.746138633659</v>
      </c>
      <c r="FT27" s="1">
        <f t="shared" si="32"/>
        <v>1439.6847895159879</v>
      </c>
      <c r="FU27" s="1">
        <f t="shared" si="33"/>
        <v>1327.8731536426199</v>
      </c>
      <c r="FV27" s="1">
        <f t="shared" si="136"/>
        <v>0.39164969292724011</v>
      </c>
      <c r="FW27" s="1">
        <f t="shared" si="198"/>
        <v>1512.3121612674099</v>
      </c>
      <c r="FX27" s="1">
        <f t="shared" si="34"/>
        <v>1408.8831915174965</v>
      </c>
      <c r="FZ27" s="1">
        <f t="shared" si="138"/>
        <v>1373.659680730219</v>
      </c>
      <c r="GA27" s="1">
        <f t="shared" si="199"/>
        <v>1161.3479664996785</v>
      </c>
      <c r="GC27" s="1">
        <f t="shared" si="35"/>
        <v>40.184323354077833</v>
      </c>
      <c r="GD27" s="1">
        <f t="shared" si="36"/>
        <v>31.243102476120775</v>
      </c>
      <c r="GF27" s="1">
        <f t="shared" si="200"/>
        <v>25.89565</v>
      </c>
      <c r="GG27" s="1">
        <f t="shared" si="201"/>
        <v>31.143099999999997</v>
      </c>
      <c r="GH27" s="1">
        <f t="shared" si="202"/>
        <v>2.3649999999999984</v>
      </c>
      <c r="GI27" s="1">
        <f t="shared" si="37"/>
        <v>825.28027948625197</v>
      </c>
      <c r="GJ27" s="1">
        <f t="shared" si="38"/>
        <v>1473.1037668386894</v>
      </c>
      <c r="GL27" s="1">
        <f t="shared" si="143"/>
        <v>1310.8961862443816</v>
      </c>
      <c r="GM27" s="1" t="e">
        <f t="shared" si="146"/>
        <v>#NUM!</v>
      </c>
      <c r="GO27" s="1">
        <f t="shared" si="144"/>
        <v>1353.7797048104321</v>
      </c>
      <c r="GQ27" s="1">
        <f t="shared" si="39"/>
        <v>13.673876595046206</v>
      </c>
      <c r="GR27" s="1">
        <f t="shared" si="145"/>
        <v>-1.326123404953794</v>
      </c>
      <c r="GS27" s="2">
        <f t="shared" si="40"/>
        <v>15</v>
      </c>
    </row>
    <row r="28" spans="1:201" ht="13.8" x14ac:dyDescent="0.25">
      <c r="A28" s="1" t="s">
        <v>33</v>
      </c>
      <c r="B28" s="1" t="s">
        <v>34</v>
      </c>
      <c r="C28" s="23">
        <v>1.2</v>
      </c>
      <c r="D28" s="2">
        <v>1215</v>
      </c>
      <c r="F28" s="1">
        <v>4575</v>
      </c>
      <c r="G28" s="23">
        <v>51.3</v>
      </c>
      <c r="H28" s="23">
        <v>0.19</v>
      </c>
      <c r="I28" s="23">
        <v>7.2</v>
      </c>
      <c r="J28" s="23">
        <v>3.9</v>
      </c>
      <c r="K28" s="23">
        <v>0.09</v>
      </c>
      <c r="L28" s="23">
        <v>17.600000000000001</v>
      </c>
      <c r="M28" s="23">
        <v>19.100000000000001</v>
      </c>
      <c r="N28" s="23">
        <v>0.5</v>
      </c>
      <c r="O28" s="23">
        <v>0</v>
      </c>
      <c r="P28" s="23">
        <v>0.5</v>
      </c>
      <c r="R28" s="23">
        <v>52.9</v>
      </c>
      <c r="S28" s="23">
        <v>0.09</v>
      </c>
      <c r="T28" s="23">
        <v>6.9</v>
      </c>
      <c r="U28" s="23">
        <v>6.72</v>
      </c>
      <c r="V28" s="23">
        <v>0.12</v>
      </c>
      <c r="W28" s="23">
        <v>30.6</v>
      </c>
      <c r="X28" s="23">
        <v>1.63</v>
      </c>
      <c r="Y28" s="23">
        <v>7.0000000000000007E-2</v>
      </c>
      <c r="Z28" s="23">
        <v>0</v>
      </c>
      <c r="AA28" s="23">
        <v>0.5</v>
      </c>
      <c r="AC28" s="50">
        <f t="shared" ca="1" si="41"/>
        <v>1173.9914339204629</v>
      </c>
      <c r="AD28" s="50">
        <f t="shared" ca="1" si="0"/>
        <v>11.222267758386312</v>
      </c>
      <c r="AE28" s="66">
        <f t="shared" si="42"/>
        <v>0.88943592098327351</v>
      </c>
      <c r="AF28" s="27">
        <f t="shared" ca="1" si="1"/>
        <v>1183.3463594769623</v>
      </c>
      <c r="AG28" s="27"/>
      <c r="AH28" s="27">
        <f t="shared" ca="1" si="2"/>
        <v>1173.9914339204629</v>
      </c>
      <c r="AI28" s="27">
        <f t="shared" ca="1" si="3"/>
        <v>1171.9061114158865</v>
      </c>
      <c r="AJ28" s="27">
        <f t="shared" si="4"/>
        <v>10.902806887369966</v>
      </c>
      <c r="AK28" s="27">
        <f t="shared" ca="1" si="5"/>
        <v>11.222267758386312</v>
      </c>
      <c r="AL28" s="27">
        <f t="shared" si="43"/>
        <v>1227.4319761811894</v>
      </c>
      <c r="AM28" s="27">
        <f t="shared" si="44"/>
        <v>1454.0236680103399</v>
      </c>
      <c r="AN28" s="27">
        <f t="shared" si="45"/>
        <v>1180.8736680103398</v>
      </c>
      <c r="AO28" s="29">
        <f t="shared" ca="1" si="6"/>
        <v>1154.2473874409804</v>
      </c>
      <c r="AP28" s="42">
        <f t="shared" si="7"/>
        <v>1.0090300324675323</v>
      </c>
      <c r="AQ28" s="44"/>
      <c r="AR28" s="1">
        <f t="shared" si="8"/>
        <v>0.23131913898488254</v>
      </c>
      <c r="AT28" s="1">
        <f t="shared" si="46"/>
        <v>0.85380041042335519</v>
      </c>
      <c r="AU28" s="1">
        <f t="shared" si="47"/>
        <v>2.378603584430412E-3</v>
      </c>
      <c r="AV28" s="1">
        <f t="shared" si="48"/>
        <v>7.0615235237002388E-2</v>
      </c>
      <c r="AW28" s="1">
        <f t="shared" si="49"/>
        <v>5.4282469267771243E-2</v>
      </c>
      <c r="AX28" s="1">
        <f t="shared" si="50"/>
        <v>1.2687224669603525E-3</v>
      </c>
      <c r="AY28" s="1">
        <f t="shared" si="51"/>
        <v>0.43667688887565625</v>
      </c>
      <c r="AZ28" s="1">
        <f t="shared" si="52"/>
        <v>0.34060066978854231</v>
      </c>
      <c r="BA28" s="1">
        <f t="shared" si="53"/>
        <v>8.0672616003188181E-3</v>
      </c>
      <c r="BB28" s="1">
        <f t="shared" si="54"/>
        <v>0</v>
      </c>
      <c r="BC28" s="1">
        <f t="shared" si="55"/>
        <v>3.2895126389654613E-3</v>
      </c>
      <c r="BD28" s="1">
        <f t="shared" si="147"/>
        <v>1.7709797738830024</v>
      </c>
      <c r="BF28" s="15">
        <f t="shared" si="148"/>
        <v>1.7076008208467104</v>
      </c>
      <c r="BG28" s="15">
        <f t="shared" si="148"/>
        <v>4.757207168860824E-3</v>
      </c>
      <c r="BH28" s="15">
        <f t="shared" si="149"/>
        <v>0.21184570571100717</v>
      </c>
      <c r="BI28" s="15">
        <f t="shared" si="150"/>
        <v>5.4282469267771243E-2</v>
      </c>
      <c r="BJ28" s="15">
        <f t="shared" si="150"/>
        <v>1.2687224669603525E-3</v>
      </c>
      <c r="BK28" s="15">
        <f t="shared" si="150"/>
        <v>0.43667688887565625</v>
      </c>
      <c r="BL28" s="15">
        <f t="shared" si="151"/>
        <v>0.34060066978854231</v>
      </c>
      <c r="BM28" s="15">
        <f t="shared" si="151"/>
        <v>8.0672616003188181E-3</v>
      </c>
      <c r="BN28" s="15">
        <f t="shared" si="151"/>
        <v>0</v>
      </c>
      <c r="BO28" s="15">
        <f t="shared" si="152"/>
        <v>9.8685379168963836E-3</v>
      </c>
      <c r="BP28" s="15">
        <f t="shared" si="153"/>
        <v>2.7749682836427234</v>
      </c>
      <c r="BQ28" s="15">
        <f t="shared" si="154"/>
        <v>2.1621868744833908</v>
      </c>
      <c r="BS28" s="22">
        <f t="shared" si="63"/>
        <v>1.8460760408459107</v>
      </c>
      <c r="BT28" s="22">
        <f t="shared" si="64"/>
        <v>5.1429854498545825E-3</v>
      </c>
      <c r="BU28" s="22">
        <f t="shared" si="155"/>
        <v>0.1539239591540893</v>
      </c>
      <c r="BV28" s="22">
        <f t="shared" si="156"/>
        <v>0.15144271038191787</v>
      </c>
      <c r="BW28" s="22">
        <f t="shared" si="67"/>
        <v>0.30536666953600716</v>
      </c>
      <c r="BX28" s="22">
        <f t="shared" si="68"/>
        <v>0.11736884256532301</v>
      </c>
      <c r="BY28" s="22">
        <f t="shared" si="69"/>
        <v>2.7432150654238614E-3</v>
      </c>
      <c r="BZ28" s="22">
        <f t="shared" si="70"/>
        <v>0.94417703751718618</v>
      </c>
      <c r="CA28" s="22">
        <f t="shared" si="71"/>
        <v>0.73644229765703773</v>
      </c>
      <c r="CB28" s="22">
        <f t="shared" si="72"/>
        <v>3.4885854290466443E-2</v>
      </c>
      <c r="CC28" s="22">
        <f t="shared" si="73"/>
        <v>0</v>
      </c>
      <c r="CD28" s="22">
        <f t="shared" si="74"/>
        <v>1.4225082102836684E-2</v>
      </c>
      <c r="CE28" s="15">
        <f t="shared" si="157"/>
        <v>4.0064280250300461</v>
      </c>
      <c r="CF28" s="15">
        <f t="shared" si="158"/>
        <v>1.2856050060092029E-2</v>
      </c>
      <c r="CG28" s="15">
        <f t="shared" si="159"/>
        <v>1.9253135181426018E-2</v>
      </c>
      <c r="CH28" s="15">
        <f t="shared" si="160"/>
        <v>3.4885854290466443E-2</v>
      </c>
      <c r="CI28" s="15">
        <f t="shared" si="161"/>
        <v>0.11655685609145142</v>
      </c>
      <c r="CJ28" s="15">
        <f t="shared" si="162"/>
        <v>1.868355153131894E-2</v>
      </c>
      <c r="CK28" s="15">
        <f t="shared" si="163"/>
        <v>7.1125410514183418E-3</v>
      </c>
      <c r="CL28" s="15">
        <f t="shared" si="164"/>
        <v>0.59408934898284904</v>
      </c>
      <c r="CM28" s="15">
        <f t="shared" si="165"/>
        <v>0.23372826554983012</v>
      </c>
      <c r="CN28" s="15">
        <f t="shared" si="166"/>
        <v>0.20735048621370569</v>
      </c>
      <c r="CO28" s="15">
        <f t="shared" si="167"/>
        <v>0.52704243997273426</v>
      </c>
      <c r="CP28" s="15">
        <f t="shared" si="168"/>
        <v>1.0050564174973342</v>
      </c>
      <c r="CQ28" s="15">
        <f t="shared" si="169"/>
        <v>0.59408934898284904</v>
      </c>
      <c r="CR28" s="15"/>
      <c r="CS28" s="1">
        <f t="shared" si="170"/>
        <v>0.90033965285713036</v>
      </c>
      <c r="CT28" s="15">
        <f t="shared" si="171"/>
        <v>0.10451279250523099</v>
      </c>
      <c r="CU28" s="59">
        <f t="shared" si="90"/>
        <v>0.24691691392751322</v>
      </c>
      <c r="CV28" s="22">
        <f t="shared" si="91"/>
        <v>0.56718504523755486</v>
      </c>
      <c r="CW28" s="22">
        <f t="shared" si="172"/>
        <v>0.35279786031271509</v>
      </c>
      <c r="CX28" s="22">
        <f t="shared" si="11"/>
        <v>0.73497712469901089</v>
      </c>
      <c r="CY28" s="22">
        <f t="shared" si="12"/>
        <v>8.1356047306287996E-2</v>
      </c>
      <c r="CZ28" s="22">
        <f t="shared" si="13"/>
        <v>0.20341250699406638</v>
      </c>
      <c r="DA28" s="22">
        <f t="shared" si="14"/>
        <v>2.2516125993005582E-2</v>
      </c>
      <c r="DB28" s="22">
        <f t="shared" si="15"/>
        <v>0.14950353951831635</v>
      </c>
      <c r="DC28" s="22">
        <f t="shared" si="16"/>
        <v>0.18814232343195597</v>
      </c>
      <c r="DD28" s="1">
        <f t="shared" si="17"/>
        <v>0.88042966299016545</v>
      </c>
      <c r="DE28" s="1">
        <f t="shared" si="18"/>
        <v>1.1267069610459847E-3</v>
      </c>
      <c r="DF28" s="1">
        <f t="shared" si="19"/>
        <v>6.767293376879395E-2</v>
      </c>
      <c r="DG28" s="1">
        <f t="shared" si="20"/>
        <v>9.3532870122928907E-2</v>
      </c>
      <c r="DH28" s="1">
        <f t="shared" si="21"/>
        <v>1.6916299559471366E-3</v>
      </c>
      <c r="DI28" s="1">
        <f t="shared" si="22"/>
        <v>0.75922231815881147</v>
      </c>
      <c r="DJ28" s="1">
        <f t="shared" si="23"/>
        <v>2.9066968154728999E-2</v>
      </c>
      <c r="DK28" s="1">
        <f t="shared" si="24"/>
        <v>1.1294166240446346E-3</v>
      </c>
      <c r="DL28" s="1">
        <f t="shared" si="25"/>
        <v>0</v>
      </c>
      <c r="DM28" s="1">
        <f t="shared" si="26"/>
        <v>3.2895126389654613E-3</v>
      </c>
      <c r="DN28" s="1">
        <f t="shared" si="173"/>
        <v>1.8371620193754317</v>
      </c>
      <c r="DP28" s="15">
        <f t="shared" si="174"/>
        <v>1.7608593259803309</v>
      </c>
      <c r="DQ28" s="15">
        <f t="shared" si="174"/>
        <v>2.2534139220919693E-3</v>
      </c>
      <c r="DR28" s="15">
        <f t="shared" si="175"/>
        <v>0.20301880130638184</v>
      </c>
      <c r="DS28" s="15">
        <f t="shared" si="176"/>
        <v>9.3532870122928907E-2</v>
      </c>
      <c r="DT28" s="15">
        <f t="shared" si="176"/>
        <v>1.6916299559471366E-3</v>
      </c>
      <c r="DU28" s="15">
        <f t="shared" si="176"/>
        <v>0.75922231815881147</v>
      </c>
      <c r="DV28" s="15">
        <f t="shared" si="177"/>
        <v>2.9066968154728999E-2</v>
      </c>
      <c r="DW28" s="15">
        <f t="shared" si="177"/>
        <v>1.1294166240446346E-3</v>
      </c>
      <c r="DX28" s="15">
        <f t="shared" si="177"/>
        <v>0</v>
      </c>
      <c r="DY28" s="15">
        <f t="shared" si="178"/>
        <v>9.8685379168963836E-3</v>
      </c>
      <c r="DZ28" s="15">
        <f t="shared" si="179"/>
        <v>2.8606432821421626</v>
      </c>
      <c r="EA28" s="15">
        <f t="shared" si="180"/>
        <v>2.0974303358463358</v>
      </c>
      <c r="EC28" s="22">
        <f t="shared" si="100"/>
        <v>1.846639883734539</v>
      </c>
      <c r="ED28" s="22">
        <f t="shared" si="101"/>
        <v>2.3631893597070839E-3</v>
      </c>
      <c r="EE28" s="22">
        <f t="shared" si="181"/>
        <v>0.15336011626546098</v>
      </c>
      <c r="EF28" s="22">
        <f t="shared" si="182"/>
        <v>0.1305184121393157</v>
      </c>
      <c r="EG28" s="22">
        <f t="shared" si="104"/>
        <v>0.28387852840477668</v>
      </c>
      <c r="EH28" s="22">
        <f t="shared" si="105"/>
        <v>0.19617867919460649</v>
      </c>
      <c r="EI28" s="22">
        <f t="shared" si="106"/>
        <v>3.5480759866299248E-3</v>
      </c>
      <c r="EJ28" s="22">
        <f t="shared" si="107"/>
        <v>1.5924159217578695</v>
      </c>
      <c r="EK28" s="22">
        <f t="shared" si="108"/>
        <v>6.0965940778807994E-2</v>
      </c>
      <c r="EL28" s="22">
        <f t="shared" si="109"/>
        <v>4.7377453781607456E-3</v>
      </c>
      <c r="EM28" s="22">
        <f t="shared" si="110"/>
        <v>0</v>
      </c>
      <c r="EN28" s="22">
        <f t="shared" si="111"/>
        <v>1.3799047198232188E-2</v>
      </c>
      <c r="EO28" s="15">
        <f t="shared" si="183"/>
        <v>4.0045270117933303</v>
      </c>
      <c r="EP28" s="15">
        <f t="shared" si="184"/>
        <v>9.0540235866596649E-3</v>
      </c>
      <c r="EQ28" s="15">
        <f t="shared" si="185"/>
        <v>1.3565682378962052E-2</v>
      </c>
      <c r="ER28" s="15">
        <f t="shared" si="186"/>
        <v>4.7377453781607456E-3</v>
      </c>
      <c r="ES28" s="15">
        <f t="shared" si="187"/>
        <v>2.3631893597070839E-3</v>
      </c>
      <c r="ET28" s="15">
        <f t="shared" si="188"/>
        <v>1.3799047198232188E-2</v>
      </c>
      <c r="EU28" s="15">
        <f t="shared" si="189"/>
        <v>0.11198161956292277</v>
      </c>
      <c r="EV28" s="15">
        <f t="shared" si="190"/>
        <v>6.0965940778807994E-2</v>
      </c>
      <c r="EW28" s="15">
        <f t="shared" si="191"/>
        <v>0.80841596361883405</v>
      </c>
      <c r="EX28" s="15">
        <f t="shared" si="192"/>
        <v>0.71832140846540604</v>
      </c>
      <c r="EY28" s="15">
        <f t="shared" si="193"/>
        <v>5.4171543387904003E-2</v>
      </c>
      <c r="EZ28" s="59">
        <f t="shared" si="123"/>
        <v>0.63226383349245141</v>
      </c>
      <c r="FA28" s="15">
        <f t="shared" si="124"/>
        <v>6.0965940778808E-2</v>
      </c>
      <c r="FB28" s="15">
        <f t="shared" si="194"/>
        <v>0.10515335136945293</v>
      </c>
      <c r="FC28" s="15">
        <f t="shared" si="195"/>
        <v>0.65669281109726529</v>
      </c>
      <c r="FD28" s="22">
        <f t="shared" si="127"/>
        <v>0.89484664863054708</v>
      </c>
      <c r="FE28" s="22">
        <f t="shared" si="128"/>
        <v>0.7554879990617096</v>
      </c>
      <c r="FF28" s="22">
        <f t="shared" si="129"/>
        <v>8.8777328654375848E-2</v>
      </c>
      <c r="FG28" s="22">
        <f t="shared" si="130"/>
        <v>0.83287694136458801</v>
      </c>
      <c r="FH28" s="22">
        <f t="shared" si="131"/>
        <v>9.7871296491813309E-2</v>
      </c>
      <c r="FI28" s="58">
        <f t="shared" si="132"/>
        <v>0.6292285338961694</v>
      </c>
      <c r="FJ28" s="15">
        <f t="shared" si="196"/>
        <v>1.0022635058966649</v>
      </c>
      <c r="FL28" s="1">
        <f t="shared" si="28"/>
        <v>1215</v>
      </c>
      <c r="FM28" s="1">
        <f t="shared" si="134"/>
        <v>12</v>
      </c>
      <c r="FO28" s="1">
        <f t="shared" si="29"/>
        <v>0.27715459740621723</v>
      </c>
      <c r="FP28" s="1">
        <f t="shared" si="197"/>
        <v>1282.3936199385191</v>
      </c>
      <c r="FR28" s="1">
        <f t="shared" si="30"/>
        <v>1188.8200400759429</v>
      </c>
      <c r="FS28" s="1">
        <f t="shared" si="31"/>
        <v>1036.9834117260182</v>
      </c>
      <c r="FT28" s="1">
        <f t="shared" si="32"/>
        <v>1298.3274405490622</v>
      </c>
      <c r="FU28" s="1">
        <f t="shared" si="33"/>
        <v>1140.9344884248544</v>
      </c>
      <c r="FV28" s="1">
        <f t="shared" si="136"/>
        <v>0.23759815625746292</v>
      </c>
      <c r="FW28" s="1">
        <f t="shared" si="198"/>
        <v>1237.249663591223</v>
      </c>
      <c r="FX28" s="1">
        <f t="shared" si="34"/>
        <v>1225.6680988789626</v>
      </c>
      <c r="FZ28" s="1">
        <f t="shared" si="138"/>
        <v>1227.4319761811894</v>
      </c>
      <c r="GA28" s="1">
        <f t="shared" si="199"/>
        <v>1090.1080229700965</v>
      </c>
      <c r="GC28" s="1">
        <f t="shared" si="35"/>
        <v>30.993672692006243</v>
      </c>
      <c r="GD28" s="1">
        <f t="shared" si="36"/>
        <v>24.877586097204812</v>
      </c>
      <c r="GF28" s="1">
        <f t="shared" si="200"/>
        <v>25.962520000000001</v>
      </c>
      <c r="GG28" s="1">
        <f t="shared" si="201"/>
        <v>31.402479999999997</v>
      </c>
      <c r="GH28" s="1">
        <f t="shared" si="202"/>
        <v>7.6120000000000019</v>
      </c>
      <c r="GI28" s="1">
        <f t="shared" si="37"/>
        <v>668.63583343753874</v>
      </c>
      <c r="GJ28" s="1">
        <f t="shared" si="38"/>
        <v>1230.2639540667383</v>
      </c>
      <c r="GL28" s="1">
        <f t="shared" si="143"/>
        <v>1179.6863944400088</v>
      </c>
      <c r="GM28" s="1">
        <f t="shared" ref="GM28:GM38" si="203">-273.15+((35000+61.5*FM28)/((LN(EL28/CB28))^2+19.8))</f>
        <v>1229.3246167894476</v>
      </c>
      <c r="GO28" s="1">
        <f t="shared" si="144"/>
        <v>1180.8736680103398</v>
      </c>
      <c r="GQ28" s="1">
        <f t="shared" si="39"/>
        <v>10.902806887369966</v>
      </c>
      <c r="GR28" s="1">
        <f t="shared" si="145"/>
        <v>-1.0971931126300341</v>
      </c>
      <c r="GS28" s="2">
        <f t="shared" si="40"/>
        <v>12</v>
      </c>
    </row>
    <row r="29" spans="1:201" ht="13.8" x14ac:dyDescent="0.25">
      <c r="A29" s="1" t="s">
        <v>33</v>
      </c>
      <c r="B29" s="1" t="s">
        <v>35</v>
      </c>
      <c r="C29" s="23">
        <v>1.2</v>
      </c>
      <c r="D29" s="2">
        <v>1245</v>
      </c>
      <c r="F29" s="1">
        <v>4573</v>
      </c>
      <c r="G29" s="23">
        <v>52.4</v>
      </c>
      <c r="H29" s="23">
        <v>0.14000000000000001</v>
      </c>
      <c r="I29" s="23">
        <v>6</v>
      </c>
      <c r="J29" s="23">
        <v>4.0999999999999996</v>
      </c>
      <c r="K29" s="23">
        <v>0.08</v>
      </c>
      <c r="L29" s="23">
        <v>19.399999999999999</v>
      </c>
      <c r="M29" s="23">
        <v>17.600000000000001</v>
      </c>
      <c r="N29" s="23">
        <v>0.49</v>
      </c>
      <c r="O29" s="23">
        <v>0</v>
      </c>
      <c r="P29" s="23">
        <v>0.9</v>
      </c>
      <c r="R29" s="23">
        <v>55</v>
      </c>
      <c r="S29" s="23">
        <v>0.09</v>
      </c>
      <c r="T29" s="23">
        <v>6</v>
      </c>
      <c r="U29" s="23">
        <v>6.4</v>
      </c>
      <c r="V29" s="23">
        <v>0.13</v>
      </c>
      <c r="W29" s="23">
        <v>31.2</v>
      </c>
      <c r="X29" s="23">
        <v>1.7</v>
      </c>
      <c r="Y29" s="23">
        <v>0.05</v>
      </c>
      <c r="Z29" s="23">
        <v>0</v>
      </c>
      <c r="AA29" s="23">
        <v>0.8</v>
      </c>
      <c r="AC29" s="50">
        <f t="shared" ca="1" si="41"/>
        <v>1235.1931924922214</v>
      </c>
      <c r="AD29" s="50">
        <f t="shared" ca="1" si="0"/>
        <v>11.463227282160158</v>
      </c>
      <c r="AE29" s="66">
        <f t="shared" si="42"/>
        <v>0.89400845966840969</v>
      </c>
      <c r="AF29" s="27">
        <f t="shared" ca="1" si="1"/>
        <v>1248.5851541685779</v>
      </c>
      <c r="AG29" s="27"/>
      <c r="AH29" s="27">
        <f t="shared" ca="1" si="2"/>
        <v>1235.1931924922214</v>
      </c>
      <c r="AI29" s="27">
        <f t="shared" ca="1" si="3"/>
        <v>1234.9607843679144</v>
      </c>
      <c r="AJ29" s="27">
        <f t="shared" si="4"/>
        <v>11.002318315030385</v>
      </c>
      <c r="AK29" s="27">
        <f t="shared" ca="1" si="5"/>
        <v>11.463227282160158</v>
      </c>
      <c r="AL29" s="27">
        <f t="shared" si="43"/>
        <v>1294.7249019362298</v>
      </c>
      <c r="AM29" s="27">
        <f t="shared" si="44"/>
        <v>1540.4281484597032</v>
      </c>
      <c r="AN29" s="27">
        <f t="shared" si="45"/>
        <v>1267.2781484597031</v>
      </c>
      <c r="AO29" s="29">
        <f t="shared" ca="1" si="6"/>
        <v>1219.2327969301566</v>
      </c>
      <c r="AP29" s="42">
        <f t="shared" si="7"/>
        <v>1.0302835051546391</v>
      </c>
      <c r="AQ29" s="44"/>
      <c r="AR29" s="1">
        <f t="shared" si="8"/>
        <v>0.18966962722075112</v>
      </c>
      <c r="AT29" s="1">
        <f t="shared" si="46"/>
        <v>0.87210802156303724</v>
      </c>
      <c r="AU29" s="1">
        <f t="shared" si="47"/>
        <v>1.7526552727381987E-3</v>
      </c>
      <c r="AV29" s="1">
        <f t="shared" si="48"/>
        <v>5.8846029364168655E-2</v>
      </c>
      <c r="AW29" s="1">
        <f t="shared" si="49"/>
        <v>5.7066185640477454E-2</v>
      </c>
      <c r="AX29" s="1">
        <f t="shared" si="50"/>
        <v>1.1277533039647577E-3</v>
      </c>
      <c r="AY29" s="1">
        <f t="shared" si="51"/>
        <v>0.48133702523793925</v>
      </c>
      <c r="AZ29" s="1">
        <f t="shared" si="52"/>
        <v>0.31385192608787144</v>
      </c>
      <c r="BA29" s="1">
        <f t="shared" si="53"/>
        <v>7.905916368312442E-3</v>
      </c>
      <c r="BB29" s="1">
        <f t="shared" si="54"/>
        <v>0</v>
      </c>
      <c r="BC29" s="1">
        <f t="shared" si="55"/>
        <v>5.9211227501378312E-3</v>
      </c>
      <c r="BD29" s="1">
        <f t="shared" si="147"/>
        <v>1.7999166355886471</v>
      </c>
      <c r="BF29" s="15">
        <f t="shared" si="148"/>
        <v>1.7442160431260745</v>
      </c>
      <c r="BG29" s="15">
        <f t="shared" si="148"/>
        <v>3.5053105454763973E-3</v>
      </c>
      <c r="BH29" s="15">
        <f t="shared" si="149"/>
        <v>0.17653808809250596</v>
      </c>
      <c r="BI29" s="15">
        <f t="shared" si="150"/>
        <v>5.7066185640477454E-2</v>
      </c>
      <c r="BJ29" s="15">
        <f t="shared" si="150"/>
        <v>1.1277533039647577E-3</v>
      </c>
      <c r="BK29" s="15">
        <f t="shared" si="150"/>
        <v>0.48133702523793925</v>
      </c>
      <c r="BL29" s="15">
        <f t="shared" si="151"/>
        <v>0.31385192608787144</v>
      </c>
      <c r="BM29" s="15">
        <f t="shared" si="151"/>
        <v>7.905916368312442E-3</v>
      </c>
      <c r="BN29" s="15">
        <f t="shared" si="151"/>
        <v>0</v>
      </c>
      <c r="BO29" s="15">
        <f t="shared" si="152"/>
        <v>1.7763368250413494E-2</v>
      </c>
      <c r="BP29" s="15">
        <f t="shared" si="153"/>
        <v>2.8033116166530361</v>
      </c>
      <c r="BQ29" s="15">
        <f t="shared" si="154"/>
        <v>2.1403257363031205</v>
      </c>
      <c r="BS29" s="22">
        <f t="shared" si="63"/>
        <v>1.8665952433877653</v>
      </c>
      <c r="BT29" s="22">
        <f t="shared" si="64"/>
        <v>3.7512531871089316E-3</v>
      </c>
      <c r="BU29" s="22">
        <f t="shared" si="155"/>
        <v>0.13340475661223472</v>
      </c>
      <c r="BV29" s="22">
        <f t="shared" si="156"/>
        <v>0.11849458564252391</v>
      </c>
      <c r="BW29" s="22">
        <f t="shared" si="67"/>
        <v>0.25189934225475863</v>
      </c>
      <c r="BX29" s="22">
        <f t="shared" si="68"/>
        <v>0.12214022579896547</v>
      </c>
      <c r="BY29" s="22">
        <f t="shared" si="69"/>
        <v>2.4137594206766469E-3</v>
      </c>
      <c r="BZ29" s="22">
        <f t="shared" si="70"/>
        <v>1.0302180229523461</v>
      </c>
      <c r="CA29" s="22">
        <f t="shared" si="71"/>
        <v>0.67174535479417596</v>
      </c>
      <c r="CB29" s="22">
        <f t="shared" si="72"/>
        <v>3.3842472544318443E-2</v>
      </c>
      <c r="CC29" s="22">
        <f t="shared" si="73"/>
        <v>0</v>
      </c>
      <c r="CD29" s="22">
        <f t="shared" si="74"/>
        <v>2.5346262819859824E-2</v>
      </c>
      <c r="CE29" s="15">
        <f t="shared" si="157"/>
        <v>4.0079519371599757</v>
      </c>
      <c r="CF29" s="15">
        <f t="shared" si="158"/>
        <v>1.590387431995156E-2</v>
      </c>
      <c r="CG29" s="15">
        <f t="shared" si="159"/>
        <v>2.3808480594535553E-2</v>
      </c>
      <c r="CH29" s="15">
        <f t="shared" si="160"/>
        <v>3.3842472544318443E-2</v>
      </c>
      <c r="CI29" s="15">
        <f t="shared" si="161"/>
        <v>8.4652113098205473E-2</v>
      </c>
      <c r="CJ29" s="15">
        <f t="shared" si="162"/>
        <v>2.4376321757014624E-2</v>
      </c>
      <c r="CK29" s="15">
        <f t="shared" si="163"/>
        <v>1.2673131409929912E-2</v>
      </c>
      <c r="CL29" s="15">
        <f t="shared" si="164"/>
        <v>0.55004378852902602</v>
      </c>
      <c r="CM29" s="15">
        <f t="shared" si="165"/>
        <v>0.30115723011114276</v>
      </c>
      <c r="CN29" s="15">
        <f t="shared" si="166"/>
        <v>0.26867433918323508</v>
      </c>
      <c r="CO29" s="15">
        <f t="shared" si="167"/>
        <v>0.49071593383409595</v>
      </c>
      <c r="CP29" s="15">
        <f t="shared" si="168"/>
        <v>1.0067450574496373</v>
      </c>
      <c r="CQ29" s="15">
        <f t="shared" si="169"/>
        <v>0.55004378852902591</v>
      </c>
      <c r="CR29" s="15"/>
      <c r="CS29" s="1">
        <f t="shared" si="170"/>
        <v>0.90651947507160535</v>
      </c>
      <c r="CT29" s="15">
        <f t="shared" si="171"/>
        <v>0.1062363514790139</v>
      </c>
      <c r="CU29" s="59">
        <f t="shared" si="90"/>
        <v>0.29044664636038059</v>
      </c>
      <c r="CV29" s="22">
        <f t="shared" si="91"/>
        <v>0.5263518332234477</v>
      </c>
      <c r="CW29" s="22">
        <f t="shared" si="172"/>
        <v>0.40145437771284431</v>
      </c>
      <c r="CX29" s="22">
        <f t="shared" si="11"/>
        <v>0.75830718875946501</v>
      </c>
      <c r="CY29" s="22">
        <f t="shared" si="12"/>
        <v>7.8196835271090809E-2</v>
      </c>
      <c r="CZ29" s="22">
        <f t="shared" si="13"/>
        <v>0.26470224829281797</v>
      </c>
      <c r="DA29" s="22">
        <f t="shared" si="14"/>
        <v>2.7296164948010994E-2</v>
      </c>
      <c r="DB29" s="22">
        <f t="shared" si="15"/>
        <v>0.20072561776123668</v>
      </c>
      <c r="DC29" s="22">
        <f t="shared" si="16"/>
        <v>0.24861811425106445</v>
      </c>
      <c r="DD29" s="1">
        <f t="shared" si="17"/>
        <v>0.91538055698410403</v>
      </c>
      <c r="DE29" s="1">
        <f t="shared" si="18"/>
        <v>1.1267069610459847E-3</v>
      </c>
      <c r="DF29" s="1">
        <f t="shared" si="19"/>
        <v>5.8846029364168655E-2</v>
      </c>
      <c r="DG29" s="1">
        <f t="shared" si="20"/>
        <v>8.9078923926598969E-2</v>
      </c>
      <c r="DH29" s="1">
        <f t="shared" si="21"/>
        <v>1.8325991189427314E-3</v>
      </c>
      <c r="DI29" s="1">
        <f t="shared" si="22"/>
        <v>0.77410903027957245</v>
      </c>
      <c r="DJ29" s="1">
        <f t="shared" si="23"/>
        <v>3.0315242860760306E-2</v>
      </c>
      <c r="DK29" s="1">
        <f t="shared" si="24"/>
        <v>8.0672616003188186E-4</v>
      </c>
      <c r="DL29" s="1">
        <f t="shared" si="25"/>
        <v>0</v>
      </c>
      <c r="DM29" s="1">
        <f t="shared" si="26"/>
        <v>5.2632202223447389E-3</v>
      </c>
      <c r="DN29" s="1">
        <f t="shared" si="173"/>
        <v>1.8767590358775699</v>
      </c>
      <c r="DP29" s="15">
        <f t="shared" si="174"/>
        <v>1.8307611139682081</v>
      </c>
      <c r="DQ29" s="15">
        <f t="shared" si="174"/>
        <v>2.2534139220919693E-3</v>
      </c>
      <c r="DR29" s="15">
        <f t="shared" si="175"/>
        <v>0.17653808809250596</v>
      </c>
      <c r="DS29" s="15">
        <f t="shared" si="176"/>
        <v>8.9078923926598969E-2</v>
      </c>
      <c r="DT29" s="15">
        <f t="shared" si="176"/>
        <v>1.8325991189427314E-3</v>
      </c>
      <c r="DU29" s="15">
        <f t="shared" si="176"/>
        <v>0.77410903027957245</v>
      </c>
      <c r="DV29" s="15">
        <f t="shared" si="177"/>
        <v>3.0315242860760306E-2</v>
      </c>
      <c r="DW29" s="15">
        <f t="shared" si="177"/>
        <v>8.0672616003188186E-4</v>
      </c>
      <c r="DX29" s="15">
        <f t="shared" si="177"/>
        <v>0</v>
      </c>
      <c r="DY29" s="15">
        <f t="shared" si="178"/>
        <v>1.5789660667034217E-2</v>
      </c>
      <c r="DZ29" s="15">
        <f t="shared" si="179"/>
        <v>2.9214847989957464</v>
      </c>
      <c r="EA29" s="15">
        <f t="shared" si="180"/>
        <v>2.0537502033426587</v>
      </c>
      <c r="EC29" s="22">
        <f t="shared" si="100"/>
        <v>1.8799630050420197</v>
      </c>
      <c r="ED29" s="22">
        <f t="shared" si="101"/>
        <v>2.31397465035578E-3</v>
      </c>
      <c r="EE29" s="22">
        <f t="shared" si="181"/>
        <v>0.12003699495798026</v>
      </c>
      <c r="EF29" s="22">
        <f t="shared" si="182"/>
        <v>0.12167309458715861</v>
      </c>
      <c r="EG29" s="22">
        <f t="shared" si="104"/>
        <v>0.24171008954513887</v>
      </c>
      <c r="EH29" s="22">
        <f t="shared" si="105"/>
        <v>0.18294585812779784</v>
      </c>
      <c r="EI29" s="22">
        <f t="shared" si="106"/>
        <v>3.7637008131742116E-3</v>
      </c>
      <c r="EJ29" s="22">
        <f t="shared" si="107"/>
        <v>1.5898265783460603</v>
      </c>
      <c r="EK29" s="22">
        <f t="shared" si="108"/>
        <v>6.225993618966856E-2</v>
      </c>
      <c r="EL29" s="22">
        <f t="shared" si="109"/>
        <v>3.313628030414639E-3</v>
      </c>
      <c r="EM29" s="22">
        <f t="shared" si="110"/>
        <v>0</v>
      </c>
      <c r="EN29" s="22">
        <f t="shared" si="111"/>
        <v>2.16186792037554E-2</v>
      </c>
      <c r="EO29" s="15">
        <f t="shared" si="183"/>
        <v>3.9877154499483858</v>
      </c>
      <c r="EP29" s="15">
        <f t="shared" si="184"/>
        <v>0</v>
      </c>
      <c r="EQ29" s="15">
        <f t="shared" si="185"/>
        <v>-3.6967181452547848E-2</v>
      </c>
      <c r="ER29" s="15">
        <f t="shared" si="186"/>
        <v>3.313628030414639E-3</v>
      </c>
      <c r="ES29" s="15">
        <f t="shared" si="187"/>
        <v>2.31397465035578E-3</v>
      </c>
      <c r="ET29" s="15">
        <f t="shared" si="188"/>
        <v>2.16186792037554E-2</v>
      </c>
      <c r="EU29" s="15">
        <f t="shared" si="189"/>
        <v>9.6740787352988564E-2</v>
      </c>
      <c r="EV29" s="15">
        <f t="shared" si="190"/>
        <v>6.225993618966856E-2</v>
      </c>
      <c r="EW29" s="15">
        <f t="shared" si="191"/>
        <v>0.80761071954700969</v>
      </c>
      <c r="EX29" s="15">
        <f t="shared" si="192"/>
        <v>0.72273282819553164</v>
      </c>
      <c r="EY29" s="15">
        <f t="shared" si="193"/>
        <v>5.571657071475173E-2</v>
      </c>
      <c r="EZ29" s="59">
        <f t="shared" si="123"/>
        <v>0.64066491478554199</v>
      </c>
      <c r="FA29" s="15">
        <f t="shared" si="124"/>
        <v>6.225993618966856E-2</v>
      </c>
      <c r="FB29" s="15">
        <f t="shared" si="194"/>
        <v>0.10319759849813956</v>
      </c>
      <c r="FC29" s="15">
        <f t="shared" si="195"/>
        <v>0.67311825946819381</v>
      </c>
      <c r="FD29" s="22">
        <f t="shared" si="127"/>
        <v>0.89680240150186041</v>
      </c>
      <c r="FE29" s="22">
        <f t="shared" si="128"/>
        <v>0.766222816627254</v>
      </c>
      <c r="FF29" s="22">
        <f t="shared" si="129"/>
        <v>8.817143493147632E-2</v>
      </c>
      <c r="FG29" s="22">
        <f t="shared" si="130"/>
        <v>0.8346205757064642</v>
      </c>
      <c r="FH29" s="22">
        <f t="shared" si="131"/>
        <v>9.6042159260278398E-2</v>
      </c>
      <c r="FI29" s="58">
        <f t="shared" si="132"/>
        <v>0.63950532833286711</v>
      </c>
      <c r="FJ29" s="15">
        <f t="shared" si="196"/>
        <v>0.99385772497419267</v>
      </c>
      <c r="FL29" s="1">
        <f t="shared" si="28"/>
        <v>1245</v>
      </c>
      <c r="FM29" s="1">
        <f t="shared" si="134"/>
        <v>12</v>
      </c>
      <c r="FO29" s="1">
        <f t="shared" si="29"/>
        <v>0.34802012743096228</v>
      </c>
      <c r="FP29" s="1">
        <f t="shared" si="197"/>
        <v>1347.952057703375</v>
      </c>
      <c r="FR29" s="1">
        <f t="shared" si="30"/>
        <v>1297.0363218173247</v>
      </c>
      <c r="FS29" s="1">
        <f t="shared" si="31"/>
        <v>1146.4780446717275</v>
      </c>
      <c r="FT29" s="1">
        <f t="shared" si="32"/>
        <v>1299.7750585808517</v>
      </c>
      <c r="FU29" s="1">
        <f t="shared" si="33"/>
        <v>1155.4897079237519</v>
      </c>
      <c r="FV29" s="1">
        <f t="shared" si="136"/>
        <v>0.31387638049007399</v>
      </c>
      <c r="FW29" s="1">
        <f t="shared" si="198"/>
        <v>1379.0425254200145</v>
      </c>
      <c r="FX29" s="1">
        <f t="shared" si="34"/>
        <v>1256.8245578542683</v>
      </c>
      <c r="FZ29" s="1">
        <f t="shared" si="138"/>
        <v>1294.7249019362298</v>
      </c>
      <c r="GA29" s="1">
        <f t="shared" si="199"/>
        <v>1056.221018275809</v>
      </c>
      <c r="GC29" s="1">
        <f t="shared" si="35"/>
        <v>42.465280149333246</v>
      </c>
      <c r="GD29" s="1">
        <f t="shared" si="36"/>
        <v>32.7948884830776</v>
      </c>
      <c r="GF29" s="1">
        <f t="shared" si="200"/>
        <v>25.962520000000001</v>
      </c>
      <c r="GG29" s="1">
        <f t="shared" si="201"/>
        <v>31.402479999999997</v>
      </c>
      <c r="GH29" s="1">
        <f t="shared" si="202"/>
        <v>7.6120000000000019</v>
      </c>
      <c r="GI29" s="1">
        <f t="shared" si="37"/>
        <v>757.77632479428178</v>
      </c>
      <c r="GJ29" s="1">
        <f t="shared" si="38"/>
        <v>1251.5763077946958</v>
      </c>
      <c r="GL29" s="1">
        <f t="shared" si="143"/>
        <v>1186.2918751304819</v>
      </c>
      <c r="GM29" s="1">
        <f t="shared" si="203"/>
        <v>1145.0552256275755</v>
      </c>
      <c r="GO29" s="1">
        <f t="shared" si="144"/>
        <v>1267.2781484597031</v>
      </c>
      <c r="GQ29" s="1">
        <f t="shared" si="39"/>
        <v>11.002318315030385</v>
      </c>
      <c r="GR29" s="1">
        <f t="shared" si="145"/>
        <v>-0.99768168496961529</v>
      </c>
      <c r="GS29" s="2">
        <f t="shared" si="40"/>
        <v>12</v>
      </c>
    </row>
    <row r="30" spans="1:201" ht="13.8" x14ac:dyDescent="0.25">
      <c r="A30" s="1" t="s">
        <v>16</v>
      </c>
      <c r="B30" s="1" t="s">
        <v>17</v>
      </c>
      <c r="C30" s="23">
        <v>1.9</v>
      </c>
      <c r="D30" s="2">
        <v>1416</v>
      </c>
      <c r="F30" s="1">
        <v>5120</v>
      </c>
      <c r="G30" s="23">
        <v>52</v>
      </c>
      <c r="H30" s="23">
        <v>0.14000000000000001</v>
      </c>
      <c r="I30" s="23">
        <v>9.39</v>
      </c>
      <c r="J30" s="23">
        <v>4.8899999999999997</v>
      </c>
      <c r="K30" s="23">
        <v>0.06</v>
      </c>
      <c r="L30" s="23">
        <v>20.8</v>
      </c>
      <c r="M30" s="23">
        <v>13.3</v>
      </c>
      <c r="N30" s="23">
        <v>0.69</v>
      </c>
      <c r="O30" s="23">
        <v>0</v>
      </c>
      <c r="P30" s="23">
        <v>0.09</v>
      </c>
      <c r="R30" s="23">
        <v>54</v>
      </c>
      <c r="S30" s="23">
        <v>0.06</v>
      </c>
      <c r="T30" s="23">
        <v>8.26</v>
      </c>
      <c r="U30" s="23">
        <v>6.13</v>
      </c>
      <c r="V30" s="23">
        <v>0.04</v>
      </c>
      <c r="W30" s="23">
        <v>30.5</v>
      </c>
      <c r="X30" s="23">
        <v>2.1800000000000002</v>
      </c>
      <c r="Y30" s="23">
        <v>0.15</v>
      </c>
      <c r="Z30" s="23">
        <v>0</v>
      </c>
      <c r="AA30" s="23">
        <v>0.06</v>
      </c>
      <c r="AC30" s="50">
        <f t="shared" ca="1" si="41"/>
        <v>1360.1718328537634</v>
      </c>
      <c r="AD30" s="50">
        <f t="shared" ca="1" si="0"/>
        <v>19.19890573896361</v>
      </c>
      <c r="AE30" s="66">
        <f t="shared" si="42"/>
        <v>0.88348255541411924</v>
      </c>
      <c r="AF30" s="27">
        <f t="shared" ca="1" si="1"/>
        <v>1356.2664357807762</v>
      </c>
      <c r="AG30" s="27"/>
      <c r="AH30" s="27">
        <f t="shared" ca="1" si="2"/>
        <v>1360.1718328537634</v>
      </c>
      <c r="AI30" s="27">
        <f t="shared" ca="1" si="3"/>
        <v>1363.9770559369724</v>
      </c>
      <c r="AJ30" s="27">
        <f t="shared" si="4"/>
        <v>18.305994226412537</v>
      </c>
      <c r="AK30" s="27">
        <f t="shared" ca="1" si="5"/>
        <v>19.19890573896361</v>
      </c>
      <c r="AL30" s="27">
        <f t="shared" si="43"/>
        <v>1393.2568657850238</v>
      </c>
      <c r="AM30" s="27">
        <f t="shared" si="44"/>
        <v>1672.5556873378659</v>
      </c>
      <c r="AN30" s="27">
        <f t="shared" si="45"/>
        <v>1399.4056873378659</v>
      </c>
      <c r="AO30" s="29">
        <f t="shared" ca="1" si="6"/>
        <v>1376.7057586516405</v>
      </c>
      <c r="AP30" s="42">
        <f t="shared" si="7"/>
        <v>1.1697280085330657</v>
      </c>
      <c r="AQ30" s="44"/>
      <c r="AR30" s="1">
        <f t="shared" si="8"/>
        <v>0.15938891250725312</v>
      </c>
      <c r="AT30" s="1">
        <f t="shared" si="46"/>
        <v>0.86545070842133476</v>
      </c>
      <c r="AU30" s="1">
        <f t="shared" si="47"/>
        <v>1.7526552727381987E-3</v>
      </c>
      <c r="AV30" s="1">
        <f t="shared" si="48"/>
        <v>9.209403595492395E-2</v>
      </c>
      <c r="AW30" s="1">
        <f t="shared" si="49"/>
        <v>6.8061865312667016E-2</v>
      </c>
      <c r="AX30" s="1">
        <f t="shared" si="50"/>
        <v>8.458149779735683E-4</v>
      </c>
      <c r="AY30" s="1">
        <f t="shared" si="51"/>
        <v>0.5160726868530483</v>
      </c>
      <c r="AZ30" s="1">
        <f t="shared" si="52"/>
        <v>0.23717219414594831</v>
      </c>
      <c r="BA30" s="1">
        <f t="shared" si="53"/>
        <v>1.1132821008439969E-2</v>
      </c>
      <c r="BB30" s="1">
        <f t="shared" si="54"/>
        <v>0</v>
      </c>
      <c r="BC30" s="1">
        <f t="shared" si="55"/>
        <v>5.9211227501378301E-4</v>
      </c>
      <c r="BD30" s="1">
        <f t="shared" ref="BD30:BD38" si="204">SUM(AT30:BC30)</f>
        <v>1.793174894222088</v>
      </c>
      <c r="BF30" s="15">
        <f t="shared" ref="BF30:BG33" si="205">AT30*2</f>
        <v>1.7309014168426695</v>
      </c>
      <c r="BG30" s="15">
        <f t="shared" si="205"/>
        <v>3.5053105454763973E-3</v>
      </c>
      <c r="BH30" s="15">
        <f t="shared" ref="BH30:BH38" si="206">AV30*3</f>
        <v>0.27628210786477186</v>
      </c>
      <c r="BI30" s="15">
        <f t="shared" ref="BI30:BK36" si="207">AW30</f>
        <v>6.8061865312667016E-2</v>
      </c>
      <c r="BJ30" s="15">
        <f t="shared" si="207"/>
        <v>8.458149779735683E-4</v>
      </c>
      <c r="BK30" s="15">
        <f t="shared" si="207"/>
        <v>0.5160726868530483</v>
      </c>
      <c r="BL30" s="15">
        <f t="shared" ref="BL30:BN36" si="208">AZ30</f>
        <v>0.23717219414594831</v>
      </c>
      <c r="BM30" s="15">
        <f t="shared" si="208"/>
        <v>1.1132821008439969E-2</v>
      </c>
      <c r="BN30" s="15">
        <f t="shared" si="208"/>
        <v>0</v>
      </c>
      <c r="BO30" s="15">
        <f t="shared" ref="BO30:BO38" si="209">BC30*3</f>
        <v>1.7763368250413489E-3</v>
      </c>
      <c r="BP30" s="15">
        <f t="shared" ref="BP30:BP38" si="210">SUM(BF30:BO30)</f>
        <v>2.8457505543760355</v>
      </c>
      <c r="BQ30" s="15">
        <f t="shared" ref="BQ30:BQ38" si="211">6/BP30</f>
        <v>2.1084068632697046</v>
      </c>
      <c r="BS30" s="22">
        <f t="shared" si="63"/>
        <v>1.8247222134571701</v>
      </c>
      <c r="BT30" s="22">
        <f t="shared" si="64"/>
        <v>3.6953104059870541E-3</v>
      </c>
      <c r="BU30" s="22">
        <f t="shared" ref="BU30:BU38" si="212">2-BS30</f>
        <v>0.17527778654282988</v>
      </c>
      <c r="BV30" s="22">
        <f t="shared" ref="BV30:BV38" si="213">IF(BW30-BU30&lt;0,0,BW30-BU30)</f>
        <v>0.21306560840430733</v>
      </c>
      <c r="BW30" s="22">
        <f t="shared" si="67"/>
        <v>0.38834339494713721</v>
      </c>
      <c r="BX30" s="22">
        <f t="shared" si="68"/>
        <v>0.14350210395216537</v>
      </c>
      <c r="BY30" s="22">
        <f t="shared" si="69"/>
        <v>1.7833221046157854E-3</v>
      </c>
      <c r="BZ30" s="22">
        <f t="shared" si="70"/>
        <v>1.088091194907004</v>
      </c>
      <c r="CA30" s="22">
        <f t="shared" si="71"/>
        <v>0.50005548191405225</v>
      </c>
      <c r="CB30" s="22">
        <f t="shared" si="72"/>
        <v>4.6945032443495967E-2</v>
      </c>
      <c r="CC30" s="22">
        <f t="shared" si="73"/>
        <v>0</v>
      </c>
      <c r="CD30" s="22">
        <f t="shared" si="74"/>
        <v>2.4968271689305979E-3</v>
      </c>
      <c r="CE30" s="15">
        <f t="shared" ref="CE30:CE38" si="214">BS30+BT30+BW30+BX30+BY30+BZ30+CA30+CB30+CC30+CD30</f>
        <v>3.9996348813005582</v>
      </c>
      <c r="CF30" s="15">
        <f t="shared" ref="CF30:CF38" si="215">IF(CB30+BU30-BV30-2*BT30-CD30&gt;0,CB30+BU30-BV30-2*BT30-CD30,0)</f>
        <v>0</v>
      </c>
      <c r="CG30" s="15">
        <f t="shared" ref="CG30:CG38" si="216">12-48/CE30</f>
        <v>-1.095456091201541E-3</v>
      </c>
      <c r="CH30" s="15">
        <f t="shared" ref="CH30:CH38" si="217">IF(CB30&lt;BV30,CB30,BV30)</f>
        <v>4.6945032443495967E-2</v>
      </c>
      <c r="CI30" s="15">
        <f t="shared" ref="CI30:CI38" si="218">IF(BV30&gt;CB30,BV30-CB30,0)</f>
        <v>0.16612057596081137</v>
      </c>
      <c r="CJ30" s="15">
        <f t="shared" ref="CJ30:CJ38" si="219">IF(BU30&gt;CI30,(BU30-CI30)/2,0)</f>
        <v>4.5786052910092578E-3</v>
      </c>
      <c r="CK30" s="15">
        <f t="shared" ref="CK30:CK38" si="220">CD30/2</f>
        <v>1.2484135844652989E-3</v>
      </c>
      <c r="CL30" s="15">
        <f t="shared" ref="CL30:CL38" si="221">IF(CA30-CJ30-CI30-CK30&gt;0,CA30-CJ30-CI30-CK30,0)</f>
        <v>0.32810788707776628</v>
      </c>
      <c r="CM30" s="15">
        <f t="shared" ref="CM30:CM38" si="222">((BX30+BZ30)-CL30)/2</f>
        <v>0.45174270589070153</v>
      </c>
      <c r="CN30" s="15">
        <f t="shared" ref="CN30:CN38" si="223">CM30*(BZ30/(BZ30+BY30+BX30))</f>
        <v>0.39852973721768759</v>
      </c>
      <c r="CO30" s="15">
        <f t="shared" ref="CO30:CO38" si="224">CQ30*(BZ30/(BZ30+BY30+BX30))</f>
        <v>0.28945846454417418</v>
      </c>
      <c r="CP30" s="15">
        <f t="shared" ref="CP30:CP38" si="225">SUM(CH30:CM30)</f>
        <v>0.99874322024824969</v>
      </c>
      <c r="CQ30" s="15">
        <f t="shared" ref="CQ30:CQ38" si="226">CA30-CI30-CJ30-CK30</f>
        <v>0.32810788707776634</v>
      </c>
      <c r="CR30" s="15"/>
      <c r="CS30" s="1">
        <f t="shared" ref="CS30:CS38" si="227">BZ30/(BZ30+CT30)</f>
        <v>0.88348255541411924</v>
      </c>
      <c r="CT30" s="15">
        <f t="shared" ref="CT30:CT38" si="228">BX30-CF30</f>
        <v>0.14350210395216537</v>
      </c>
      <c r="CU30" s="59">
        <f t="shared" si="90"/>
        <v>0.30435912403004645</v>
      </c>
      <c r="CV30" s="22">
        <f t="shared" si="91"/>
        <v>0.4293867946199933</v>
      </c>
      <c r="CW30" s="22">
        <f t="shared" ref="CW30:CW38" si="229">(BZ30/(CA30+BZ30+BX30-CF30+BY30+CB30))*(BZ30/(BX30+BW30+BT30+CD30+BZ30))</f>
        <v>0.40894380511835421</v>
      </c>
      <c r="CX30" s="22">
        <f t="shared" si="11"/>
        <v>0.68977216170205369</v>
      </c>
      <c r="CY30" s="22">
        <f t="shared" si="12"/>
        <v>9.0970092318721288E-2</v>
      </c>
      <c r="CZ30" s="22">
        <f t="shared" si="13"/>
        <v>0.3986416092065625</v>
      </c>
      <c r="DA30" s="22">
        <f t="shared" si="14"/>
        <v>5.2574554331273518E-2</v>
      </c>
      <c r="DB30" s="22">
        <f t="shared" si="15"/>
        <v>0.27497188452679594</v>
      </c>
      <c r="DC30" s="22">
        <f t="shared" si="16"/>
        <v>0.3538412380737857</v>
      </c>
      <c r="DD30" s="1">
        <f t="shared" si="17"/>
        <v>0.89873727412984761</v>
      </c>
      <c r="DE30" s="1">
        <f t="shared" si="18"/>
        <v>7.511379740306564E-4</v>
      </c>
      <c r="DF30" s="1">
        <f t="shared" si="19"/>
        <v>8.101136709133884E-2</v>
      </c>
      <c r="DG30" s="1">
        <f t="shared" si="20"/>
        <v>8.5320906823445564E-2</v>
      </c>
      <c r="DH30" s="1">
        <f t="shared" si="21"/>
        <v>5.6387665198237883E-4</v>
      </c>
      <c r="DI30" s="1">
        <f t="shared" si="22"/>
        <v>0.7567411994720179</v>
      </c>
      <c r="DJ30" s="1">
        <f t="shared" si="23"/>
        <v>3.8874840844974987E-2</v>
      </c>
      <c r="DK30" s="1">
        <f t="shared" si="24"/>
        <v>2.4201784800956454E-3</v>
      </c>
      <c r="DL30" s="1">
        <f t="shared" si="25"/>
        <v>0</v>
      </c>
      <c r="DM30" s="1">
        <f t="shared" si="26"/>
        <v>3.9474151667585536E-4</v>
      </c>
      <c r="DN30" s="1">
        <f t="shared" ref="DN30:DN38" si="230">SUM(DD30:DM30)</f>
        <v>1.8648155229844097</v>
      </c>
      <c r="DP30" s="15">
        <f t="shared" ref="DP30:DQ33" si="231">DD30*2</f>
        <v>1.7974745482596952</v>
      </c>
      <c r="DQ30" s="15">
        <f t="shared" si="231"/>
        <v>1.5022759480613128E-3</v>
      </c>
      <c r="DR30" s="15">
        <f t="shared" ref="DR30:DR38" si="232">DF30*3</f>
        <v>0.24303410127401653</v>
      </c>
      <c r="DS30" s="15">
        <f t="shared" ref="DS30:DU36" si="233">DG30</f>
        <v>8.5320906823445564E-2</v>
      </c>
      <c r="DT30" s="15">
        <f t="shared" si="233"/>
        <v>5.6387665198237883E-4</v>
      </c>
      <c r="DU30" s="15">
        <f t="shared" si="233"/>
        <v>0.7567411994720179</v>
      </c>
      <c r="DV30" s="15">
        <f t="shared" ref="DV30:DX36" si="234">DJ30</f>
        <v>3.8874840844974987E-2</v>
      </c>
      <c r="DW30" s="15">
        <f t="shared" si="234"/>
        <v>2.4201784800956454E-3</v>
      </c>
      <c r="DX30" s="15">
        <f t="shared" si="234"/>
        <v>0</v>
      </c>
      <c r="DY30" s="15">
        <f t="shared" ref="DY30:DY38" si="235">DM30*3</f>
        <v>1.184224550027566E-3</v>
      </c>
      <c r="DZ30" s="15">
        <f t="shared" ref="DZ30:DZ38" si="236">SUM(DP30:DY30)</f>
        <v>2.927116152304317</v>
      </c>
      <c r="EA30" s="15">
        <f t="shared" ref="EA30:EA38" si="237">6/DZ30</f>
        <v>2.049799081350637</v>
      </c>
      <c r="EC30" s="22">
        <f t="shared" si="100"/>
        <v>1.8422308388869373</v>
      </c>
      <c r="ED30" s="22">
        <f t="shared" si="101"/>
        <v>1.539681929135618E-3</v>
      </c>
      <c r="EE30" s="22">
        <f t="shared" ref="EE30:EE38" si="238">2-EC30</f>
        <v>0.15776916111306272</v>
      </c>
      <c r="EF30" s="22">
        <f t="shared" ref="EF30:EF38" si="239">IF(EG30-EE30&lt;0,0,EG30-EE30)</f>
        <v>0.17434489057250846</v>
      </c>
      <c r="EG30" s="22">
        <f t="shared" si="104"/>
        <v>0.33211405168557118</v>
      </c>
      <c r="EH30" s="22">
        <f t="shared" si="105"/>
        <v>0.17489071642670201</v>
      </c>
      <c r="EI30" s="22">
        <f t="shared" si="106"/>
        <v>1.1558338432285529E-3</v>
      </c>
      <c r="EJ30" s="22">
        <f t="shared" si="107"/>
        <v>1.5511674154979214</v>
      </c>
      <c r="EK30" s="22">
        <f t="shared" si="108"/>
        <v>7.9685613051681953E-2</v>
      </c>
      <c r="EL30" s="22">
        <f t="shared" si="109"/>
        <v>9.9217592504092702E-3</v>
      </c>
      <c r="EM30" s="22">
        <f t="shared" si="110"/>
        <v>0</v>
      </c>
      <c r="EN30" s="22">
        <f t="shared" si="111"/>
        <v>1.6182815965062509E-3</v>
      </c>
      <c r="EO30" s="15">
        <f t="shared" ref="EO30:EO38" si="240">EC30+ED30+EG30+EH30+EI30+EJ30+EK30+EL30+EM30+EN30</f>
        <v>3.9943241921680932</v>
      </c>
      <c r="EP30" s="15">
        <f t="shared" ref="EP30:EP38" si="241">IF(EL30+EE30-EF30-2*ED30-EN30&gt;0,EL30+EE30-EF30-2*ED30-EN30,0)</f>
        <v>0</v>
      </c>
      <c r="EQ30" s="15">
        <f t="shared" ref="EQ30:EQ38" si="242">12-48/EO30</f>
        <v>-1.7051618923778378E-2</v>
      </c>
      <c r="ER30" s="15">
        <f t="shared" ref="ER30:ER38" si="243">EL30</f>
        <v>9.9217592504092702E-3</v>
      </c>
      <c r="ES30" s="15">
        <f t="shared" ref="ES30:ES38" si="244">ED30</f>
        <v>1.539681929135618E-3</v>
      </c>
      <c r="ET30" s="15">
        <f t="shared" ref="ET30:ET38" si="245">EN30</f>
        <v>1.6182815965062509E-3</v>
      </c>
      <c r="EU30" s="15">
        <f t="shared" ref="EU30:EU38" si="246">(EF30-ER30-ET30)</f>
        <v>0.16280484972559292</v>
      </c>
      <c r="EV30" s="15">
        <f t="shared" ref="EV30:EV38" si="247">EK30</f>
        <v>7.9685613051681953E-2</v>
      </c>
      <c r="EW30" s="15">
        <f t="shared" ref="EW30:EW38" si="248">((EH30+EJ30+EI30)-ES30-EU30-EV30)/2</f>
        <v>0.74159191053072071</v>
      </c>
      <c r="EX30" s="15">
        <f t="shared" ref="EX30:EX38" si="249">EW30*(EJ30/(EJ30+EH30+EI30))</f>
        <v>0.6660050404934692</v>
      </c>
      <c r="EY30" s="15">
        <f t="shared" ref="EY30:EY38" si="250">EV30*(EJ30/(EJ30+EH30+EI30))</f>
        <v>7.1563644632061926E-2</v>
      </c>
      <c r="EZ30" s="59">
        <f t="shared" si="123"/>
        <v>0.60610539293845278</v>
      </c>
      <c r="FA30" s="15">
        <f t="shared" si="124"/>
        <v>7.9685613051681953E-2</v>
      </c>
      <c r="FB30" s="15">
        <f t="shared" ref="FB30:FB38" si="251">(EH30-EP30)/((EH30-EP30)+EJ30)</f>
        <v>0.10132376957182312</v>
      </c>
      <c r="FC30" s="15">
        <f t="shared" ref="FC30:FC38" si="252">(EJ30/(EK30+EJ30-EP30+EH30+EI30+EL30))*(EJ30/(EP30+EH30-EP30+EG30+ED30+EN30+EJ30))</f>
        <v>0.64247697716224161</v>
      </c>
      <c r="FD30" s="22">
        <f t="shared" si="127"/>
        <v>0.8986762304281769</v>
      </c>
      <c r="FE30" s="22">
        <f t="shared" si="128"/>
        <v>0.73915863461700848</v>
      </c>
      <c r="FF30" s="22">
        <f t="shared" si="129"/>
        <v>8.3338511284841169E-2</v>
      </c>
      <c r="FG30" s="22">
        <f t="shared" si="130"/>
        <v>0.81710949446792536</v>
      </c>
      <c r="FH30" s="22">
        <f t="shared" si="131"/>
        <v>9.2127299386754832E-2</v>
      </c>
      <c r="FI30" s="58">
        <f t="shared" si="132"/>
        <v>0.60397353826350575</v>
      </c>
      <c r="FJ30" s="15">
        <f t="shared" ref="FJ30:FJ38" si="253">SUM(ER30:EW30)</f>
        <v>0.99716209608404671</v>
      </c>
      <c r="FL30" s="1">
        <f t="shared" si="28"/>
        <v>1416</v>
      </c>
      <c r="FM30" s="1">
        <f t="shared" si="134"/>
        <v>19</v>
      </c>
      <c r="FO30" s="1">
        <f t="shared" si="29"/>
        <v>0.52491835843141899</v>
      </c>
      <c r="FP30" s="1">
        <f t="shared" ref="FP30:FP38" si="254">1616.67+287.935*LN(FO30)+2.933*FM30</f>
        <v>1486.819282879816</v>
      </c>
      <c r="FR30" s="1">
        <f t="shared" si="30"/>
        <v>1341.0417083959817</v>
      </c>
      <c r="FS30" s="1">
        <f t="shared" si="31"/>
        <v>1239.6242188220242</v>
      </c>
      <c r="FT30" s="1">
        <f t="shared" si="32"/>
        <v>1437.9450338486686</v>
      </c>
      <c r="FU30" s="1">
        <f t="shared" si="33"/>
        <v>1333.7363219800493</v>
      </c>
      <c r="FV30" s="1">
        <f t="shared" si="136"/>
        <v>0.45527141026305906</v>
      </c>
      <c r="FW30" s="1">
        <f t="shared" ref="FW30:FW38" si="255">-273.15+(4900/(1.807-LN(FV30)))</f>
        <v>1615.9253958652048</v>
      </c>
      <c r="FX30" s="1">
        <f t="shared" si="34"/>
        <v>1422.6958566008648</v>
      </c>
      <c r="FZ30" s="1">
        <f t="shared" si="138"/>
        <v>1393.2568657850238</v>
      </c>
      <c r="GA30" s="1">
        <f t="shared" ref="GA30:GA38" si="256">-273.15+(3666/(0.8808-LN(EF30/(0.5*EJ30))))</f>
        <v>1271.4822564691444</v>
      </c>
      <c r="GC30" s="1">
        <f t="shared" si="35"/>
        <v>54.432874411633208</v>
      </c>
      <c r="GD30" s="1">
        <f t="shared" si="36"/>
        <v>40.760591656321608</v>
      </c>
      <c r="GF30" s="1">
        <f t="shared" ref="GF30:GF38" si="257">26.23-0.02229*FM30</f>
        <v>25.80649</v>
      </c>
      <c r="GG30" s="1">
        <f t="shared" ref="GG30:GG38" si="258">32.44-0.08646*FM30</f>
        <v>30.797259999999998</v>
      </c>
      <c r="GH30" s="1">
        <f t="shared" ref="GH30:GH38" si="259">28.6-1.749*FM30</f>
        <v>-4.6310000000000002</v>
      </c>
      <c r="GI30" s="1">
        <f t="shared" si="37"/>
        <v>879.30932474856456</v>
      </c>
      <c r="GJ30" s="1">
        <f t="shared" si="38"/>
        <v>1600.6442203996271</v>
      </c>
      <c r="GL30" s="1">
        <f t="shared" si="143"/>
        <v>1310.9178538765868</v>
      </c>
      <c r="GM30" s="1">
        <f t="shared" si="203"/>
        <v>1354.9114943978993</v>
      </c>
      <c r="GO30" s="1">
        <f t="shared" si="144"/>
        <v>1399.4056873378659</v>
      </c>
      <c r="GQ30" s="1">
        <f t="shared" si="39"/>
        <v>18.305994226412537</v>
      </c>
      <c r="GR30" s="1">
        <f t="shared" si="145"/>
        <v>-0.69400577358746318</v>
      </c>
      <c r="GS30" s="2">
        <f t="shared" si="40"/>
        <v>19</v>
      </c>
    </row>
    <row r="31" spans="1:201" ht="13.8" x14ac:dyDescent="0.25">
      <c r="A31" s="1" t="s">
        <v>19</v>
      </c>
      <c r="B31" s="1" t="s">
        <v>18</v>
      </c>
      <c r="C31" s="23">
        <v>1.6</v>
      </c>
      <c r="D31" s="2">
        <v>1330</v>
      </c>
      <c r="F31" s="1">
        <v>5215</v>
      </c>
      <c r="G31" s="23">
        <v>52.9</v>
      </c>
      <c r="H31" s="23">
        <v>0.35</v>
      </c>
      <c r="I31" s="23">
        <v>7.4</v>
      </c>
      <c r="J31" s="23">
        <v>5.2</v>
      </c>
      <c r="K31" s="23">
        <v>0.17</v>
      </c>
      <c r="L31" s="23">
        <v>23.1</v>
      </c>
      <c r="M31" s="23">
        <v>11.6</v>
      </c>
      <c r="N31" s="23">
        <v>0.55000000000000004</v>
      </c>
      <c r="O31" s="23">
        <v>0</v>
      </c>
      <c r="P31" s="23">
        <v>0.12</v>
      </c>
      <c r="R31" s="23">
        <v>54.9</v>
      </c>
      <c r="S31" s="23">
        <v>0.17</v>
      </c>
      <c r="T31" s="23">
        <v>6.22</v>
      </c>
      <c r="U31" s="23">
        <v>6.03</v>
      </c>
      <c r="V31" s="23">
        <v>0.15</v>
      </c>
      <c r="W31" s="23">
        <v>31.7</v>
      </c>
      <c r="X31" s="23">
        <v>2.46</v>
      </c>
      <c r="Y31" s="23">
        <v>0.14000000000000001</v>
      </c>
      <c r="Z31" s="23">
        <v>0</v>
      </c>
      <c r="AA31" s="23">
        <v>0.1</v>
      </c>
      <c r="AC31" s="50">
        <f t="shared" ca="1" si="41"/>
        <v>1333.9075840096489</v>
      </c>
      <c r="AD31" s="50">
        <f t="shared" ca="1" si="0"/>
        <v>15.668972661386219</v>
      </c>
      <c r="AE31" s="66">
        <f t="shared" si="42"/>
        <v>0.88787770858439874</v>
      </c>
      <c r="AF31" s="27">
        <f t="shared" ca="1" si="1"/>
        <v>1372.2509944647745</v>
      </c>
      <c r="AG31" s="27"/>
      <c r="AH31" s="27">
        <f t="shared" ca="1" si="2"/>
        <v>1333.9075840096489</v>
      </c>
      <c r="AI31" s="27">
        <f t="shared" ca="1" si="3"/>
        <v>1339.1205008400113</v>
      </c>
      <c r="AJ31" s="27">
        <f t="shared" si="4"/>
        <v>15.900247156899313</v>
      </c>
      <c r="AK31" s="27">
        <f t="shared" ca="1" si="5"/>
        <v>15.668972661386219</v>
      </c>
      <c r="AL31" s="27">
        <f t="shared" si="43"/>
        <v>1461.7567721018922</v>
      </c>
      <c r="AM31" s="27">
        <f t="shared" si="44"/>
        <v>1748.1734959677501</v>
      </c>
      <c r="AN31" s="27">
        <f t="shared" si="45"/>
        <v>1475.02349596775</v>
      </c>
      <c r="AO31" s="29">
        <f t="shared" ca="1" si="6"/>
        <v>1368.0589767121621</v>
      </c>
      <c r="AP31" s="42">
        <f t="shared" si="7"/>
        <v>1.1834047654943176</v>
      </c>
      <c r="AQ31" s="44"/>
      <c r="AR31" s="1">
        <f t="shared" si="8"/>
        <v>0.15869731482360105</v>
      </c>
      <c r="AT31" s="1">
        <f t="shared" si="46"/>
        <v>0.88042966299016545</v>
      </c>
      <c r="AU31" s="1">
        <f t="shared" si="47"/>
        <v>4.3816381818454955E-3</v>
      </c>
      <c r="AV31" s="1">
        <f t="shared" si="48"/>
        <v>7.2576769549141343E-2</v>
      </c>
      <c r="AW31" s="1">
        <f t="shared" si="49"/>
        <v>7.2376625690361657E-2</v>
      </c>
      <c r="AX31" s="1">
        <f t="shared" si="50"/>
        <v>2.3964757709251101E-3</v>
      </c>
      <c r="AY31" s="1">
        <f t="shared" si="51"/>
        <v>0.57313841664929888</v>
      </c>
      <c r="AZ31" s="1">
        <f t="shared" si="52"/>
        <v>0.20685695128518797</v>
      </c>
      <c r="BA31" s="1">
        <f t="shared" si="53"/>
        <v>8.8739877603507007E-3</v>
      </c>
      <c r="BB31" s="1">
        <f t="shared" si="54"/>
        <v>0</v>
      </c>
      <c r="BC31" s="1">
        <f t="shared" si="55"/>
        <v>7.8948303335171072E-4</v>
      </c>
      <c r="BD31" s="1">
        <f t="shared" si="204"/>
        <v>1.8218200109106284</v>
      </c>
      <c r="BF31" s="15">
        <f t="shared" si="205"/>
        <v>1.7608593259803309</v>
      </c>
      <c r="BG31" s="15">
        <f t="shared" si="205"/>
        <v>8.7632763636909909E-3</v>
      </c>
      <c r="BH31" s="15">
        <f t="shared" si="206"/>
        <v>0.21773030864742404</v>
      </c>
      <c r="BI31" s="15">
        <f t="shared" si="207"/>
        <v>7.2376625690361657E-2</v>
      </c>
      <c r="BJ31" s="15">
        <f t="shared" si="207"/>
        <v>2.3964757709251101E-3</v>
      </c>
      <c r="BK31" s="15">
        <f t="shared" si="207"/>
        <v>0.57313841664929888</v>
      </c>
      <c r="BL31" s="15">
        <f t="shared" si="208"/>
        <v>0.20685695128518797</v>
      </c>
      <c r="BM31" s="15">
        <f t="shared" si="208"/>
        <v>8.8739877603507007E-3</v>
      </c>
      <c r="BN31" s="15">
        <f t="shared" si="208"/>
        <v>0</v>
      </c>
      <c r="BO31" s="15">
        <f t="shared" si="209"/>
        <v>2.368449100055132E-3</v>
      </c>
      <c r="BP31" s="15">
        <f t="shared" si="210"/>
        <v>2.853363817247625</v>
      </c>
      <c r="BQ31" s="15">
        <f t="shared" si="211"/>
        <v>2.1027812730125817</v>
      </c>
      <c r="BS31" s="22">
        <f t="shared" si="63"/>
        <v>1.8513510075404984</v>
      </c>
      <c r="BT31" s="22">
        <f t="shared" si="64"/>
        <v>9.2136267139016053E-3</v>
      </c>
      <c r="BU31" s="22">
        <f t="shared" si="212"/>
        <v>0.14864899245950158</v>
      </c>
      <c r="BV31" s="22">
        <f t="shared" si="213"/>
        <v>0.15657715126786681</v>
      </c>
      <c r="BW31" s="22">
        <f t="shared" si="67"/>
        <v>0.30522614372736839</v>
      </c>
      <c r="BX31" s="22">
        <f t="shared" si="68"/>
        <v>0.1521922131055338</v>
      </c>
      <c r="BY31" s="22">
        <f t="shared" si="69"/>
        <v>5.0392643723297112E-3</v>
      </c>
      <c r="BZ31" s="22">
        <f t="shared" si="70"/>
        <v>1.2051847293742282</v>
      </c>
      <c r="CA31" s="22">
        <f t="shared" si="71"/>
        <v>0.43497492335496912</v>
      </c>
      <c r="CB31" s="22">
        <f t="shared" si="72"/>
        <v>3.7320110558816628E-2</v>
      </c>
      <c r="CC31" s="22">
        <f t="shared" si="73"/>
        <v>0</v>
      </c>
      <c r="CD31" s="22">
        <f t="shared" si="74"/>
        <v>3.3202202757862897E-3</v>
      </c>
      <c r="CE31" s="15">
        <f t="shared" si="214"/>
        <v>4.0038222390234326</v>
      </c>
      <c r="CF31" s="15">
        <f t="shared" si="215"/>
        <v>7.6444780468618943E-3</v>
      </c>
      <c r="CG31" s="15">
        <f t="shared" si="216"/>
        <v>1.1455770397134302E-2</v>
      </c>
      <c r="CH31" s="15">
        <f t="shared" si="217"/>
        <v>3.7320110558816628E-2</v>
      </c>
      <c r="CI31" s="15">
        <f t="shared" si="218"/>
        <v>0.11925704070905019</v>
      </c>
      <c r="CJ31" s="15">
        <f t="shared" si="219"/>
        <v>1.4695975875225697E-2</v>
      </c>
      <c r="CK31" s="15">
        <f t="shared" si="220"/>
        <v>1.6601101378931448E-3</v>
      </c>
      <c r="CL31" s="15">
        <f t="shared" si="221"/>
        <v>0.2993617966328001</v>
      </c>
      <c r="CM31" s="15">
        <f t="shared" si="222"/>
        <v>0.52900757292348088</v>
      </c>
      <c r="CN31" s="15">
        <f t="shared" si="223"/>
        <v>0.46795674141589044</v>
      </c>
      <c r="CO31" s="15">
        <f t="shared" si="224"/>
        <v>0.26481354526271578</v>
      </c>
      <c r="CP31" s="15">
        <f t="shared" si="225"/>
        <v>1.0013026068372666</v>
      </c>
      <c r="CQ31" s="15">
        <f t="shared" si="226"/>
        <v>0.2993617966328001</v>
      </c>
      <c r="CR31" s="15"/>
      <c r="CS31" s="1">
        <f t="shared" si="227"/>
        <v>0.8929063804363595</v>
      </c>
      <c r="CT31" s="15">
        <f t="shared" si="228"/>
        <v>0.14454773505867191</v>
      </c>
      <c r="CU31" s="59">
        <f t="shared" si="90"/>
        <v>0.37341215288566554</v>
      </c>
      <c r="CV31" s="22">
        <f t="shared" si="91"/>
        <v>0.37751668380610992</v>
      </c>
      <c r="CW31" s="22">
        <f t="shared" si="229"/>
        <v>0.47457243510488528</v>
      </c>
      <c r="CX31" s="22">
        <f t="shared" si="11"/>
        <v>0.73508028786707824</v>
      </c>
      <c r="CY31" s="22">
        <f t="shared" si="12"/>
        <v>8.816423582850523E-2</v>
      </c>
      <c r="CZ31" s="22">
        <f t="shared" si="13"/>
        <v>0.46669153989557455</v>
      </c>
      <c r="DA31" s="22">
        <f t="shared" si="14"/>
        <v>5.5974161818309949E-2</v>
      </c>
      <c r="DB31" s="22">
        <f t="shared" si="15"/>
        <v>0.34305575149156897</v>
      </c>
      <c r="DC31" s="22">
        <f t="shared" si="16"/>
        <v>0.43644723797167245</v>
      </c>
      <c r="DD31" s="1">
        <f t="shared" si="17"/>
        <v>0.9137162286986783</v>
      </c>
      <c r="DE31" s="1">
        <f t="shared" si="18"/>
        <v>2.1282242597535266E-3</v>
      </c>
      <c r="DF31" s="1">
        <f t="shared" si="19"/>
        <v>6.1003717107521505E-2</v>
      </c>
      <c r="DG31" s="1">
        <f t="shared" si="20"/>
        <v>8.3929048637092468E-2</v>
      </c>
      <c r="DH31" s="1">
        <f t="shared" si="21"/>
        <v>2.1145374449339205E-3</v>
      </c>
      <c r="DI31" s="1">
        <f t="shared" si="22"/>
        <v>0.78651462371353997</v>
      </c>
      <c r="DJ31" s="1">
        <f t="shared" si="23"/>
        <v>4.3867939669100207E-2</v>
      </c>
      <c r="DK31" s="1">
        <f t="shared" si="24"/>
        <v>2.2588332480892692E-3</v>
      </c>
      <c r="DL31" s="1">
        <f t="shared" si="25"/>
        <v>0</v>
      </c>
      <c r="DM31" s="1">
        <f t="shared" si="26"/>
        <v>6.5790252779309236E-4</v>
      </c>
      <c r="DN31" s="1">
        <f t="shared" si="230"/>
        <v>1.8961910553065022</v>
      </c>
      <c r="DP31" s="15">
        <f t="shared" si="231"/>
        <v>1.8274324573973566</v>
      </c>
      <c r="DQ31" s="15">
        <f t="shared" si="231"/>
        <v>4.2564485195070532E-3</v>
      </c>
      <c r="DR31" s="15">
        <f t="shared" si="232"/>
        <v>0.18301115132256451</v>
      </c>
      <c r="DS31" s="15">
        <f t="shared" si="233"/>
        <v>8.3929048637092468E-2</v>
      </c>
      <c r="DT31" s="15">
        <f t="shared" si="233"/>
        <v>2.1145374449339205E-3</v>
      </c>
      <c r="DU31" s="15">
        <f t="shared" si="233"/>
        <v>0.78651462371353997</v>
      </c>
      <c r="DV31" s="15">
        <f t="shared" si="234"/>
        <v>4.3867939669100207E-2</v>
      </c>
      <c r="DW31" s="15">
        <f t="shared" si="234"/>
        <v>2.2588332480892692E-3</v>
      </c>
      <c r="DX31" s="15">
        <f t="shared" si="234"/>
        <v>0</v>
      </c>
      <c r="DY31" s="15">
        <f t="shared" si="235"/>
        <v>1.9737075833792771E-3</v>
      </c>
      <c r="DZ31" s="15">
        <f t="shared" si="236"/>
        <v>2.9353587475355636</v>
      </c>
      <c r="EA31" s="15">
        <f t="shared" si="237"/>
        <v>2.0440431702044646</v>
      </c>
      <c r="EC31" s="22">
        <f t="shared" si="100"/>
        <v>1.8676754167765139</v>
      </c>
      <c r="ED31" s="22">
        <f t="shared" si="101"/>
        <v>4.3501822628126486E-3</v>
      </c>
      <c r="EE31" s="22">
        <f t="shared" si="238"/>
        <v>0.13232458322348606</v>
      </c>
      <c r="EF31" s="22">
        <f t="shared" si="239"/>
        <v>0.1170638793979431</v>
      </c>
      <c r="EG31" s="22">
        <f t="shared" si="104"/>
        <v>0.24938846262142916</v>
      </c>
      <c r="EH31" s="22">
        <f t="shared" si="105"/>
        <v>0.17155459864840719</v>
      </c>
      <c r="EI31" s="22">
        <f t="shared" si="106"/>
        <v>4.322205822458779E-3</v>
      </c>
      <c r="EJ31" s="22">
        <f t="shared" si="107"/>
        <v>1.6076698448675959</v>
      </c>
      <c r="EK31" s="22">
        <f t="shared" si="108"/>
        <v>8.9667962471565776E-2</v>
      </c>
      <c r="EL31" s="22">
        <f t="shared" si="109"/>
        <v>9.2343053467752751E-3</v>
      </c>
      <c r="EM31" s="22">
        <f t="shared" si="110"/>
        <v>0</v>
      </c>
      <c r="EN31" s="22">
        <f t="shared" si="111"/>
        <v>2.6895623371914466E-3</v>
      </c>
      <c r="EO31" s="15">
        <f t="shared" si="240"/>
        <v>4.0065525411547505</v>
      </c>
      <c r="EP31" s="15">
        <f t="shared" si="241"/>
        <v>1.3105082309501486E-2</v>
      </c>
      <c r="EQ31" s="15">
        <f t="shared" si="242"/>
        <v>1.9625474282271682E-2</v>
      </c>
      <c r="ER31" s="15">
        <f t="shared" si="243"/>
        <v>9.2343053467752751E-3</v>
      </c>
      <c r="ES31" s="15">
        <f t="shared" si="244"/>
        <v>4.3501822628126486E-3</v>
      </c>
      <c r="ET31" s="15">
        <f t="shared" si="245"/>
        <v>2.6895623371914466E-3</v>
      </c>
      <c r="EU31" s="15">
        <f t="shared" si="246"/>
        <v>0.10514001171397638</v>
      </c>
      <c r="EV31" s="15">
        <f t="shared" si="247"/>
        <v>8.9667962471565776E-2</v>
      </c>
      <c r="EW31" s="15">
        <f t="shared" si="248"/>
        <v>0.79219424644505354</v>
      </c>
      <c r="EX31" s="15">
        <f t="shared" si="249"/>
        <v>0.71407540798538083</v>
      </c>
      <c r="EY31" s="15">
        <f t="shared" si="250"/>
        <v>8.082574087407518E-2</v>
      </c>
      <c r="EZ31" s="59">
        <f t="shared" si="123"/>
        <v>0.6421215631098639</v>
      </c>
      <c r="FA31" s="15">
        <f t="shared" si="124"/>
        <v>8.9667962471565776E-2</v>
      </c>
      <c r="FB31" s="15">
        <f t="shared" si="251"/>
        <v>8.9716199153528881E-2</v>
      </c>
      <c r="FC31" s="15">
        <f t="shared" si="252"/>
        <v>0.67920498766922954</v>
      </c>
      <c r="FD31" s="22">
        <f t="shared" si="127"/>
        <v>0.91028380084647109</v>
      </c>
      <c r="FE31" s="22">
        <f t="shared" si="128"/>
        <v>0.78538493815969945</v>
      </c>
      <c r="FF31" s="22">
        <f t="shared" si="129"/>
        <v>7.7406355532851773E-2</v>
      </c>
      <c r="FG31" s="22">
        <f t="shared" si="130"/>
        <v>0.81632023464034753</v>
      </c>
      <c r="FH31" s="22">
        <f t="shared" si="131"/>
        <v>8.0455291718852726E-2</v>
      </c>
      <c r="FI31" s="58">
        <f t="shared" si="132"/>
        <v>0.64112561700152082</v>
      </c>
      <c r="FJ31" s="15">
        <f t="shared" si="253"/>
        <v>1.003276270577375</v>
      </c>
      <c r="FL31" s="1">
        <f t="shared" si="28"/>
        <v>1330</v>
      </c>
      <c r="FM31" s="1">
        <f t="shared" si="134"/>
        <v>16</v>
      </c>
      <c r="FO31" s="1">
        <f t="shared" si="29"/>
        <v>0.60088292798987797</v>
      </c>
      <c r="FP31" s="1">
        <f t="shared" si="254"/>
        <v>1516.9368223566953</v>
      </c>
      <c r="FR31" s="1">
        <f t="shared" si="30"/>
        <v>1385.9239869002092</v>
      </c>
      <c r="FS31" s="1">
        <f t="shared" si="31"/>
        <v>1288.9181098525612</v>
      </c>
      <c r="FT31" s="1">
        <f t="shared" si="32"/>
        <v>1566.7117307450501</v>
      </c>
      <c r="FU31" s="1">
        <f t="shared" si="33"/>
        <v>1460.6549095211215</v>
      </c>
      <c r="FV31" s="1">
        <f t="shared" si="136"/>
        <v>0.53508351935148957</v>
      </c>
      <c r="FW31" s="1">
        <f t="shared" si="255"/>
        <v>1741.3772631529077</v>
      </c>
      <c r="FX31" s="1">
        <f t="shared" si="34"/>
        <v>1529.7924948265022</v>
      </c>
      <c r="FZ31" s="1">
        <f t="shared" si="138"/>
        <v>1461.7567721018922</v>
      </c>
      <c r="GA31" s="1">
        <f t="shared" si="256"/>
        <v>1032.6500842107675</v>
      </c>
      <c r="GC31" s="1">
        <f t="shared" si="35"/>
        <v>54.757610955580667</v>
      </c>
      <c r="GD31" s="1">
        <f t="shared" si="36"/>
        <v>40.972706611437474</v>
      </c>
      <c r="GF31" s="1">
        <f t="shared" si="257"/>
        <v>25.873360000000002</v>
      </c>
      <c r="GG31" s="1">
        <f t="shared" si="258"/>
        <v>31.056639999999998</v>
      </c>
      <c r="GH31" s="1">
        <f t="shared" si="259"/>
        <v>0.61599999999999966</v>
      </c>
      <c r="GI31" s="1">
        <f t="shared" si="37"/>
        <v>912.97254364750791</v>
      </c>
      <c r="GJ31" s="1">
        <f t="shared" si="38"/>
        <v>1580.5389187429514</v>
      </c>
      <c r="GL31" s="1">
        <f t="shared" si="143"/>
        <v>1336.2452026040087</v>
      </c>
      <c r="GM31" s="1">
        <f t="shared" si="203"/>
        <v>1381.2479154243101</v>
      </c>
      <c r="GO31" s="1">
        <f t="shared" si="144"/>
        <v>1475.02349596775</v>
      </c>
      <c r="GQ31" s="1">
        <f t="shared" si="39"/>
        <v>15.900247156899313</v>
      </c>
      <c r="GR31" s="1">
        <f t="shared" si="145"/>
        <v>-9.9752843100686661E-2</v>
      </c>
      <c r="GS31" s="2">
        <f t="shared" si="40"/>
        <v>16</v>
      </c>
    </row>
    <row r="32" spans="1:201" ht="13.8" x14ac:dyDescent="0.25">
      <c r="A32" s="1" t="s">
        <v>19</v>
      </c>
      <c r="B32" s="1" t="s">
        <v>20</v>
      </c>
      <c r="C32" s="23">
        <v>1.6</v>
      </c>
      <c r="D32" s="2">
        <v>1325</v>
      </c>
      <c r="F32" s="1">
        <v>5214</v>
      </c>
      <c r="G32" s="23">
        <v>51.3</v>
      </c>
      <c r="H32" s="23">
        <v>0.53</v>
      </c>
      <c r="I32" s="23">
        <v>9.15</v>
      </c>
      <c r="J32" s="23">
        <v>7.15</v>
      </c>
      <c r="K32" s="23">
        <v>0.19</v>
      </c>
      <c r="L32" s="23">
        <v>20.6</v>
      </c>
      <c r="M32" s="23">
        <v>10.8</v>
      </c>
      <c r="N32" s="23">
        <v>0.93</v>
      </c>
      <c r="O32" s="23">
        <v>0</v>
      </c>
      <c r="P32" s="23">
        <v>0.08</v>
      </c>
      <c r="R32" s="23">
        <v>52.3</v>
      </c>
      <c r="S32" s="23">
        <v>0.38</v>
      </c>
      <c r="T32" s="23">
        <v>8.16</v>
      </c>
      <c r="U32" s="23">
        <v>9.23</v>
      </c>
      <c r="V32" s="23">
        <v>0.15</v>
      </c>
      <c r="W32" s="23">
        <v>20.6</v>
      </c>
      <c r="X32" s="23">
        <v>2.16</v>
      </c>
      <c r="Y32" s="23">
        <v>0.23</v>
      </c>
      <c r="Z32" s="23">
        <v>0</v>
      </c>
      <c r="AA32" s="23">
        <v>0.06</v>
      </c>
      <c r="AC32" s="50">
        <f t="shared" ca="1" si="41"/>
        <v>1403.3520362785569</v>
      </c>
      <c r="AD32" s="50">
        <f t="shared" ca="1" si="0"/>
        <v>20.125420113599453</v>
      </c>
      <c r="AE32" s="66">
        <f t="shared" si="42"/>
        <v>0.83702383475106468</v>
      </c>
      <c r="AF32" s="27">
        <f t="shared" ca="1" si="1"/>
        <v>1268.4355743999236</v>
      </c>
      <c r="AG32" s="27"/>
      <c r="AH32" s="27">
        <f t="shared" ca="1" si="2"/>
        <v>1403.3520362785569</v>
      </c>
      <c r="AI32" s="27">
        <f t="shared" ca="1" si="3"/>
        <v>1401.5887446884619</v>
      </c>
      <c r="AJ32" s="27">
        <f t="shared" si="4"/>
        <v>15.070688064091957</v>
      </c>
      <c r="AK32" s="27">
        <f t="shared" ca="1" si="5"/>
        <v>20.125420113599453</v>
      </c>
      <c r="AL32" s="27">
        <f t="shared" si="43"/>
        <v>1350.015002453049</v>
      </c>
      <c r="AM32" s="27">
        <f t="shared" si="44"/>
        <v>1768.790772505497</v>
      </c>
      <c r="AN32" s="27">
        <f t="shared" si="45"/>
        <v>1495.6407725054969</v>
      </c>
      <c r="AO32" s="29">
        <f t="shared" ca="1" si="6"/>
        <v>1404.5044935991218</v>
      </c>
      <c r="AP32" s="42">
        <f t="shared" si="7"/>
        <v>0.77464788732394385</v>
      </c>
      <c r="AQ32" s="44"/>
      <c r="AR32" s="1">
        <f t="shared" si="8"/>
        <v>0.14661215925521959</v>
      </c>
      <c r="AT32" s="1">
        <f t="shared" si="46"/>
        <v>0.85380041042335519</v>
      </c>
      <c r="AU32" s="1">
        <f t="shared" si="47"/>
        <v>6.6350521039374661E-3</v>
      </c>
      <c r="AV32" s="1">
        <f t="shared" si="48"/>
        <v>8.9740194780357205E-2</v>
      </c>
      <c r="AW32" s="1">
        <f t="shared" si="49"/>
        <v>9.9517860324247281E-2</v>
      </c>
      <c r="AX32" s="1">
        <f t="shared" si="50"/>
        <v>2.6784140969162997E-3</v>
      </c>
      <c r="AY32" s="1">
        <f t="shared" si="51"/>
        <v>0.51111044947946127</v>
      </c>
      <c r="AZ32" s="1">
        <f t="shared" si="52"/>
        <v>0.1925909546448302</v>
      </c>
      <c r="BA32" s="1">
        <f t="shared" si="53"/>
        <v>1.5005106576593001E-2</v>
      </c>
      <c r="BB32" s="1">
        <f t="shared" si="54"/>
        <v>0</v>
      </c>
      <c r="BC32" s="1">
        <f t="shared" si="55"/>
        <v>5.2632202223447389E-4</v>
      </c>
      <c r="BD32" s="1">
        <f t="shared" si="204"/>
        <v>1.7716047644519324</v>
      </c>
      <c r="BF32" s="15">
        <f t="shared" si="205"/>
        <v>1.7076008208467104</v>
      </c>
      <c r="BG32" s="15">
        <f t="shared" si="205"/>
        <v>1.3270104207874932E-2</v>
      </c>
      <c r="BH32" s="15">
        <f t="shared" si="206"/>
        <v>0.2692205843410716</v>
      </c>
      <c r="BI32" s="15">
        <f t="shared" si="207"/>
        <v>9.9517860324247281E-2</v>
      </c>
      <c r="BJ32" s="15">
        <f t="shared" si="207"/>
        <v>2.6784140969162997E-3</v>
      </c>
      <c r="BK32" s="15">
        <f t="shared" si="207"/>
        <v>0.51111044947946127</v>
      </c>
      <c r="BL32" s="15">
        <f t="shared" si="208"/>
        <v>0.1925909546448302</v>
      </c>
      <c r="BM32" s="15">
        <f t="shared" si="208"/>
        <v>1.5005106576593001E-2</v>
      </c>
      <c r="BN32" s="15">
        <f t="shared" si="208"/>
        <v>0</v>
      </c>
      <c r="BO32" s="15">
        <f t="shared" si="209"/>
        <v>1.5789660667034217E-3</v>
      </c>
      <c r="BP32" s="15">
        <f t="shared" si="210"/>
        <v>2.8125732605844083</v>
      </c>
      <c r="BQ32" s="15">
        <f t="shared" si="211"/>
        <v>2.1332777652708308</v>
      </c>
      <c r="BS32" s="22">
        <f t="shared" si="63"/>
        <v>1.8213934315352533</v>
      </c>
      <c r="BT32" s="22">
        <f t="shared" si="64"/>
        <v>1.4154409124743242E-2</v>
      </c>
      <c r="BU32" s="22">
        <f t="shared" si="212"/>
        <v>0.17860656846474665</v>
      </c>
      <c r="BV32" s="22">
        <f t="shared" si="213"/>
        <v>0.20427495588727235</v>
      </c>
      <c r="BW32" s="22">
        <f t="shared" si="67"/>
        <v>0.382881524352019</v>
      </c>
      <c r="BX32" s="22">
        <f t="shared" si="68"/>
        <v>0.21229923867704492</v>
      </c>
      <c r="BY32" s="22">
        <f t="shared" si="69"/>
        <v>5.7138012391394939E-3</v>
      </c>
      <c r="BZ32" s="22">
        <f t="shared" si="70"/>
        <v>1.090340557472115</v>
      </c>
      <c r="CA32" s="22">
        <f t="shared" si="71"/>
        <v>0.41085000133609928</v>
      </c>
      <c r="CB32" s="22">
        <f t="shared" si="72"/>
        <v>6.4020120450729925E-2</v>
      </c>
      <c r="CC32" s="22">
        <f t="shared" si="73"/>
        <v>0</v>
      </c>
      <c r="CD32" s="22">
        <f t="shared" si="74"/>
        <v>2.2455821348103659E-3</v>
      </c>
      <c r="CE32" s="15">
        <f t="shared" si="214"/>
        <v>4.0038986663219545</v>
      </c>
      <c r="CF32" s="15">
        <f t="shared" si="215"/>
        <v>7.7973326439073672E-3</v>
      </c>
      <c r="CG32" s="15">
        <f t="shared" si="216"/>
        <v>1.1684610366632597E-2</v>
      </c>
      <c r="CH32" s="15">
        <f t="shared" si="217"/>
        <v>6.4020120450729925E-2</v>
      </c>
      <c r="CI32" s="15">
        <f t="shared" si="218"/>
        <v>0.14025483543654244</v>
      </c>
      <c r="CJ32" s="15">
        <f t="shared" si="219"/>
        <v>1.9175866514102108E-2</v>
      </c>
      <c r="CK32" s="15">
        <f t="shared" si="220"/>
        <v>1.1227910674051829E-3</v>
      </c>
      <c r="CL32" s="15">
        <f t="shared" si="221"/>
        <v>0.25029650831804956</v>
      </c>
      <c r="CM32" s="15">
        <f t="shared" si="222"/>
        <v>0.52617164391555526</v>
      </c>
      <c r="CN32" s="15">
        <f t="shared" si="223"/>
        <v>0.43849482639717796</v>
      </c>
      <c r="CO32" s="15">
        <f t="shared" si="224"/>
        <v>0.20858920322273616</v>
      </c>
      <c r="CP32" s="15">
        <f t="shared" si="225"/>
        <v>1.0010417657023845</v>
      </c>
      <c r="CQ32" s="15">
        <f t="shared" si="226"/>
        <v>0.2502965083180495</v>
      </c>
      <c r="CR32" s="15"/>
      <c r="CS32" s="1">
        <f t="shared" si="227"/>
        <v>0.84206425739272339</v>
      </c>
      <c r="CT32" s="15">
        <f t="shared" si="228"/>
        <v>0.20450190603313756</v>
      </c>
      <c r="CU32" s="59">
        <f t="shared" si="90"/>
        <v>0.30351867211139938</v>
      </c>
      <c r="CV32" s="22">
        <f t="shared" si="91"/>
        <v>0.36422706012965067</v>
      </c>
      <c r="CW32" s="22">
        <f t="shared" si="229"/>
        <v>0.39344332984498598</v>
      </c>
      <c r="CX32" s="22">
        <f t="shared" si="11"/>
        <v>0.64967591677591707</v>
      </c>
      <c r="CY32" s="22">
        <f t="shared" si="12"/>
        <v>0.12185180343334967</v>
      </c>
      <c r="CZ32" s="22">
        <f t="shared" si="13"/>
        <v>0.43738171313497937</v>
      </c>
      <c r="DA32" s="22">
        <f t="shared" si="14"/>
        <v>8.2034363839051994E-2</v>
      </c>
      <c r="DB32" s="22">
        <f t="shared" si="15"/>
        <v>0.28415636546198891</v>
      </c>
      <c r="DC32" s="22">
        <f t="shared" si="16"/>
        <v>0.40719956392241885</v>
      </c>
      <c r="DD32" s="1">
        <f t="shared" si="17"/>
        <v>0.87044369327761162</v>
      </c>
      <c r="DE32" s="1">
        <f t="shared" si="18"/>
        <v>4.757207168860824E-3</v>
      </c>
      <c r="DF32" s="1">
        <f t="shared" si="19"/>
        <v>8.003059993526937E-2</v>
      </c>
      <c r="DG32" s="1">
        <f t="shared" si="20"/>
        <v>0.12846851060039194</v>
      </c>
      <c r="DH32" s="1">
        <f t="shared" si="21"/>
        <v>2.1145374449339205E-3</v>
      </c>
      <c r="DI32" s="1">
        <f t="shared" si="22"/>
        <v>0.51111044947946127</v>
      </c>
      <c r="DJ32" s="1">
        <f t="shared" si="23"/>
        <v>3.8518190928966044E-2</v>
      </c>
      <c r="DK32" s="1">
        <f t="shared" si="24"/>
        <v>3.7109403361466563E-3</v>
      </c>
      <c r="DL32" s="1">
        <f t="shared" si="25"/>
        <v>0</v>
      </c>
      <c r="DM32" s="1">
        <f t="shared" si="26"/>
        <v>3.9474151667585536E-4</v>
      </c>
      <c r="DN32" s="1">
        <f t="shared" si="230"/>
        <v>1.6395488706883175</v>
      </c>
      <c r="DP32" s="15">
        <f t="shared" si="231"/>
        <v>1.7408873865552232</v>
      </c>
      <c r="DQ32" s="15">
        <f t="shared" si="231"/>
        <v>9.5144143377216481E-3</v>
      </c>
      <c r="DR32" s="15">
        <f t="shared" si="232"/>
        <v>0.24009179980580811</v>
      </c>
      <c r="DS32" s="15">
        <f t="shared" si="233"/>
        <v>0.12846851060039194</v>
      </c>
      <c r="DT32" s="15">
        <f t="shared" si="233"/>
        <v>2.1145374449339205E-3</v>
      </c>
      <c r="DU32" s="15">
        <f t="shared" si="233"/>
        <v>0.51111044947946127</v>
      </c>
      <c r="DV32" s="15">
        <f t="shared" si="234"/>
        <v>3.8518190928966044E-2</v>
      </c>
      <c r="DW32" s="15">
        <f t="shared" si="234"/>
        <v>3.7109403361466563E-3</v>
      </c>
      <c r="DX32" s="15">
        <f t="shared" si="234"/>
        <v>0</v>
      </c>
      <c r="DY32" s="15">
        <f t="shared" si="235"/>
        <v>1.184224550027566E-3</v>
      </c>
      <c r="DZ32" s="15">
        <f t="shared" si="236"/>
        <v>2.6756004540386806</v>
      </c>
      <c r="EA32" s="15">
        <f t="shared" si="237"/>
        <v>2.2424872857766598</v>
      </c>
      <c r="EC32" s="22">
        <f t="shared" si="100"/>
        <v>1.9519589151595227</v>
      </c>
      <c r="ED32" s="22">
        <f t="shared" si="101"/>
        <v>1.0667976591975978E-2</v>
      </c>
      <c r="EE32" s="22">
        <f t="shared" si="238"/>
        <v>4.8041084840477311E-2</v>
      </c>
      <c r="EF32" s="22">
        <f t="shared" si="239"/>
        <v>0.31089412081536255</v>
      </c>
      <c r="EG32" s="22">
        <f t="shared" si="104"/>
        <v>0.35893520565583986</v>
      </c>
      <c r="EH32" s="22">
        <f t="shared" si="105"/>
        <v>0.28808900164404294</v>
      </c>
      <c r="EI32" s="22">
        <f t="shared" si="106"/>
        <v>4.7418233355629811E-3</v>
      </c>
      <c r="EJ32" s="22">
        <f t="shared" si="107"/>
        <v>1.1461586845852858</v>
      </c>
      <c r="EK32" s="22">
        <f t="shared" si="108"/>
        <v>8.6376553429324224E-2</v>
      </c>
      <c r="EL32" s="22">
        <f t="shared" si="109"/>
        <v>1.6643473044169282E-2</v>
      </c>
      <c r="EM32" s="22">
        <f t="shared" si="110"/>
        <v>0</v>
      </c>
      <c r="EN32" s="22">
        <f t="shared" si="111"/>
        <v>1.7704056646276019E-3</v>
      </c>
      <c r="EO32" s="15">
        <f t="shared" si="240"/>
        <v>3.8653420391103515</v>
      </c>
      <c r="EP32" s="15">
        <f t="shared" si="241"/>
        <v>0</v>
      </c>
      <c r="EQ32" s="15">
        <f t="shared" si="242"/>
        <v>-0.4180472295403117</v>
      </c>
      <c r="ER32" s="15">
        <f t="shared" si="243"/>
        <v>1.6643473044169282E-2</v>
      </c>
      <c r="ES32" s="15">
        <f t="shared" si="244"/>
        <v>1.0667976591975978E-2</v>
      </c>
      <c r="ET32" s="15">
        <f t="shared" si="245"/>
        <v>1.7704056646276019E-3</v>
      </c>
      <c r="EU32" s="15">
        <f t="shared" si="246"/>
        <v>0.29248024210656565</v>
      </c>
      <c r="EV32" s="15">
        <f t="shared" si="247"/>
        <v>8.6376553429324224E-2</v>
      </c>
      <c r="EW32" s="15">
        <f t="shared" si="248"/>
        <v>0.52473236871851303</v>
      </c>
      <c r="EX32" s="15">
        <f t="shared" si="249"/>
        <v>0.41795062263628724</v>
      </c>
      <c r="EY32" s="15">
        <f t="shared" si="250"/>
        <v>6.8799137310945363E-2</v>
      </c>
      <c r="EZ32" s="59">
        <f t="shared" si="123"/>
        <v>0.38265894777263676</v>
      </c>
      <c r="FA32" s="15">
        <f t="shared" si="124"/>
        <v>8.6376553429324224E-2</v>
      </c>
      <c r="FB32" s="15">
        <f t="shared" si="251"/>
        <v>0.20086419131791369</v>
      </c>
      <c r="FC32" s="15">
        <f t="shared" si="252"/>
        <v>0.47181938089671199</v>
      </c>
      <c r="FD32" s="22">
        <f t="shared" si="127"/>
        <v>0.79913580868208633</v>
      </c>
      <c r="FE32" s="22">
        <f t="shared" si="128"/>
        <v>0.54074922736646747</v>
      </c>
      <c r="FF32" s="22">
        <f t="shared" si="129"/>
        <v>0.13591826956156636</v>
      </c>
      <c r="FG32" s="22">
        <f t="shared" si="130"/>
        <v>0.71301945568984848</v>
      </c>
      <c r="FH32" s="22">
        <f t="shared" si="131"/>
        <v>0.17921869450109507</v>
      </c>
      <c r="FI32" s="58">
        <f t="shared" si="132"/>
        <v>0.38556471976154477</v>
      </c>
      <c r="FJ32" s="15">
        <f t="shared" si="253"/>
        <v>0.93267101955517573</v>
      </c>
      <c r="FL32" s="1">
        <f t="shared" si="28"/>
        <v>1325</v>
      </c>
      <c r="FM32" s="1">
        <f t="shared" si="134"/>
        <v>16</v>
      </c>
      <c r="FO32" s="1">
        <f t="shared" si="29"/>
        <v>0.63544030040609345</v>
      </c>
      <c r="FP32" s="1">
        <f t="shared" si="254"/>
        <v>1533.0375788492115</v>
      </c>
      <c r="FR32" s="1">
        <f t="shared" si="30"/>
        <v>2467.9064740488379</v>
      </c>
      <c r="FS32" s="1">
        <f t="shared" si="31"/>
        <v>2588.8608663401824</v>
      </c>
      <c r="FT32" s="1">
        <f t="shared" si="32"/>
        <v>1025.7367985228555</v>
      </c>
      <c r="FU32" s="1">
        <f t="shared" si="33"/>
        <v>937.33366678911182</v>
      </c>
      <c r="FV32" s="1">
        <f t="shared" si="136"/>
        <v>0.73698746513355118</v>
      </c>
      <c r="FW32" s="1">
        <f t="shared" si="255"/>
        <v>2046.7232136443781</v>
      </c>
      <c r="FX32" s="1">
        <f t="shared" si="34"/>
        <v>1529.0730001016295</v>
      </c>
      <c r="FZ32" s="1">
        <f t="shared" si="138"/>
        <v>1350.015002453049</v>
      </c>
      <c r="GA32" s="1">
        <f t="shared" si="256"/>
        <v>2183.3424618253521</v>
      </c>
      <c r="GC32" s="1">
        <f t="shared" si="35"/>
        <v>60.907214722719154</v>
      </c>
      <c r="GD32" s="1">
        <f t="shared" si="36"/>
        <v>44.95047427262287</v>
      </c>
      <c r="GF32" s="1">
        <f t="shared" si="257"/>
        <v>25.873360000000002</v>
      </c>
      <c r="GG32" s="1">
        <f t="shared" si="258"/>
        <v>31.056639999999998</v>
      </c>
      <c r="GH32" s="1">
        <f t="shared" si="259"/>
        <v>0.61599999999999966</v>
      </c>
      <c r="GI32" s="1">
        <f t="shared" si="37"/>
        <v>1442.8837651971035</v>
      </c>
      <c r="GJ32" s="1">
        <f t="shared" si="38"/>
        <v>1605.0096193595728</v>
      </c>
      <c r="GL32" s="1">
        <f t="shared" si="143"/>
        <v>1322.2222648613993</v>
      </c>
      <c r="GM32" s="1">
        <f t="shared" si="203"/>
        <v>1391.6281517166167</v>
      </c>
      <c r="GO32" s="1">
        <f t="shared" si="144"/>
        <v>1495.6407725054969</v>
      </c>
      <c r="GQ32" s="1">
        <f t="shared" si="39"/>
        <v>15.070688064091957</v>
      </c>
      <c r="GR32" s="1">
        <f t="shared" si="145"/>
        <v>-0.92931193590804284</v>
      </c>
      <c r="GS32" s="2">
        <f t="shared" si="40"/>
        <v>16</v>
      </c>
    </row>
    <row r="33" spans="1:201" ht="13.8" x14ac:dyDescent="0.25">
      <c r="A33" s="1" t="s">
        <v>19</v>
      </c>
      <c r="B33" s="1" t="s">
        <v>21</v>
      </c>
      <c r="C33" s="23">
        <v>1.6</v>
      </c>
      <c r="D33" s="2">
        <v>1340</v>
      </c>
      <c r="F33" s="1">
        <v>5213</v>
      </c>
      <c r="G33" s="23">
        <v>51.5</v>
      </c>
      <c r="H33" s="23">
        <v>0.49</v>
      </c>
      <c r="I33" s="23">
        <v>8.9700000000000006</v>
      </c>
      <c r="J33" s="23">
        <v>6.53</v>
      </c>
      <c r="K33" s="23">
        <v>0.18</v>
      </c>
      <c r="L33" s="23">
        <v>20.9</v>
      </c>
      <c r="M33" s="23">
        <v>11.1</v>
      </c>
      <c r="N33" s="23">
        <v>0.74</v>
      </c>
      <c r="O33" s="23">
        <v>0</v>
      </c>
      <c r="P33" s="23">
        <v>0.08</v>
      </c>
      <c r="R33" s="23">
        <v>52.6</v>
      </c>
      <c r="S33" s="23">
        <v>0.28000000000000003</v>
      </c>
      <c r="T33" s="23">
        <v>8.6</v>
      </c>
      <c r="U33" s="23">
        <v>7.91</v>
      </c>
      <c r="V33" s="23">
        <v>0.12</v>
      </c>
      <c r="W33" s="23">
        <v>29.5</v>
      </c>
      <c r="X33" s="23">
        <v>2.11</v>
      </c>
      <c r="Y33" s="23">
        <v>0.15</v>
      </c>
      <c r="Z33" s="23">
        <v>0</v>
      </c>
      <c r="AA33" s="23">
        <v>0</v>
      </c>
      <c r="AC33" s="50">
        <f t="shared" ca="1" si="41"/>
        <v>1317.3894592329937</v>
      </c>
      <c r="AD33" s="50">
        <f t="shared" ca="1" si="0"/>
        <v>17.409916180892257</v>
      </c>
      <c r="AE33" s="66">
        <f t="shared" si="42"/>
        <v>0.85086633686508961</v>
      </c>
      <c r="AF33" s="27">
        <f t="shared" ca="1" si="1"/>
        <v>1338.9142922458832</v>
      </c>
      <c r="AG33" s="27"/>
      <c r="AH33" s="27">
        <f t="shared" ca="1" si="2"/>
        <v>1317.3894592329937</v>
      </c>
      <c r="AI33" s="27">
        <f t="shared" ca="1" si="3"/>
        <v>1327.4783827544018</v>
      </c>
      <c r="AJ33" s="27">
        <f t="shared" si="4"/>
        <v>16.924905186481531</v>
      </c>
      <c r="AK33" s="27">
        <f t="shared" ca="1" si="5"/>
        <v>17.409916180892257</v>
      </c>
      <c r="AL33" s="27">
        <f t="shared" si="43"/>
        <v>1390.4910194769791</v>
      </c>
      <c r="AM33" s="27">
        <f t="shared" si="44"/>
        <v>1704.0594091261496</v>
      </c>
      <c r="AN33" s="27">
        <f t="shared" si="45"/>
        <v>1430.9094091261495</v>
      </c>
      <c r="AO33" s="29">
        <f t="shared" ca="1" si="6"/>
        <v>1377.0131043393744</v>
      </c>
      <c r="AP33" s="42">
        <f t="shared" si="7"/>
        <v>1.1652320664896354</v>
      </c>
      <c r="AQ33" s="44"/>
      <c r="AR33" s="1">
        <f t="shared" si="8"/>
        <v>0.13494763301622698</v>
      </c>
      <c r="AT33" s="1">
        <f t="shared" si="46"/>
        <v>0.85712906699420643</v>
      </c>
      <c r="AU33" s="1">
        <f t="shared" si="47"/>
        <v>6.1342934545836943E-3</v>
      </c>
      <c r="AV33" s="1">
        <f t="shared" si="48"/>
        <v>8.7974813899432139E-2</v>
      </c>
      <c r="AW33" s="1">
        <f t="shared" si="49"/>
        <v>9.0888339568858015E-2</v>
      </c>
      <c r="AX33" s="1">
        <f t="shared" si="50"/>
        <v>2.5374449339207049E-3</v>
      </c>
      <c r="AY33" s="1">
        <f t="shared" si="51"/>
        <v>0.51855380553984176</v>
      </c>
      <c r="AZ33" s="1">
        <f t="shared" si="52"/>
        <v>0.19794070338496436</v>
      </c>
      <c r="BA33" s="1">
        <f t="shared" si="53"/>
        <v>1.1939547168471849E-2</v>
      </c>
      <c r="BB33" s="1">
        <f t="shared" si="54"/>
        <v>0</v>
      </c>
      <c r="BC33" s="1">
        <f t="shared" si="55"/>
        <v>5.2632202223447389E-4</v>
      </c>
      <c r="BD33" s="1">
        <f t="shared" si="204"/>
        <v>1.7736243369665132</v>
      </c>
      <c r="BF33" s="15">
        <f t="shared" si="205"/>
        <v>1.7142581339884129</v>
      </c>
      <c r="BG33" s="15">
        <f t="shared" si="205"/>
        <v>1.2268586909167389E-2</v>
      </c>
      <c r="BH33" s="15">
        <f t="shared" si="206"/>
        <v>0.26392444169829643</v>
      </c>
      <c r="BI33" s="15">
        <f t="shared" si="207"/>
        <v>9.0888339568858015E-2</v>
      </c>
      <c r="BJ33" s="15">
        <f t="shared" si="207"/>
        <v>2.5374449339207049E-3</v>
      </c>
      <c r="BK33" s="15">
        <f t="shared" si="207"/>
        <v>0.51855380553984176</v>
      </c>
      <c r="BL33" s="15">
        <f t="shared" si="208"/>
        <v>0.19794070338496436</v>
      </c>
      <c r="BM33" s="15">
        <f t="shared" si="208"/>
        <v>1.1939547168471849E-2</v>
      </c>
      <c r="BN33" s="15">
        <f t="shared" si="208"/>
        <v>0</v>
      </c>
      <c r="BO33" s="15">
        <f t="shared" si="209"/>
        <v>1.5789660667034217E-3</v>
      </c>
      <c r="BP33" s="15">
        <f t="shared" si="210"/>
        <v>2.813889969258637</v>
      </c>
      <c r="BQ33" s="15">
        <f t="shared" si="211"/>
        <v>2.1322795367086771</v>
      </c>
      <c r="BS33" s="22">
        <f t="shared" si="63"/>
        <v>1.8276387698699472</v>
      </c>
      <c r="BT33" s="22">
        <f t="shared" si="64"/>
        <v>1.308002840537479E-2</v>
      </c>
      <c r="BU33" s="22">
        <f t="shared" si="212"/>
        <v>0.17236123013005278</v>
      </c>
      <c r="BV33" s="22">
        <f t="shared" si="213"/>
        <v>0.20281256071697373</v>
      </c>
      <c r="BW33" s="22">
        <f t="shared" si="67"/>
        <v>0.37517379084702651</v>
      </c>
      <c r="BX33" s="22">
        <f t="shared" si="68"/>
        <v>0.19379934658810549</v>
      </c>
      <c r="BY33" s="22">
        <f t="shared" si="69"/>
        <v>5.4105419081242204E-3</v>
      </c>
      <c r="BZ33" s="22">
        <f t="shared" si="70"/>
        <v>1.1057016682350151</v>
      </c>
      <c r="CA33" s="22">
        <f t="shared" si="71"/>
        <v>0.42206491130948148</v>
      </c>
      <c r="CB33" s="22">
        <f t="shared" si="72"/>
        <v>5.0916904209801106E-2</v>
      </c>
      <c r="CC33" s="22">
        <f t="shared" si="73"/>
        <v>0</v>
      </c>
      <c r="CD33" s="22">
        <f t="shared" si="74"/>
        <v>2.244531355459396E-3</v>
      </c>
      <c r="CE33" s="15">
        <f t="shared" si="214"/>
        <v>3.9960304927283352</v>
      </c>
      <c r="CF33" s="15">
        <f t="shared" si="215"/>
        <v>0</v>
      </c>
      <c r="CG33" s="15">
        <f t="shared" si="216"/>
        <v>-1.1920351295280796E-2</v>
      </c>
      <c r="CH33" s="15">
        <f t="shared" si="217"/>
        <v>5.0916904209801106E-2</v>
      </c>
      <c r="CI33" s="15">
        <f t="shared" si="218"/>
        <v>0.15189565650717263</v>
      </c>
      <c r="CJ33" s="15">
        <f t="shared" si="219"/>
        <v>1.0232786811440076E-2</v>
      </c>
      <c r="CK33" s="15">
        <f t="shared" si="220"/>
        <v>1.122265677729698E-3</v>
      </c>
      <c r="CL33" s="15">
        <f t="shared" si="221"/>
        <v>0.25881420231313906</v>
      </c>
      <c r="CM33" s="15">
        <f t="shared" si="222"/>
        <v>0.52034340625499087</v>
      </c>
      <c r="CN33" s="15">
        <f t="shared" si="223"/>
        <v>0.44090694835476096</v>
      </c>
      <c r="CO33" s="15">
        <f t="shared" si="224"/>
        <v>0.21930321161182839</v>
      </c>
      <c r="CP33" s="15">
        <f t="shared" si="225"/>
        <v>0.9933252217742734</v>
      </c>
      <c r="CQ33" s="15">
        <f t="shared" si="226"/>
        <v>0.25881420231313906</v>
      </c>
      <c r="CR33" s="15"/>
      <c r="CS33" s="1">
        <f t="shared" si="227"/>
        <v>0.8508663368650895</v>
      </c>
      <c r="CT33" s="15">
        <f t="shared" si="228"/>
        <v>0.19379934658810549</v>
      </c>
      <c r="CU33" s="59">
        <f t="shared" si="90"/>
        <v>0.31216796986288747</v>
      </c>
      <c r="CV33" s="22">
        <f t="shared" si="91"/>
        <v>0.37412363669891019</v>
      </c>
      <c r="CW33" s="22">
        <f t="shared" si="229"/>
        <v>0.40689624046158696</v>
      </c>
      <c r="CX33" s="22">
        <f t="shared" si="11"/>
        <v>0.66526080422983835</v>
      </c>
      <c r="CY33" s="22">
        <f t="shared" si="12"/>
        <v>0.1166020752923537</v>
      </c>
      <c r="CZ33" s="22">
        <f t="shared" si="13"/>
        <v>0.44381838411657737</v>
      </c>
      <c r="DA33" s="22">
        <f t="shared" si="14"/>
        <v>7.7789258456015933E-2</v>
      </c>
      <c r="DB33" s="22">
        <f t="shared" si="15"/>
        <v>0.29525497514938159</v>
      </c>
      <c r="DC33" s="22">
        <f t="shared" si="16"/>
        <v>0.41414795779424718</v>
      </c>
      <c r="DD33" s="1">
        <f t="shared" si="17"/>
        <v>0.87543667813388859</v>
      </c>
      <c r="DE33" s="1">
        <f t="shared" si="18"/>
        <v>3.5053105454763973E-3</v>
      </c>
      <c r="DF33" s="1">
        <f t="shared" si="19"/>
        <v>8.434597542197507E-2</v>
      </c>
      <c r="DG33" s="1">
        <f t="shared" si="20"/>
        <v>0.11009598254053091</v>
      </c>
      <c r="DH33" s="1">
        <f t="shared" si="21"/>
        <v>1.6916299559471366E-3</v>
      </c>
      <c r="DI33" s="1">
        <f t="shared" si="22"/>
        <v>0.73193001260408286</v>
      </c>
      <c r="DJ33" s="1">
        <f t="shared" si="23"/>
        <v>3.7626566138943676E-2</v>
      </c>
      <c r="DK33" s="1">
        <f t="shared" si="24"/>
        <v>2.4201784800956454E-3</v>
      </c>
      <c r="DL33" s="1">
        <f t="shared" si="25"/>
        <v>0</v>
      </c>
      <c r="DM33" s="1">
        <f t="shared" si="26"/>
        <v>0</v>
      </c>
      <c r="DN33" s="1">
        <f t="shared" si="230"/>
        <v>1.8470523338209404</v>
      </c>
      <c r="DP33" s="15">
        <f t="shared" si="231"/>
        <v>1.7508733562677772</v>
      </c>
      <c r="DQ33" s="15">
        <f t="shared" si="231"/>
        <v>7.0106210909527946E-3</v>
      </c>
      <c r="DR33" s="15">
        <f t="shared" si="232"/>
        <v>0.25303792626592519</v>
      </c>
      <c r="DS33" s="15">
        <f t="shared" si="233"/>
        <v>0.11009598254053091</v>
      </c>
      <c r="DT33" s="15">
        <f t="shared" si="233"/>
        <v>1.6916299559471366E-3</v>
      </c>
      <c r="DU33" s="15">
        <f t="shared" si="233"/>
        <v>0.73193001260408286</v>
      </c>
      <c r="DV33" s="15">
        <f t="shared" si="234"/>
        <v>3.7626566138943676E-2</v>
      </c>
      <c r="DW33" s="15">
        <f t="shared" si="234"/>
        <v>2.4201784800956454E-3</v>
      </c>
      <c r="DX33" s="15">
        <f t="shared" si="234"/>
        <v>0</v>
      </c>
      <c r="DY33" s="15">
        <f t="shared" si="235"/>
        <v>0</v>
      </c>
      <c r="DZ33" s="15">
        <f t="shared" si="236"/>
        <v>2.8946862733442553</v>
      </c>
      <c r="EA33" s="15">
        <f t="shared" si="237"/>
        <v>2.072763482264401</v>
      </c>
      <c r="EC33" s="22">
        <f t="shared" si="100"/>
        <v>1.8145731774707785</v>
      </c>
      <c r="ED33" s="22">
        <f t="shared" si="101"/>
        <v>7.2656796926597843E-3</v>
      </c>
      <c r="EE33" s="22">
        <f t="shared" si="238"/>
        <v>0.18542682252922149</v>
      </c>
      <c r="EF33" s="22">
        <f t="shared" si="239"/>
        <v>0.16423169293205975</v>
      </c>
      <c r="EG33" s="22">
        <f t="shared" si="104"/>
        <v>0.34965851546128124</v>
      </c>
      <c r="EH33" s="22">
        <f t="shared" si="105"/>
        <v>0.22820293215403153</v>
      </c>
      <c r="EI33" s="22">
        <f t="shared" si="106"/>
        <v>3.5063487981917621E-3</v>
      </c>
      <c r="EJ33" s="22">
        <f t="shared" si="107"/>
        <v>1.5171178016990656</v>
      </c>
      <c r="EK33" s="22">
        <f t="shared" si="108"/>
        <v>7.7990972255808685E-2</v>
      </c>
      <c r="EL33" s="22">
        <f t="shared" si="109"/>
        <v>1.0032915148208831E-2</v>
      </c>
      <c r="EM33" s="22">
        <f t="shared" si="110"/>
        <v>0</v>
      </c>
      <c r="EN33" s="22">
        <f t="shared" si="111"/>
        <v>0</v>
      </c>
      <c r="EO33" s="15">
        <f t="shared" si="240"/>
        <v>4.0083483426800255</v>
      </c>
      <c r="EP33" s="15">
        <f t="shared" si="241"/>
        <v>1.6696685360051013E-2</v>
      </c>
      <c r="EQ33" s="15">
        <f t="shared" si="242"/>
        <v>2.4992865788037832E-2</v>
      </c>
      <c r="ER33" s="15">
        <f t="shared" si="243"/>
        <v>1.0032915148208831E-2</v>
      </c>
      <c r="ES33" s="15">
        <f t="shared" si="244"/>
        <v>7.2656796926597843E-3</v>
      </c>
      <c r="ET33" s="15">
        <f t="shared" si="245"/>
        <v>0</v>
      </c>
      <c r="EU33" s="15">
        <f t="shared" si="246"/>
        <v>0.15419877778385091</v>
      </c>
      <c r="EV33" s="15">
        <f t="shared" si="247"/>
        <v>7.7990972255808685E-2</v>
      </c>
      <c r="EW33" s="15">
        <f t="shared" si="248"/>
        <v>0.75468582645948468</v>
      </c>
      <c r="EX33" s="15">
        <f t="shared" si="249"/>
        <v>0.65469440253399547</v>
      </c>
      <c r="EY33" s="15">
        <f t="shared" si="250"/>
        <v>6.7657628106791087E-2</v>
      </c>
      <c r="EZ33" s="59">
        <f t="shared" si="123"/>
        <v>0.57196278896500996</v>
      </c>
      <c r="FA33" s="15">
        <f t="shared" si="124"/>
        <v>7.7990972255808699E-2</v>
      </c>
      <c r="FB33" s="15">
        <f t="shared" si="251"/>
        <v>0.12235526109819209</v>
      </c>
      <c r="FC33" s="15">
        <f t="shared" si="252"/>
        <v>0.60151587390040351</v>
      </c>
      <c r="FD33" s="22">
        <f t="shared" si="127"/>
        <v>0.87764473890180794</v>
      </c>
      <c r="FE33" s="22">
        <f t="shared" si="128"/>
        <v>0.7124772140188923</v>
      </c>
      <c r="FF33" s="22">
        <f t="shared" si="129"/>
        <v>9.9328727996337171E-2</v>
      </c>
      <c r="FG33" s="22">
        <f t="shared" si="130"/>
        <v>0.79731370864849915</v>
      </c>
      <c r="FH33" s="22">
        <f t="shared" si="131"/>
        <v>0.11115605514929155</v>
      </c>
      <c r="FI33" s="58">
        <f t="shared" si="132"/>
        <v>0.56806784983695346</v>
      </c>
      <c r="FJ33" s="15">
        <f t="shared" si="253"/>
        <v>1.004174171340013</v>
      </c>
      <c r="FL33" s="1">
        <f t="shared" si="28"/>
        <v>1340</v>
      </c>
      <c r="FM33" s="1">
        <f t="shared" si="134"/>
        <v>16</v>
      </c>
      <c r="FO33" s="1">
        <f t="shared" si="29"/>
        <v>0.6171304686775827</v>
      </c>
      <c r="FP33" s="1">
        <f t="shared" si="254"/>
        <v>1524.61902544334</v>
      </c>
      <c r="FR33" s="1">
        <f t="shared" si="30"/>
        <v>1359.2226521692892</v>
      </c>
      <c r="FS33" s="1">
        <f t="shared" si="31"/>
        <v>1256.0930691593373</v>
      </c>
      <c r="FT33" s="1">
        <f t="shared" si="32"/>
        <v>1483.3681306189692</v>
      </c>
      <c r="FU33" s="1">
        <f t="shared" si="33"/>
        <v>1358.45297100486</v>
      </c>
      <c r="FV33" s="1">
        <f t="shared" si="136"/>
        <v>0.51975301054992906</v>
      </c>
      <c r="FW33" s="1">
        <f t="shared" si="255"/>
        <v>1717.5857172901656</v>
      </c>
      <c r="FX33" s="1">
        <f t="shared" si="34"/>
        <v>1471.5285016449338</v>
      </c>
      <c r="FZ33" s="1">
        <f t="shared" si="138"/>
        <v>1390.4910194769791</v>
      </c>
      <c r="GA33" s="1">
        <f t="shared" si="256"/>
        <v>1247.4173169913302</v>
      </c>
      <c r="GC33" s="1">
        <f t="shared" si="35"/>
        <v>67.842921511335462</v>
      </c>
      <c r="GD33" s="1">
        <f t="shared" si="36"/>
        <v>49.349376277417072</v>
      </c>
      <c r="GF33" s="1">
        <f t="shared" si="257"/>
        <v>25.873360000000002</v>
      </c>
      <c r="GG33" s="1">
        <f t="shared" si="258"/>
        <v>31.056639999999998</v>
      </c>
      <c r="GH33" s="1">
        <f t="shared" si="259"/>
        <v>0.61599999999999966</v>
      </c>
      <c r="GI33" s="1">
        <f t="shared" si="37"/>
        <v>860.30315097248047</v>
      </c>
      <c r="GJ33" s="1">
        <f t="shared" si="38"/>
        <v>1544.0620405291111</v>
      </c>
      <c r="GL33" s="1">
        <f t="shared" si="143"/>
        <v>1285.1447759846155</v>
      </c>
      <c r="GM33" s="1">
        <f t="shared" si="203"/>
        <v>1330.527425826835</v>
      </c>
      <c r="GO33" s="1">
        <f t="shared" si="144"/>
        <v>1430.9094091261495</v>
      </c>
      <c r="GQ33" s="1">
        <f t="shared" si="39"/>
        <v>16.924905186481531</v>
      </c>
      <c r="GR33" s="1">
        <f t="shared" si="145"/>
        <v>0.92490518648153142</v>
      </c>
      <c r="GS33" s="2">
        <f t="shared" si="40"/>
        <v>16</v>
      </c>
    </row>
    <row r="34" spans="1:201" ht="13.8" x14ac:dyDescent="0.25">
      <c r="A34" s="1" t="s">
        <v>22</v>
      </c>
      <c r="B34" s="1" t="s">
        <v>24</v>
      </c>
      <c r="C34" s="23">
        <v>1.5</v>
      </c>
      <c r="D34" s="2">
        <v>1300</v>
      </c>
      <c r="F34" s="1">
        <v>339</v>
      </c>
      <c r="G34" s="23">
        <v>50.93</v>
      </c>
      <c r="H34" s="23">
        <v>0.81</v>
      </c>
      <c r="I34" s="23">
        <v>9.02</v>
      </c>
      <c r="J34" s="23">
        <v>5.82</v>
      </c>
      <c r="K34" s="23">
        <v>0</v>
      </c>
      <c r="L34" s="23">
        <v>18.510000000000002</v>
      </c>
      <c r="M34" s="23">
        <v>13.34</v>
      </c>
      <c r="N34" s="23">
        <v>1.23</v>
      </c>
      <c r="O34" s="23">
        <v>0</v>
      </c>
      <c r="P34" s="23">
        <v>0.34</v>
      </c>
      <c r="R34" s="23">
        <v>52.95</v>
      </c>
      <c r="S34" s="23">
        <v>0.52</v>
      </c>
      <c r="T34" s="23">
        <v>7.43</v>
      </c>
      <c r="U34" s="23">
        <v>8.01</v>
      </c>
      <c r="V34" s="23">
        <v>0</v>
      </c>
      <c r="W34" s="23">
        <v>28.72</v>
      </c>
      <c r="X34" s="23">
        <v>1.93</v>
      </c>
      <c r="Y34" s="23">
        <v>0.27</v>
      </c>
      <c r="Z34" s="23">
        <v>0</v>
      </c>
      <c r="AA34" s="23">
        <v>0.16</v>
      </c>
      <c r="AC34" s="50">
        <f t="shared" ca="1" si="41"/>
        <v>1345.7326571365024</v>
      </c>
      <c r="AD34" s="50">
        <f t="shared" ca="1" si="0"/>
        <v>17.612514957448653</v>
      </c>
      <c r="AE34" s="66">
        <f t="shared" si="42"/>
        <v>0.85006114793916976</v>
      </c>
      <c r="AF34" s="27">
        <f t="shared" ca="1" si="1"/>
        <v>1303.0294529686535</v>
      </c>
      <c r="AG34" s="27"/>
      <c r="AH34" s="27">
        <f t="shared" ca="1" si="2"/>
        <v>1345.7326571365024</v>
      </c>
      <c r="AI34" s="27">
        <f t="shared" ca="1" si="3"/>
        <v>1359.5435830072429</v>
      </c>
      <c r="AJ34" s="27">
        <f t="shared" si="4"/>
        <v>14.793822124416605</v>
      </c>
      <c r="AK34" s="27">
        <f t="shared" ca="1" si="5"/>
        <v>17.612514957448653</v>
      </c>
      <c r="AL34" s="27">
        <f t="shared" si="43"/>
        <v>1297.0910089382396</v>
      </c>
      <c r="AM34" s="27">
        <f t="shared" si="44"/>
        <v>1589.5639414486677</v>
      </c>
      <c r="AN34" s="27">
        <f t="shared" si="45"/>
        <v>1316.4139414486676</v>
      </c>
      <c r="AO34" s="29">
        <f t="shared" ca="1" si="6"/>
        <v>1324.5501912145983</v>
      </c>
      <c r="AP34" s="42">
        <f t="shared" si="7"/>
        <v>1.127375221815518</v>
      </c>
      <c r="AQ34" s="44"/>
      <c r="AR34" s="1">
        <f t="shared" si="8"/>
        <v>0.14806357639284931</v>
      </c>
      <c r="AT34" s="1">
        <f t="shared" si="46"/>
        <v>0.84764239576728029</v>
      </c>
      <c r="AU34" s="1">
        <f t="shared" si="47"/>
        <v>1.0140362649413863E-2</v>
      </c>
      <c r="AV34" s="1">
        <f t="shared" si="48"/>
        <v>8.8465197477466867E-2</v>
      </c>
      <c r="AW34" s="1">
        <f t="shared" si="49"/>
        <v>8.1006146445750937E-2</v>
      </c>
      <c r="AX34" s="1">
        <f t="shared" si="50"/>
        <v>0</v>
      </c>
      <c r="AY34" s="1">
        <f t="shared" si="51"/>
        <v>0.45925506892547713</v>
      </c>
      <c r="AZ34" s="1">
        <f t="shared" si="52"/>
        <v>0.23788549397796618</v>
      </c>
      <c r="BA34" s="1">
        <f t="shared" si="53"/>
        <v>1.9845463536784291E-2</v>
      </c>
      <c r="BB34" s="1">
        <f t="shared" si="54"/>
        <v>0</v>
      </c>
      <c r="BC34" s="1">
        <f t="shared" si="55"/>
        <v>2.236868594496514E-3</v>
      </c>
      <c r="BD34" s="1">
        <f t="shared" si="204"/>
        <v>1.7464769973746359</v>
      </c>
      <c r="BF34" s="15">
        <f t="shared" ref="BF34:BG36" si="260">AT34*2</f>
        <v>1.6952847915345606</v>
      </c>
      <c r="BG34" s="15">
        <f t="shared" si="260"/>
        <v>2.0280725298827726E-2</v>
      </c>
      <c r="BH34" s="15">
        <f t="shared" si="206"/>
        <v>0.26539559243240063</v>
      </c>
      <c r="BI34" s="15">
        <f t="shared" si="207"/>
        <v>8.1006146445750937E-2</v>
      </c>
      <c r="BJ34" s="15">
        <f t="shared" si="207"/>
        <v>0</v>
      </c>
      <c r="BK34" s="15">
        <f t="shared" si="207"/>
        <v>0.45925506892547713</v>
      </c>
      <c r="BL34" s="15">
        <f t="shared" si="208"/>
        <v>0.23788549397796618</v>
      </c>
      <c r="BM34" s="15">
        <f t="shared" si="208"/>
        <v>1.9845463536784291E-2</v>
      </c>
      <c r="BN34" s="15">
        <f t="shared" si="208"/>
        <v>0</v>
      </c>
      <c r="BO34" s="15">
        <f t="shared" si="209"/>
        <v>6.710605783489542E-3</v>
      </c>
      <c r="BP34" s="15">
        <f t="shared" si="210"/>
        <v>2.7856638879352569</v>
      </c>
      <c r="BQ34" s="15">
        <f t="shared" si="211"/>
        <v>2.153885120881263</v>
      </c>
      <c r="BS34" s="22">
        <f t="shared" si="63"/>
        <v>1.825724344071292</v>
      </c>
      <c r="BT34" s="22">
        <f t="shared" si="64"/>
        <v>2.1841176230912623E-2</v>
      </c>
      <c r="BU34" s="22">
        <f t="shared" si="212"/>
        <v>0.17427565592870797</v>
      </c>
      <c r="BV34" s="22">
        <f t="shared" si="213"/>
        <v>0.20681208919636906</v>
      </c>
      <c r="BW34" s="22">
        <f t="shared" si="67"/>
        <v>0.38108774512507704</v>
      </c>
      <c r="BX34" s="22">
        <f t="shared" si="68"/>
        <v>0.17447793352943156</v>
      </c>
      <c r="BY34" s="22">
        <f t="shared" si="69"/>
        <v>0</v>
      </c>
      <c r="BZ34" s="22">
        <f t="shared" si="70"/>
        <v>0.9891826596478841</v>
      </c>
      <c r="CA34" s="22">
        <f t="shared" si="71"/>
        <v>0.51237802595263071</v>
      </c>
      <c r="CB34" s="22">
        <f t="shared" si="72"/>
        <v>8.5489697257742664E-2</v>
      </c>
      <c r="CC34" s="22">
        <f t="shared" si="73"/>
        <v>0</v>
      </c>
      <c r="CD34" s="22">
        <f t="shared" si="74"/>
        <v>9.6359159661052497E-3</v>
      </c>
      <c r="CE34" s="15">
        <f t="shared" si="214"/>
        <v>3.9998174977810756</v>
      </c>
      <c r="CF34" s="15">
        <f t="shared" si="215"/>
        <v>0</v>
      </c>
      <c r="CG34" s="15">
        <f t="shared" si="216"/>
        <v>-5.475316382081985E-4</v>
      </c>
      <c r="CH34" s="15">
        <f t="shared" si="217"/>
        <v>8.5489697257742664E-2</v>
      </c>
      <c r="CI34" s="15">
        <f t="shared" si="218"/>
        <v>0.1213223919386264</v>
      </c>
      <c r="CJ34" s="15">
        <f t="shared" si="219"/>
        <v>2.6476631995040786E-2</v>
      </c>
      <c r="CK34" s="15">
        <f t="shared" si="220"/>
        <v>4.8179579830526249E-3</v>
      </c>
      <c r="CL34" s="15">
        <f t="shared" si="221"/>
        <v>0.35976104403591092</v>
      </c>
      <c r="CM34" s="15">
        <f t="shared" si="222"/>
        <v>0.40194977457070236</v>
      </c>
      <c r="CN34" s="15">
        <f t="shared" si="223"/>
        <v>0.34168188678546174</v>
      </c>
      <c r="CO34" s="15">
        <f t="shared" si="224"/>
        <v>0.30581888607696062</v>
      </c>
      <c r="CP34" s="15">
        <f t="shared" si="225"/>
        <v>0.99981749778107576</v>
      </c>
      <c r="CQ34" s="15">
        <f t="shared" si="226"/>
        <v>0.35976104403591092</v>
      </c>
      <c r="CR34" s="15"/>
      <c r="CS34" s="1">
        <f t="shared" si="227"/>
        <v>0.85006114793916976</v>
      </c>
      <c r="CT34" s="15">
        <f t="shared" si="228"/>
        <v>0.17447793352943156</v>
      </c>
      <c r="CU34" s="59">
        <f t="shared" si="90"/>
        <v>0.25283955705415589</v>
      </c>
      <c r="CV34" s="22">
        <f t="shared" si="91"/>
        <v>0.43432981776125845</v>
      </c>
      <c r="CW34" s="22">
        <f t="shared" si="229"/>
        <v>0.35240740890315098</v>
      </c>
      <c r="CX34" s="22">
        <f t="shared" si="11"/>
        <v>0.64750077286242225</v>
      </c>
      <c r="CY34" s="22">
        <f t="shared" si="12"/>
        <v>0.11421004574419086</v>
      </c>
      <c r="CZ34" s="22">
        <f t="shared" si="13"/>
        <v>0.34183702483118195</v>
      </c>
      <c r="DA34" s="22">
        <f t="shared" si="14"/>
        <v>6.0295251958444658E-2</v>
      </c>
      <c r="DB34" s="22">
        <f t="shared" si="15"/>
        <v>0.22133973777118132</v>
      </c>
      <c r="DC34" s="22">
        <f t="shared" si="16"/>
        <v>0.30638189577438285</v>
      </c>
      <c r="DD34" s="1">
        <f t="shared" si="17"/>
        <v>0.88126182713287837</v>
      </c>
      <c r="DE34" s="1">
        <f t="shared" si="18"/>
        <v>6.5098624415990229E-3</v>
      </c>
      <c r="DF34" s="1">
        <f t="shared" si="19"/>
        <v>7.2870999695962183E-2</v>
      </c>
      <c r="DG34" s="1">
        <f t="shared" si="20"/>
        <v>0.11148784072688402</v>
      </c>
      <c r="DH34" s="1">
        <f t="shared" si="21"/>
        <v>0</v>
      </c>
      <c r="DI34" s="1">
        <f t="shared" si="22"/>
        <v>0.71257728684709354</v>
      </c>
      <c r="DJ34" s="1">
        <f t="shared" si="23"/>
        <v>3.441671689486317E-2</v>
      </c>
      <c r="DK34" s="1">
        <f t="shared" si="24"/>
        <v>4.3563212641721622E-3</v>
      </c>
      <c r="DL34" s="1">
        <f t="shared" si="25"/>
        <v>0</v>
      </c>
      <c r="DM34" s="1">
        <f t="shared" si="26"/>
        <v>1.0526440444689478E-3</v>
      </c>
      <c r="DN34" s="1">
        <f t="shared" si="230"/>
        <v>1.8245334990479214</v>
      </c>
      <c r="DP34" s="15">
        <f t="shared" ref="DP34:DQ36" si="261">DD34*2</f>
        <v>1.7625236542657567</v>
      </c>
      <c r="DQ34" s="15">
        <f t="shared" si="261"/>
        <v>1.3019724883198046E-2</v>
      </c>
      <c r="DR34" s="15">
        <f t="shared" si="232"/>
        <v>0.21861299908788656</v>
      </c>
      <c r="DS34" s="15">
        <f t="shared" si="233"/>
        <v>0.11148784072688402</v>
      </c>
      <c r="DT34" s="15">
        <f t="shared" si="233"/>
        <v>0</v>
      </c>
      <c r="DU34" s="15">
        <f t="shared" si="233"/>
        <v>0.71257728684709354</v>
      </c>
      <c r="DV34" s="15">
        <f t="shared" si="234"/>
        <v>3.441671689486317E-2</v>
      </c>
      <c r="DW34" s="15">
        <f t="shared" si="234"/>
        <v>4.3563212641721622E-3</v>
      </c>
      <c r="DX34" s="15">
        <f t="shared" si="234"/>
        <v>0</v>
      </c>
      <c r="DY34" s="15">
        <f t="shared" si="235"/>
        <v>3.1579321334068433E-3</v>
      </c>
      <c r="DZ34" s="15">
        <f t="shared" si="236"/>
        <v>2.8601524761032611</v>
      </c>
      <c r="EA34" s="15">
        <f t="shared" si="237"/>
        <v>2.097790257732882</v>
      </c>
      <c r="EC34" s="22">
        <f t="shared" si="100"/>
        <v>1.8487024754712313</v>
      </c>
      <c r="ED34" s="22">
        <f t="shared" si="101"/>
        <v>1.3656326009167623E-2</v>
      </c>
      <c r="EE34" s="22">
        <f t="shared" si="238"/>
        <v>0.15129752452876866</v>
      </c>
      <c r="EF34" s="22">
        <f t="shared" si="239"/>
        <v>0.15443862193812191</v>
      </c>
      <c r="EG34" s="22">
        <f t="shared" si="104"/>
        <v>0.30573614646689057</v>
      </c>
      <c r="EH34" s="22">
        <f t="shared" si="105"/>
        <v>0.23387810613253252</v>
      </c>
      <c r="EI34" s="22">
        <f t="shared" si="106"/>
        <v>0</v>
      </c>
      <c r="EJ34" s="22">
        <f t="shared" si="107"/>
        <v>1.4948376902295621</v>
      </c>
      <c r="EK34" s="22">
        <f t="shared" si="108"/>
        <v>7.2199053405194641E-2</v>
      </c>
      <c r="EL34" s="22">
        <f t="shared" si="109"/>
        <v>1.827729661506991E-2</v>
      </c>
      <c r="EM34" s="22">
        <f t="shared" si="110"/>
        <v>0</v>
      </c>
      <c r="EN34" s="22">
        <f t="shared" si="111"/>
        <v>4.416452842694994E-3</v>
      </c>
      <c r="EO34" s="15">
        <f t="shared" si="240"/>
        <v>3.9917035471723437</v>
      </c>
      <c r="EP34" s="15">
        <f t="shared" si="241"/>
        <v>0</v>
      </c>
      <c r="EQ34" s="15">
        <f t="shared" si="242"/>
        <v>-2.4941089125318783E-2</v>
      </c>
      <c r="ER34" s="15">
        <f t="shared" si="243"/>
        <v>1.827729661506991E-2</v>
      </c>
      <c r="ES34" s="15">
        <f t="shared" si="244"/>
        <v>1.3656326009167623E-2</v>
      </c>
      <c r="ET34" s="15">
        <f t="shared" si="245"/>
        <v>4.416452842694994E-3</v>
      </c>
      <c r="EU34" s="15">
        <f t="shared" si="246"/>
        <v>0.13174487248035702</v>
      </c>
      <c r="EV34" s="15">
        <f t="shared" si="247"/>
        <v>7.2199053405194641E-2</v>
      </c>
      <c r="EW34" s="15">
        <f t="shared" si="248"/>
        <v>0.75555777223368781</v>
      </c>
      <c r="EX34" s="15">
        <f t="shared" si="249"/>
        <v>0.6533382973983245</v>
      </c>
      <c r="EY34" s="15">
        <f t="shared" si="250"/>
        <v>6.2431237370596658E-2</v>
      </c>
      <c r="EZ34" s="59">
        <f t="shared" si="123"/>
        <v>0.56425586779923509</v>
      </c>
      <c r="FA34" s="15">
        <f t="shared" si="124"/>
        <v>7.2199053405194641E-2</v>
      </c>
      <c r="FB34" s="15">
        <f t="shared" si="251"/>
        <v>0.13529008448045945</v>
      </c>
      <c r="FC34" s="15">
        <f t="shared" si="252"/>
        <v>0.59844068272727491</v>
      </c>
      <c r="FD34" s="22">
        <f t="shared" si="127"/>
        <v>0.86470991551954057</v>
      </c>
      <c r="FE34" s="22">
        <f t="shared" si="128"/>
        <v>0.71553759671627537</v>
      </c>
      <c r="FF34" s="22">
        <f t="shared" si="129"/>
        <v>0.11195100249374001</v>
      </c>
      <c r="FG34" s="22">
        <f t="shared" si="130"/>
        <v>0.78647411853700122</v>
      </c>
      <c r="FH34" s="22">
        <f t="shared" si="131"/>
        <v>0.12304953144273421</v>
      </c>
      <c r="FI34" s="58">
        <f t="shared" si="132"/>
        <v>0.56275180065751707</v>
      </c>
      <c r="FJ34" s="15">
        <f t="shared" si="253"/>
        <v>0.99585177358617205</v>
      </c>
      <c r="FL34" s="1">
        <f t="shared" si="28"/>
        <v>1300</v>
      </c>
      <c r="FM34" s="1">
        <f t="shared" si="134"/>
        <v>15</v>
      </c>
      <c r="FO34" s="1">
        <f t="shared" si="29"/>
        <v>0.50219307788374901</v>
      </c>
      <c r="FP34" s="1">
        <f t="shared" si="254"/>
        <v>1462.3438326997837</v>
      </c>
      <c r="FR34" s="1">
        <f t="shared" si="30"/>
        <v>1212.9444215835153</v>
      </c>
      <c r="FS34" s="1">
        <f t="shared" si="31"/>
        <v>1092.3359749229867</v>
      </c>
      <c r="FT34" s="1">
        <f t="shared" si="32"/>
        <v>1389.3392219407856</v>
      </c>
      <c r="FU34" s="1">
        <f t="shared" si="33"/>
        <v>1232.9277911534723</v>
      </c>
      <c r="FV34" s="1">
        <f t="shared" si="136"/>
        <v>0.39331680060831226</v>
      </c>
      <c r="FW34" s="1">
        <f t="shared" si="255"/>
        <v>1515.0798745544762</v>
      </c>
      <c r="FX34" s="1">
        <f t="shared" si="34"/>
        <v>1378.9083362699871</v>
      </c>
      <c r="FZ34" s="1">
        <f t="shared" si="138"/>
        <v>1297.0910089382396</v>
      </c>
      <c r="GA34" s="1">
        <f t="shared" si="256"/>
        <v>1218.5316272944865</v>
      </c>
      <c r="GC34" s="1">
        <f t="shared" si="35"/>
        <v>60.117675556138998</v>
      </c>
      <c r="GD34" s="1">
        <f t="shared" si="36"/>
        <v>44.443894358127963</v>
      </c>
      <c r="GF34" s="1">
        <f t="shared" si="257"/>
        <v>25.89565</v>
      </c>
      <c r="GG34" s="1">
        <f t="shared" si="258"/>
        <v>31.143099999999997</v>
      </c>
      <c r="GH34" s="1">
        <f t="shared" si="259"/>
        <v>2.3649999999999984</v>
      </c>
      <c r="GI34" s="1">
        <f t="shared" si="37"/>
        <v>724.70188199323945</v>
      </c>
      <c r="GJ34" s="1">
        <f t="shared" si="38"/>
        <v>1444.9686628550444</v>
      </c>
      <c r="GL34" s="1">
        <f t="shared" si="143"/>
        <v>1252.3474529670802</v>
      </c>
      <c r="GM34" s="1">
        <f t="shared" si="203"/>
        <v>1346.4371657357474</v>
      </c>
      <c r="GO34" s="1">
        <f t="shared" si="144"/>
        <v>1316.4139414486676</v>
      </c>
      <c r="GQ34" s="1">
        <f t="shared" si="39"/>
        <v>14.793822124416605</v>
      </c>
      <c r="GR34" s="1">
        <f t="shared" si="145"/>
        <v>-0.20617787558339451</v>
      </c>
      <c r="GS34" s="2">
        <f t="shared" si="40"/>
        <v>15</v>
      </c>
    </row>
    <row r="35" spans="1:201" ht="13.8" x14ac:dyDescent="0.25">
      <c r="A35" s="1" t="s">
        <v>22</v>
      </c>
      <c r="B35" s="1" t="s">
        <v>25</v>
      </c>
      <c r="C35" s="23">
        <v>2</v>
      </c>
      <c r="D35" s="2">
        <v>1400</v>
      </c>
      <c r="F35" s="1">
        <v>336</v>
      </c>
      <c r="G35" s="23">
        <v>51.63</v>
      </c>
      <c r="H35" s="23">
        <v>0.4</v>
      </c>
      <c r="I35" s="23">
        <v>8.59</v>
      </c>
      <c r="J35" s="23">
        <v>6.96</v>
      </c>
      <c r="K35" s="23">
        <v>0</v>
      </c>
      <c r="L35" s="23">
        <v>21.39</v>
      </c>
      <c r="M35" s="23">
        <v>9.76</v>
      </c>
      <c r="N35" s="23">
        <v>0.97</v>
      </c>
      <c r="O35" s="23">
        <v>0</v>
      </c>
      <c r="P35" s="23">
        <v>0.28999999999999998</v>
      </c>
      <c r="R35" s="23">
        <v>52.92</v>
      </c>
      <c r="S35" s="23">
        <v>0.23</v>
      </c>
      <c r="T35" s="23">
        <v>7.39</v>
      </c>
      <c r="U35" s="23">
        <v>8.2100000000000009</v>
      </c>
      <c r="V35" s="23">
        <v>0</v>
      </c>
      <c r="W35" s="23">
        <v>28.47</v>
      </c>
      <c r="X35" s="23">
        <v>2.2200000000000002</v>
      </c>
      <c r="Y35" s="23">
        <v>0.32</v>
      </c>
      <c r="Z35" s="23">
        <v>0</v>
      </c>
      <c r="AA35" s="23">
        <v>0.24</v>
      </c>
      <c r="AC35" s="50">
        <f t="shared" ca="1" si="41"/>
        <v>1464.5618939506755</v>
      </c>
      <c r="AD35" s="50">
        <f t="shared" ca="1" si="0"/>
        <v>23.202357573675947</v>
      </c>
      <c r="AE35" s="66">
        <f t="shared" si="42"/>
        <v>0.84564100654266994</v>
      </c>
      <c r="AF35" s="27">
        <f t="shared" ca="1" si="1"/>
        <v>1354.6050619058701</v>
      </c>
      <c r="AG35" s="27"/>
      <c r="AH35" s="27">
        <f t="shared" ca="1" si="2"/>
        <v>1464.5618939506755</v>
      </c>
      <c r="AI35" s="27">
        <f t="shared" ca="1" si="3"/>
        <v>1421.4166655832494</v>
      </c>
      <c r="AJ35" s="27">
        <f t="shared" si="4"/>
        <v>19.412825296910746</v>
      </c>
      <c r="AK35" s="27">
        <f t="shared" ca="1" si="5"/>
        <v>23.202357573675947</v>
      </c>
      <c r="AL35" s="27">
        <f t="shared" si="43"/>
        <v>1384.4861155651015</v>
      </c>
      <c r="AM35" s="27">
        <f t="shared" si="44"/>
        <v>1723.5196546778293</v>
      </c>
      <c r="AN35" s="27">
        <f t="shared" si="45"/>
        <v>1450.3696546778292</v>
      </c>
      <c r="AO35" s="29">
        <f t="shared" ca="1" si="6"/>
        <v>1453.5300048332681</v>
      </c>
      <c r="AP35" s="42">
        <f t="shared" si="7"/>
        <v>1.1283472247609641</v>
      </c>
      <c r="AQ35" s="44"/>
      <c r="AR35" s="1">
        <f t="shared" si="8"/>
        <v>0.13256615338480701</v>
      </c>
      <c r="AT35" s="1">
        <f t="shared" si="46"/>
        <v>0.85929269376525985</v>
      </c>
      <c r="AU35" s="1">
        <f t="shared" si="47"/>
        <v>5.0075864935377103E-3</v>
      </c>
      <c r="AV35" s="1">
        <f t="shared" si="48"/>
        <v>8.4247898706368118E-2</v>
      </c>
      <c r="AW35" s="1">
        <f t="shared" si="49"/>
        <v>9.6873329770176375E-2</v>
      </c>
      <c r="AX35" s="1">
        <f t="shared" si="50"/>
        <v>0</v>
      </c>
      <c r="AY35" s="1">
        <f t="shared" si="51"/>
        <v>0.53071128710512994</v>
      </c>
      <c r="AZ35" s="1">
        <f t="shared" si="52"/>
        <v>0.17404515901236506</v>
      </c>
      <c r="BA35" s="1">
        <f t="shared" si="53"/>
        <v>1.5650487504618504E-2</v>
      </c>
      <c r="BB35" s="1">
        <f t="shared" si="54"/>
        <v>0</v>
      </c>
      <c r="BC35" s="1">
        <f t="shared" si="55"/>
        <v>1.9079173305999676E-3</v>
      </c>
      <c r="BD35" s="1">
        <f t="shared" si="204"/>
        <v>1.7677363596880555</v>
      </c>
      <c r="BF35" s="15">
        <f t="shared" si="260"/>
        <v>1.7185853875305197</v>
      </c>
      <c r="BG35" s="15">
        <f t="shared" si="260"/>
        <v>1.0015172987075421E-2</v>
      </c>
      <c r="BH35" s="15">
        <f t="shared" si="206"/>
        <v>0.25274369611910436</v>
      </c>
      <c r="BI35" s="15">
        <f t="shared" si="207"/>
        <v>9.6873329770176375E-2</v>
      </c>
      <c r="BJ35" s="15">
        <f t="shared" si="207"/>
        <v>0</v>
      </c>
      <c r="BK35" s="15">
        <f t="shared" si="207"/>
        <v>0.53071128710512994</v>
      </c>
      <c r="BL35" s="15">
        <f t="shared" si="208"/>
        <v>0.17404515901236506</v>
      </c>
      <c r="BM35" s="15">
        <f t="shared" si="208"/>
        <v>1.5650487504618504E-2</v>
      </c>
      <c r="BN35" s="15">
        <f t="shared" si="208"/>
        <v>0</v>
      </c>
      <c r="BO35" s="15">
        <f t="shared" si="209"/>
        <v>5.7237519917999026E-3</v>
      </c>
      <c r="BP35" s="15">
        <f t="shared" si="210"/>
        <v>2.8043482720207895</v>
      </c>
      <c r="BQ35" s="15">
        <f t="shared" si="211"/>
        <v>2.1395345435024913</v>
      </c>
      <c r="BS35" s="22">
        <f t="shared" si="63"/>
        <v>1.8384864012900812</v>
      </c>
      <c r="BT35" s="22">
        <f t="shared" si="64"/>
        <v>1.0713904282500446E-2</v>
      </c>
      <c r="BU35" s="22">
        <f t="shared" si="212"/>
        <v>0.16151359870991877</v>
      </c>
      <c r="BV35" s="22">
        <f t="shared" si="213"/>
        <v>0.19898898028962808</v>
      </c>
      <c r="BW35" s="22">
        <f t="shared" si="67"/>
        <v>0.36050257899954685</v>
      </c>
      <c r="BX35" s="22">
        <f t="shared" si="68"/>
        <v>0.20726383538740062</v>
      </c>
      <c r="BY35" s="22">
        <f t="shared" si="69"/>
        <v>0</v>
      </c>
      <c r="BZ35" s="22">
        <f t="shared" si="70"/>
        <v>1.1354751313880938</v>
      </c>
      <c r="CA35" s="22">
        <f t="shared" si="71"/>
        <v>0.37237562983633898</v>
      </c>
      <c r="CB35" s="22">
        <f t="shared" si="72"/>
        <v>6.6969517277570792E-2</v>
      </c>
      <c r="CC35" s="22">
        <f t="shared" si="73"/>
        <v>0</v>
      </c>
      <c r="CD35" s="22">
        <f t="shared" si="74"/>
        <v>8.1641100699313875E-3</v>
      </c>
      <c r="CE35" s="15">
        <f t="shared" si="214"/>
        <v>3.9999511085314641</v>
      </c>
      <c r="CF35" s="15">
        <f t="shared" si="215"/>
        <v>0</v>
      </c>
      <c r="CG35" s="15">
        <f t="shared" si="216"/>
        <v>-1.4667619841191026E-4</v>
      </c>
      <c r="CH35" s="15">
        <f t="shared" si="217"/>
        <v>6.6969517277570792E-2</v>
      </c>
      <c r="CI35" s="15">
        <f t="shared" si="218"/>
        <v>0.1320194630120573</v>
      </c>
      <c r="CJ35" s="15">
        <f t="shared" si="219"/>
        <v>1.4747067848930734E-2</v>
      </c>
      <c r="CK35" s="15">
        <f t="shared" si="220"/>
        <v>4.0820550349656938E-3</v>
      </c>
      <c r="CL35" s="15">
        <f t="shared" si="221"/>
        <v>0.22152704394038522</v>
      </c>
      <c r="CM35" s="15">
        <f t="shared" si="222"/>
        <v>0.56060596141755459</v>
      </c>
      <c r="CN35" s="15">
        <f t="shared" si="223"/>
        <v>0.47407138948696209</v>
      </c>
      <c r="CO35" s="15">
        <f t="shared" si="224"/>
        <v>0.18733235241416968</v>
      </c>
      <c r="CP35" s="15">
        <f t="shared" si="225"/>
        <v>0.99995110853146429</v>
      </c>
      <c r="CQ35" s="15">
        <f t="shared" si="226"/>
        <v>0.22152704394038525</v>
      </c>
      <c r="CR35" s="15"/>
      <c r="CS35" s="1">
        <f t="shared" si="227"/>
        <v>0.84564100654267005</v>
      </c>
      <c r="CT35" s="15">
        <f t="shared" si="228"/>
        <v>0.20726383538740062</v>
      </c>
      <c r="CU35" s="59">
        <f t="shared" si="90"/>
        <v>0.32634390066053304</v>
      </c>
      <c r="CV35" s="22">
        <f t="shared" si="91"/>
        <v>0.33525769771138658</v>
      </c>
      <c r="CW35" s="22">
        <f t="shared" si="229"/>
        <v>0.42011071224595115</v>
      </c>
      <c r="CX35" s="22">
        <f t="shared" si="11"/>
        <v>0.66140374190113205</v>
      </c>
      <c r="CY35" s="22">
        <f t="shared" si="12"/>
        <v>0.12072926345680809</v>
      </c>
      <c r="CZ35" s="22">
        <f t="shared" si="13"/>
        <v>0.47411273411762589</v>
      </c>
      <c r="DA35" s="22">
        <f t="shared" si="14"/>
        <v>8.654211876846428E-2</v>
      </c>
      <c r="DB35" s="22">
        <f t="shared" si="15"/>
        <v>0.31357993642837428</v>
      </c>
      <c r="DC35" s="22">
        <f t="shared" si="16"/>
        <v>0.43853407629541064</v>
      </c>
      <c r="DD35" s="1">
        <f t="shared" si="17"/>
        <v>0.88076252864725069</v>
      </c>
      <c r="DE35" s="1">
        <f t="shared" si="18"/>
        <v>2.8793622337841833E-3</v>
      </c>
      <c r="DF35" s="1">
        <f t="shared" si="19"/>
        <v>7.2478692833534392E-2</v>
      </c>
      <c r="DG35" s="1">
        <f t="shared" si="20"/>
        <v>0.11427155709959025</v>
      </c>
      <c r="DH35" s="1">
        <f t="shared" si="21"/>
        <v>0</v>
      </c>
      <c r="DI35" s="1">
        <f t="shared" si="22"/>
        <v>0.70637449013010978</v>
      </c>
      <c r="DJ35" s="1">
        <f t="shared" si="23"/>
        <v>3.9588140676992879E-2</v>
      </c>
      <c r="DK35" s="1">
        <f t="shared" si="24"/>
        <v>5.1630474242040439E-3</v>
      </c>
      <c r="DL35" s="1">
        <f t="shared" si="25"/>
        <v>0</v>
      </c>
      <c r="DM35" s="1">
        <f t="shared" si="26"/>
        <v>1.5789660667034214E-3</v>
      </c>
      <c r="DN35" s="1">
        <f t="shared" si="230"/>
        <v>1.8230967851121695</v>
      </c>
      <c r="DP35" s="15">
        <f t="shared" si="261"/>
        <v>1.7615250572945014</v>
      </c>
      <c r="DQ35" s="15">
        <f t="shared" si="261"/>
        <v>5.7587244675683666E-3</v>
      </c>
      <c r="DR35" s="15">
        <f t="shared" si="232"/>
        <v>0.21743607850060317</v>
      </c>
      <c r="DS35" s="15">
        <f t="shared" si="233"/>
        <v>0.11427155709959025</v>
      </c>
      <c r="DT35" s="15">
        <f t="shared" si="233"/>
        <v>0</v>
      </c>
      <c r="DU35" s="15">
        <f t="shared" si="233"/>
        <v>0.70637449013010978</v>
      </c>
      <c r="DV35" s="15">
        <f t="shared" si="234"/>
        <v>3.9588140676992879E-2</v>
      </c>
      <c r="DW35" s="15">
        <f t="shared" si="234"/>
        <v>5.1630474242040439E-3</v>
      </c>
      <c r="DX35" s="15">
        <f t="shared" si="234"/>
        <v>0</v>
      </c>
      <c r="DY35" s="15">
        <f t="shared" si="235"/>
        <v>4.7368982001102641E-3</v>
      </c>
      <c r="DZ35" s="15">
        <f t="shared" si="236"/>
        <v>2.8548539937936797</v>
      </c>
      <c r="EA35" s="15">
        <f t="shared" si="237"/>
        <v>2.1016836633480107</v>
      </c>
      <c r="EC35" s="22">
        <f t="shared" si="100"/>
        <v>1.851084217747011</v>
      </c>
      <c r="ED35" s="22">
        <f t="shared" si="101"/>
        <v>6.0515085676054537E-3</v>
      </c>
      <c r="EE35" s="22">
        <f t="shared" si="238"/>
        <v>0.14891578225298896</v>
      </c>
      <c r="EF35" s="22">
        <f t="shared" si="239"/>
        <v>0.15573878708512656</v>
      </c>
      <c r="EG35" s="22">
        <f t="shared" si="104"/>
        <v>0.30465456933811552</v>
      </c>
      <c r="EH35" s="22">
        <f t="shared" si="105"/>
        <v>0.24016266474154821</v>
      </c>
      <c r="EI35" s="22">
        <f t="shared" si="106"/>
        <v>0</v>
      </c>
      <c r="EJ35" s="22">
        <f t="shared" si="107"/>
        <v>1.4845757261122323</v>
      </c>
      <c r="EK35" s="22">
        <f t="shared" si="108"/>
        <v>8.3201748523158786E-2</v>
      </c>
      <c r="EL35" s="22">
        <f t="shared" si="109"/>
        <v>2.1702184849081332E-2</v>
      </c>
      <c r="EM35" s="22">
        <f t="shared" si="110"/>
        <v>0</v>
      </c>
      <c r="EN35" s="22">
        <f t="shared" si="111"/>
        <v>6.6369743747428924E-3</v>
      </c>
      <c r="EO35" s="15">
        <f t="shared" si="240"/>
        <v>3.9980695942534954</v>
      </c>
      <c r="EP35" s="15">
        <f t="shared" si="241"/>
        <v>0</v>
      </c>
      <c r="EQ35" s="15">
        <f t="shared" si="242"/>
        <v>-5.7940134387237663E-3</v>
      </c>
      <c r="ER35" s="15">
        <f t="shared" si="243"/>
        <v>2.1702184849081332E-2</v>
      </c>
      <c r="ES35" s="15">
        <f t="shared" si="244"/>
        <v>6.0515085676054537E-3</v>
      </c>
      <c r="ET35" s="15">
        <f t="shared" si="245"/>
        <v>6.6369743747428924E-3</v>
      </c>
      <c r="EU35" s="15">
        <f t="shared" si="246"/>
        <v>0.12739962786130235</v>
      </c>
      <c r="EV35" s="15">
        <f t="shared" si="247"/>
        <v>8.3201748523158786E-2</v>
      </c>
      <c r="EW35" s="15">
        <f t="shared" si="248"/>
        <v>0.75404275295085699</v>
      </c>
      <c r="EX35" s="15">
        <f t="shared" si="249"/>
        <v>0.64904542823305678</v>
      </c>
      <c r="EY35" s="15">
        <f t="shared" si="250"/>
        <v>7.16162502571948E-2</v>
      </c>
      <c r="EZ35" s="59">
        <f t="shared" si="123"/>
        <v>0.55261500799779262</v>
      </c>
      <c r="FA35" s="15">
        <f t="shared" si="124"/>
        <v>8.3201748523158786E-2</v>
      </c>
      <c r="FB35" s="15">
        <f t="shared" si="251"/>
        <v>0.13924585085780042</v>
      </c>
      <c r="FC35" s="15">
        <f t="shared" si="252"/>
        <v>0.58988242049719886</v>
      </c>
      <c r="FD35" s="22">
        <f t="shared" si="127"/>
        <v>0.86075414914219961</v>
      </c>
      <c r="FE35" s="22">
        <f t="shared" si="128"/>
        <v>0.71577967763735695</v>
      </c>
      <c r="FF35" s="22">
        <f t="shared" si="129"/>
        <v>0.11579305233516814</v>
      </c>
      <c r="FG35" s="22">
        <f t="shared" si="130"/>
        <v>0.77045765323070703</v>
      </c>
      <c r="FH35" s="22">
        <f t="shared" si="131"/>
        <v>0.12463841339705281</v>
      </c>
      <c r="FI35" s="58">
        <f t="shared" si="132"/>
        <v>0.55147793066271</v>
      </c>
      <c r="FJ35" s="15">
        <f t="shared" si="253"/>
        <v>0.99903479712674781</v>
      </c>
      <c r="FL35" s="1">
        <f t="shared" si="28"/>
        <v>1400</v>
      </c>
      <c r="FM35" s="1">
        <f t="shared" si="134"/>
        <v>20</v>
      </c>
      <c r="FO35" s="1">
        <f t="shared" si="29"/>
        <v>0.66203135664459489</v>
      </c>
      <c r="FP35" s="1">
        <f t="shared" si="254"/>
        <v>1556.5734097545776</v>
      </c>
      <c r="FR35" s="1">
        <f t="shared" si="30"/>
        <v>1451.7679305911083</v>
      </c>
      <c r="FS35" s="1">
        <f t="shared" si="31"/>
        <v>1368.611502515771</v>
      </c>
      <c r="FT35" s="1">
        <f t="shared" si="32"/>
        <v>1605.313056033882</v>
      </c>
      <c r="FU35" s="1">
        <f t="shared" si="33"/>
        <v>1475.645728871652</v>
      </c>
      <c r="FV35" s="1">
        <f t="shared" si="136"/>
        <v>0.56861738066570655</v>
      </c>
      <c r="FW35" s="1">
        <f t="shared" si="255"/>
        <v>1793.0114298845051</v>
      </c>
      <c r="FX35" s="1">
        <f t="shared" si="34"/>
        <v>1550.2642396385054</v>
      </c>
      <c r="FZ35" s="1">
        <f t="shared" si="138"/>
        <v>1384.4861155651015</v>
      </c>
      <c r="GA35" s="1">
        <f t="shared" si="256"/>
        <v>1227.8590899092464</v>
      </c>
      <c r="GC35" s="1">
        <f t="shared" si="35"/>
        <v>69.402482876040835</v>
      </c>
      <c r="GD35" s="1">
        <f t="shared" si="36"/>
        <v>50.326038824539019</v>
      </c>
      <c r="GF35" s="1">
        <f t="shared" si="257"/>
        <v>25.784200000000002</v>
      </c>
      <c r="GG35" s="1">
        <f t="shared" si="258"/>
        <v>30.710799999999999</v>
      </c>
      <c r="GH35" s="1">
        <f t="shared" si="259"/>
        <v>-6.3800000000000026</v>
      </c>
      <c r="GI35" s="1">
        <f t="shared" si="37"/>
        <v>904.2942083050674</v>
      </c>
      <c r="GJ35" s="1">
        <f t="shared" si="38"/>
        <v>1764.6448943631449</v>
      </c>
      <c r="GL35" s="1">
        <f t="shared" si="143"/>
        <v>1332.8139711929366</v>
      </c>
      <c r="GM35" s="1">
        <f t="shared" si="203"/>
        <v>1446.3781398706396</v>
      </c>
      <c r="GO35" s="1">
        <f t="shared" si="144"/>
        <v>1450.3696546778292</v>
      </c>
      <c r="GQ35" s="1">
        <f t="shared" si="39"/>
        <v>19.412825296910746</v>
      </c>
      <c r="GR35" s="1">
        <f t="shared" si="145"/>
        <v>-0.58717470308925357</v>
      </c>
      <c r="GS35" s="2">
        <f t="shared" si="40"/>
        <v>20</v>
      </c>
    </row>
    <row r="36" spans="1:201" ht="13.8" x14ac:dyDescent="0.25">
      <c r="A36" s="1" t="s">
        <v>22</v>
      </c>
      <c r="B36" s="1" t="s">
        <v>23</v>
      </c>
      <c r="C36" s="23">
        <v>2</v>
      </c>
      <c r="D36" s="2">
        <v>1350</v>
      </c>
      <c r="F36" s="1">
        <v>335</v>
      </c>
      <c r="G36" s="23">
        <v>51.39</v>
      </c>
      <c r="H36" s="23">
        <v>0.83</v>
      </c>
      <c r="I36" s="23">
        <v>9.3800000000000008</v>
      </c>
      <c r="J36" s="23">
        <v>7.57</v>
      </c>
      <c r="K36" s="23">
        <v>0</v>
      </c>
      <c r="L36" s="23">
        <v>19.55</v>
      </c>
      <c r="M36" s="23">
        <v>9.49</v>
      </c>
      <c r="N36" s="23">
        <v>1.64</v>
      </c>
      <c r="O36" s="23">
        <v>0</v>
      </c>
      <c r="P36" s="23">
        <v>0.15</v>
      </c>
      <c r="R36" s="23">
        <v>52.41</v>
      </c>
      <c r="S36" s="23">
        <v>0.5</v>
      </c>
      <c r="T36" s="23">
        <v>7.66</v>
      </c>
      <c r="U36" s="23">
        <v>9.67</v>
      </c>
      <c r="V36" s="23">
        <v>0</v>
      </c>
      <c r="W36" s="23">
        <v>27.3</v>
      </c>
      <c r="X36" s="23">
        <v>1.83</v>
      </c>
      <c r="Y36" s="23">
        <v>0.54</v>
      </c>
      <c r="Z36" s="23">
        <v>0</v>
      </c>
      <c r="AA36" s="23">
        <v>0.09</v>
      </c>
      <c r="AC36" s="50">
        <f t="shared" ca="1" si="41"/>
        <v>1487.2253739942619</v>
      </c>
      <c r="AD36" s="50">
        <f t="shared" ca="1" si="0"/>
        <v>25.671946594566691</v>
      </c>
      <c r="AE36" s="66">
        <f t="shared" si="42"/>
        <v>0.82154526924802929</v>
      </c>
      <c r="AF36" s="27">
        <f t="shared" ca="1" si="1"/>
        <v>1331.49752009339</v>
      </c>
      <c r="AG36" s="27"/>
      <c r="AH36" s="27">
        <f t="shared" ca="1" si="2"/>
        <v>1487.2253739942619</v>
      </c>
      <c r="AI36" s="27">
        <f t="shared" ca="1" si="3"/>
        <v>1453.5029234532296</v>
      </c>
      <c r="AJ36" s="27">
        <f t="shared" si="4"/>
        <v>22.502017839435986</v>
      </c>
      <c r="AK36" s="27">
        <f t="shared" ca="1" si="5"/>
        <v>25.671946594566691</v>
      </c>
      <c r="AL36" s="27">
        <f t="shared" si="43"/>
        <v>1314.9090257549974</v>
      </c>
      <c r="AM36" s="27">
        <f t="shared" si="44"/>
        <v>1659.1497891147442</v>
      </c>
      <c r="AN36" s="27">
        <f t="shared" si="45"/>
        <v>1385.9997891147441</v>
      </c>
      <c r="AO36" s="29">
        <f t="shared" ca="1" si="6"/>
        <v>1458.3379674774362</v>
      </c>
      <c r="AP36" s="42">
        <f t="shared" si="7"/>
        <v>1.0931639235434292</v>
      </c>
      <c r="AQ36" s="44"/>
      <c r="AR36" s="1">
        <f t="shared" si="8"/>
        <v>0.10834398259356191</v>
      </c>
      <c r="AT36" s="1">
        <f t="shared" si="46"/>
        <v>0.85529830588023825</v>
      </c>
      <c r="AU36" s="1">
        <f t="shared" si="47"/>
        <v>1.0390741974090748E-2</v>
      </c>
      <c r="AV36" s="1">
        <f t="shared" si="48"/>
        <v>9.1995959239316999E-2</v>
      </c>
      <c r="AW36" s="1">
        <f t="shared" si="49"/>
        <v>0.10536366470693034</v>
      </c>
      <c r="AX36" s="1">
        <f t="shared" si="50"/>
        <v>0</v>
      </c>
      <c r="AY36" s="1">
        <f t="shared" si="51"/>
        <v>0.48505870326812955</v>
      </c>
      <c r="AZ36" s="1">
        <f t="shared" si="52"/>
        <v>0.16923038514624431</v>
      </c>
      <c r="BA36" s="1">
        <f t="shared" si="53"/>
        <v>2.6460618049045721E-2</v>
      </c>
      <c r="BB36" s="1">
        <f t="shared" si="54"/>
        <v>0</v>
      </c>
      <c r="BC36" s="1">
        <f t="shared" si="55"/>
        <v>9.8685379168963832E-4</v>
      </c>
      <c r="BD36" s="1">
        <f t="shared" si="204"/>
        <v>1.7447852320556854</v>
      </c>
      <c r="BF36" s="15">
        <f t="shared" si="260"/>
        <v>1.7105966117604765</v>
      </c>
      <c r="BG36" s="15">
        <f t="shared" si="260"/>
        <v>2.0781483948181495E-2</v>
      </c>
      <c r="BH36" s="15">
        <f t="shared" si="206"/>
        <v>0.27598787771795097</v>
      </c>
      <c r="BI36" s="15">
        <f t="shared" si="207"/>
        <v>0.10536366470693034</v>
      </c>
      <c r="BJ36" s="15">
        <f t="shared" si="207"/>
        <v>0</v>
      </c>
      <c r="BK36" s="15">
        <f t="shared" si="207"/>
        <v>0.48505870326812955</v>
      </c>
      <c r="BL36" s="15">
        <f t="shared" si="208"/>
        <v>0.16923038514624431</v>
      </c>
      <c r="BM36" s="15">
        <f t="shared" si="208"/>
        <v>2.6460618049045721E-2</v>
      </c>
      <c r="BN36" s="15">
        <f t="shared" si="208"/>
        <v>0</v>
      </c>
      <c r="BO36" s="15">
        <f t="shared" si="209"/>
        <v>2.9605613750689147E-3</v>
      </c>
      <c r="BP36" s="15">
        <f t="shared" si="210"/>
        <v>2.796439905972028</v>
      </c>
      <c r="BQ36" s="15">
        <f t="shared" si="211"/>
        <v>2.1455851732005775</v>
      </c>
      <c r="BS36" s="22">
        <f t="shared" si="63"/>
        <v>1.8351153637602116</v>
      </c>
      <c r="BT36" s="22">
        <f t="shared" si="64"/>
        <v>2.2294221918162008E-2</v>
      </c>
      <c r="BU36" s="22">
        <f t="shared" si="212"/>
        <v>0.16488463623978844</v>
      </c>
      <c r="BV36" s="22">
        <f t="shared" si="213"/>
        <v>0.22988569603669801</v>
      </c>
      <c r="BW36" s="22">
        <f t="shared" si="67"/>
        <v>0.39477033227648645</v>
      </c>
      <c r="BX36" s="22">
        <f t="shared" si="68"/>
        <v>0.22606671678926671</v>
      </c>
      <c r="BY36" s="22">
        <f t="shared" si="69"/>
        <v>0</v>
      </c>
      <c r="BZ36" s="22">
        <f t="shared" si="70"/>
        <v>1.0407347618639973</v>
      </c>
      <c r="CA36" s="22">
        <f t="shared" si="71"/>
        <v>0.36309820522480502</v>
      </c>
      <c r="CB36" s="22">
        <f t="shared" si="72"/>
        <v>0.11354701951951218</v>
      </c>
      <c r="CC36" s="22">
        <f t="shared" si="73"/>
        <v>0</v>
      </c>
      <c r="CD36" s="22">
        <f t="shared" si="74"/>
        <v>4.2347577271321189E-3</v>
      </c>
      <c r="CE36" s="15">
        <f t="shared" si="214"/>
        <v>3.9998613790795736</v>
      </c>
      <c r="CF36" s="15">
        <f t="shared" si="215"/>
        <v>0</v>
      </c>
      <c r="CG36" s="15">
        <f t="shared" si="216"/>
        <v>-4.1587717359803378E-4</v>
      </c>
      <c r="CH36" s="15">
        <f t="shared" si="217"/>
        <v>0.11354701951951218</v>
      </c>
      <c r="CI36" s="15">
        <f t="shared" si="218"/>
        <v>0.11633867651718582</v>
      </c>
      <c r="CJ36" s="15">
        <f t="shared" si="219"/>
        <v>2.4272979861301308E-2</v>
      </c>
      <c r="CK36" s="15">
        <f t="shared" si="220"/>
        <v>2.1173788635660594E-3</v>
      </c>
      <c r="CL36" s="15">
        <f t="shared" si="221"/>
        <v>0.2203691699827518</v>
      </c>
      <c r="CM36" s="15">
        <f t="shared" si="222"/>
        <v>0.52321615433525603</v>
      </c>
      <c r="CN36" s="15">
        <f t="shared" si="223"/>
        <v>0.42984575638827632</v>
      </c>
      <c r="CO36" s="15">
        <f t="shared" si="224"/>
        <v>0.18104324908744457</v>
      </c>
      <c r="CP36" s="15">
        <f t="shared" si="225"/>
        <v>0.99986137907957318</v>
      </c>
      <c r="CQ36" s="15">
        <f t="shared" si="226"/>
        <v>0.22036916998275183</v>
      </c>
      <c r="CR36" s="15"/>
      <c r="CS36" s="1">
        <f t="shared" si="227"/>
        <v>0.82154526924802918</v>
      </c>
      <c r="CT36" s="15">
        <f t="shared" si="228"/>
        <v>0.22606671678926671</v>
      </c>
      <c r="CU36" s="59">
        <f t="shared" si="90"/>
        <v>0.27414431421167545</v>
      </c>
      <c r="CV36" s="22">
        <f t="shared" si="91"/>
        <v>0.32710195521380897</v>
      </c>
      <c r="CW36" s="22">
        <f t="shared" si="229"/>
        <v>0.36802139960990549</v>
      </c>
      <c r="CX36" s="22">
        <f t="shared" si="11"/>
        <v>0.61088900547572089</v>
      </c>
      <c r="CY36" s="22">
        <f t="shared" si="12"/>
        <v>0.13269631884228703</v>
      </c>
      <c r="CZ36" s="22">
        <f t="shared" si="13"/>
        <v>0.42995963974967166</v>
      </c>
      <c r="DA36" s="22">
        <f t="shared" si="14"/>
        <v>9.3395135506011071E-2</v>
      </c>
      <c r="DB36" s="22">
        <f t="shared" si="15"/>
        <v>0.26265761672137616</v>
      </c>
      <c r="DC36" s="22">
        <f t="shared" si="16"/>
        <v>0.38923147821253068</v>
      </c>
      <c r="DD36" s="1">
        <f t="shared" si="17"/>
        <v>0.8722744543915798</v>
      </c>
      <c r="DE36" s="1">
        <f t="shared" si="18"/>
        <v>6.2594831169221375E-3</v>
      </c>
      <c r="DF36" s="1">
        <f t="shared" si="19"/>
        <v>7.5126764154921977E-2</v>
      </c>
      <c r="DG36" s="1">
        <f t="shared" si="20"/>
        <v>0.13459268662034563</v>
      </c>
      <c r="DH36" s="1">
        <f t="shared" si="21"/>
        <v>0</v>
      </c>
      <c r="DI36" s="1">
        <f t="shared" si="22"/>
        <v>0.67734540149462585</v>
      </c>
      <c r="DJ36" s="1">
        <f t="shared" si="23"/>
        <v>3.2633467314818448E-2</v>
      </c>
      <c r="DK36" s="1">
        <f t="shared" si="24"/>
        <v>8.7126425283443245E-3</v>
      </c>
      <c r="DL36" s="1">
        <f t="shared" si="25"/>
        <v>0</v>
      </c>
      <c r="DM36" s="1">
        <f t="shared" si="26"/>
        <v>5.9211227501378301E-4</v>
      </c>
      <c r="DN36" s="1">
        <f t="shared" si="230"/>
        <v>1.8075370118965721</v>
      </c>
      <c r="DP36" s="15">
        <f t="shared" si="261"/>
        <v>1.7445489087831596</v>
      </c>
      <c r="DQ36" s="15">
        <f t="shared" si="261"/>
        <v>1.2518966233844275E-2</v>
      </c>
      <c r="DR36" s="15">
        <f t="shared" si="232"/>
        <v>0.22538029246476593</v>
      </c>
      <c r="DS36" s="15">
        <f t="shared" si="233"/>
        <v>0.13459268662034563</v>
      </c>
      <c r="DT36" s="15">
        <f t="shared" si="233"/>
        <v>0</v>
      </c>
      <c r="DU36" s="15">
        <f t="shared" si="233"/>
        <v>0.67734540149462585</v>
      </c>
      <c r="DV36" s="15">
        <f t="shared" si="234"/>
        <v>3.2633467314818448E-2</v>
      </c>
      <c r="DW36" s="15">
        <f t="shared" si="234"/>
        <v>8.7126425283443245E-3</v>
      </c>
      <c r="DX36" s="15">
        <f t="shared" si="234"/>
        <v>0</v>
      </c>
      <c r="DY36" s="15">
        <f t="shared" si="235"/>
        <v>1.7763368250413489E-3</v>
      </c>
      <c r="DZ36" s="15">
        <f t="shared" si="236"/>
        <v>2.8375087022649454</v>
      </c>
      <c r="EA36" s="15">
        <f t="shared" si="237"/>
        <v>2.1145309599264674</v>
      </c>
      <c r="EC36" s="22">
        <f t="shared" si="100"/>
        <v>1.844451339363963</v>
      </c>
      <c r="ED36" s="22">
        <f t="shared" si="101"/>
        <v>1.3235870843868883E-2</v>
      </c>
      <c r="EE36" s="22">
        <f t="shared" si="238"/>
        <v>0.15554866063603701</v>
      </c>
      <c r="EF36" s="22">
        <f t="shared" si="239"/>
        <v>0.16216707681331599</v>
      </c>
      <c r="EG36" s="22">
        <f t="shared" si="104"/>
        <v>0.317715737449353</v>
      </c>
      <c r="EH36" s="22">
        <f t="shared" si="105"/>
        <v>0.28460040283840166</v>
      </c>
      <c r="EI36" s="22">
        <f t="shared" si="106"/>
        <v>0</v>
      </c>
      <c r="EJ36" s="22">
        <f t="shared" si="107"/>
        <v>1.4322678220242098</v>
      </c>
      <c r="EK36" s="22">
        <f t="shared" si="108"/>
        <v>6.9004476966932057E-2</v>
      </c>
      <c r="EL36" s="22">
        <f t="shared" si="109"/>
        <v>3.6846304737912179E-2</v>
      </c>
      <c r="EM36" s="22">
        <f t="shared" si="110"/>
        <v>0</v>
      </c>
      <c r="EN36" s="22">
        <f t="shared" si="111"/>
        <v>2.5040794745382782E-3</v>
      </c>
      <c r="EO36" s="15">
        <f t="shared" si="240"/>
        <v>4.000626033699179</v>
      </c>
      <c r="EP36" s="15">
        <f t="shared" si="241"/>
        <v>1.2520673983571428E-3</v>
      </c>
      <c r="EQ36" s="15">
        <f t="shared" si="242"/>
        <v>1.8778072048899475E-3</v>
      </c>
      <c r="ER36" s="15">
        <f t="shared" si="243"/>
        <v>3.6846304737912179E-2</v>
      </c>
      <c r="ES36" s="15">
        <f t="shared" si="244"/>
        <v>1.3235870843868883E-2</v>
      </c>
      <c r="ET36" s="15">
        <f t="shared" si="245"/>
        <v>2.5040794745382782E-3</v>
      </c>
      <c r="EU36" s="15">
        <f t="shared" si="246"/>
        <v>0.12281669260086554</v>
      </c>
      <c r="EV36" s="15">
        <f t="shared" si="247"/>
        <v>6.9004476966932057E-2</v>
      </c>
      <c r="EW36" s="15">
        <f t="shared" si="248"/>
        <v>0.75590559222547249</v>
      </c>
      <c r="EX36" s="15">
        <f t="shared" si="249"/>
        <v>0.630601254396991</v>
      </c>
      <c r="EY36" s="15">
        <f t="shared" si="250"/>
        <v>5.7565799462131938E-2</v>
      </c>
      <c r="EZ36" s="59">
        <f t="shared" si="123"/>
        <v>0.51321595732164838</v>
      </c>
      <c r="FA36" s="15">
        <f t="shared" si="124"/>
        <v>6.9004476966932057E-2</v>
      </c>
      <c r="FB36" s="15">
        <f t="shared" si="251"/>
        <v>0.1651583509558712</v>
      </c>
      <c r="FC36" s="15">
        <f t="shared" si="252"/>
        <v>0.54929380395478467</v>
      </c>
      <c r="FD36" s="22">
        <f t="shared" si="127"/>
        <v>0.83484164904412872</v>
      </c>
      <c r="FE36" s="22">
        <f t="shared" si="128"/>
        <v>0.68527217512538352</v>
      </c>
      <c r="FF36" s="22">
        <f t="shared" si="129"/>
        <v>0.13556873034453618</v>
      </c>
      <c r="FG36" s="22">
        <f t="shared" si="130"/>
        <v>0.74647300789304649</v>
      </c>
      <c r="FH36" s="22">
        <f t="shared" si="131"/>
        <v>0.14767621040210929</v>
      </c>
      <c r="FI36" s="58">
        <f t="shared" si="132"/>
        <v>0.51153718179125551</v>
      </c>
      <c r="FJ36" s="15">
        <f t="shared" si="253"/>
        <v>1.0003130168495895</v>
      </c>
      <c r="FL36" s="1">
        <f t="shared" si="28"/>
        <v>1350</v>
      </c>
      <c r="FM36" s="1">
        <f t="shared" si="134"/>
        <v>20</v>
      </c>
      <c r="FO36" s="1">
        <f t="shared" si="29"/>
        <v>0.6527737408131854</v>
      </c>
      <c r="FP36" s="1">
        <f t="shared" si="254"/>
        <v>1552.5186100415494</v>
      </c>
      <c r="FR36" s="1">
        <f t="shared" si="30"/>
        <v>1333.8576473690709</v>
      </c>
      <c r="FS36" s="1">
        <f t="shared" si="31"/>
        <v>1256.3648728478888</v>
      </c>
      <c r="FT36" s="1">
        <f t="shared" si="32"/>
        <v>1543.4519438746954</v>
      </c>
      <c r="FU36" s="1">
        <f t="shared" si="33"/>
        <v>1371.232303279611</v>
      </c>
      <c r="FV36" s="1">
        <f t="shared" si="136"/>
        <v>0.51346730222351589</v>
      </c>
      <c r="FW36" s="1">
        <f t="shared" si="255"/>
        <v>1707.7933829251028</v>
      </c>
      <c r="FX36" s="1">
        <f t="shared" si="34"/>
        <v>1476.6821153989981</v>
      </c>
      <c r="FZ36" s="1">
        <f t="shared" si="138"/>
        <v>1314.9090257549974</v>
      </c>
      <c r="GA36" s="1">
        <f t="shared" si="256"/>
        <v>1276.2743324152084</v>
      </c>
      <c r="GC36" s="1">
        <f t="shared" si="35"/>
        <v>88.955470746216037</v>
      </c>
      <c r="GD36" s="1">
        <f t="shared" si="36"/>
        <v>62.198009225576655</v>
      </c>
      <c r="GF36" s="1">
        <f t="shared" si="257"/>
        <v>25.784200000000002</v>
      </c>
      <c r="GG36" s="1">
        <f t="shared" si="258"/>
        <v>30.710799999999999</v>
      </c>
      <c r="GH36" s="1">
        <f t="shared" si="259"/>
        <v>-6.3800000000000026</v>
      </c>
      <c r="GI36" s="1">
        <f t="shared" si="37"/>
        <v>756.38267673778671</v>
      </c>
      <c r="GJ36" s="1">
        <f t="shared" si="38"/>
        <v>1715.0065588407278</v>
      </c>
      <c r="GL36" s="1">
        <f t="shared" si="143"/>
        <v>1266.2878062838759</v>
      </c>
      <c r="GM36" s="1">
        <f t="shared" si="203"/>
        <v>1446.6286983640393</v>
      </c>
      <c r="GO36" s="1">
        <f t="shared" si="144"/>
        <v>1385.9997891147441</v>
      </c>
      <c r="GQ36" s="1">
        <f t="shared" si="39"/>
        <v>22.502017839435986</v>
      </c>
      <c r="GR36" s="1">
        <f t="shared" si="145"/>
        <v>2.502017839435986</v>
      </c>
      <c r="GS36" s="2">
        <f t="shared" si="40"/>
        <v>20</v>
      </c>
    </row>
    <row r="37" spans="1:201" ht="13.8" x14ac:dyDescent="0.25">
      <c r="A37" s="1" t="s">
        <v>13</v>
      </c>
      <c r="B37" s="1" t="s">
        <v>14</v>
      </c>
      <c r="C37" s="23">
        <v>1</v>
      </c>
      <c r="D37" s="2">
        <v>1270</v>
      </c>
      <c r="F37" s="1">
        <v>200</v>
      </c>
      <c r="G37" s="23">
        <v>52.98</v>
      </c>
      <c r="H37" s="23">
        <v>0.14000000000000001</v>
      </c>
      <c r="I37" s="23">
        <v>5.04</v>
      </c>
      <c r="J37" s="23">
        <v>3.48</v>
      </c>
      <c r="K37" s="23">
        <v>0.11</v>
      </c>
      <c r="L37" s="23">
        <v>19.61</v>
      </c>
      <c r="M37" s="23">
        <v>17.760000000000002</v>
      </c>
      <c r="N37" s="23">
        <v>0.23</v>
      </c>
      <c r="O37" s="23">
        <v>0</v>
      </c>
      <c r="P37" s="23">
        <v>1.36</v>
      </c>
      <c r="R37" s="23">
        <v>56.89</v>
      </c>
      <c r="S37" s="23">
        <v>0.04</v>
      </c>
      <c r="T37" s="23">
        <v>3.19</v>
      </c>
      <c r="U37" s="23">
        <v>5.48</v>
      </c>
      <c r="V37" s="23">
        <v>0.1</v>
      </c>
      <c r="W37" s="23">
        <v>33.72</v>
      </c>
      <c r="X37" s="23">
        <v>1.05</v>
      </c>
      <c r="Y37" s="23">
        <v>0</v>
      </c>
      <c r="Z37" s="23">
        <v>0</v>
      </c>
      <c r="AA37" s="23">
        <v>0.84</v>
      </c>
      <c r="AC37" s="50">
        <f t="shared" ca="1" si="41"/>
        <v>1178.0096494129518</v>
      </c>
      <c r="AD37" s="50">
        <f t="shared" ca="1" si="0"/>
        <v>5.3666073031757691</v>
      </c>
      <c r="AE37" s="66">
        <f t="shared" si="42"/>
        <v>0.90946147675255218</v>
      </c>
      <c r="AF37" s="27">
        <f t="shared" ca="1" si="1"/>
        <v>1253.4273401951045</v>
      </c>
      <c r="AG37" s="27"/>
      <c r="AH37" s="27">
        <f t="shared" ca="1" si="2"/>
        <v>1178.0096494129518</v>
      </c>
      <c r="AI37" s="27">
        <f t="shared" ca="1" si="3"/>
        <v>1204.3290391938679</v>
      </c>
      <c r="AJ37" s="27">
        <f t="shared" si="4"/>
        <v>10.816913618501887</v>
      </c>
      <c r="AK37" s="27">
        <f t="shared" ca="1" si="5"/>
        <v>5.3666073031757691</v>
      </c>
      <c r="AL37" s="27">
        <f t="shared" si="43"/>
        <v>1308.5661300392221</v>
      </c>
      <c r="AM37" s="27">
        <f t="shared" si="44"/>
        <v>1530.4133318514728</v>
      </c>
      <c r="AN37" s="27">
        <f t="shared" si="45"/>
        <v>1257.2633318514727</v>
      </c>
      <c r="AO37" s="29">
        <f t="shared" ca="1" si="6"/>
        <v>1165.2529055073428</v>
      </c>
      <c r="AP37" s="42">
        <f t="shared" si="7"/>
        <v>1.0919648473704386</v>
      </c>
      <c r="AQ37" s="44"/>
      <c r="AR37" s="1">
        <f t="shared" si="8"/>
        <v>0.11906822682739959</v>
      </c>
      <c r="AT37" s="1">
        <f t="shared" si="46"/>
        <v>0.88176112561850595</v>
      </c>
      <c r="AU37" s="1">
        <f t="shared" si="47"/>
        <v>1.7526552727381987E-3</v>
      </c>
      <c r="AV37" s="1">
        <f t="shared" si="48"/>
        <v>4.9430664665901666E-2</v>
      </c>
      <c r="AW37" s="1">
        <f t="shared" si="49"/>
        <v>4.8436664885088188E-2</v>
      </c>
      <c r="AX37" s="1">
        <f t="shared" si="50"/>
        <v>1.5506607929515418E-3</v>
      </c>
      <c r="AY37" s="1">
        <f t="shared" si="51"/>
        <v>0.48654737448020563</v>
      </c>
      <c r="AZ37" s="1">
        <f t="shared" si="52"/>
        <v>0.31670512541594303</v>
      </c>
      <c r="BA37" s="1">
        <f t="shared" si="53"/>
        <v>3.7109403361466563E-3</v>
      </c>
      <c r="BB37" s="1">
        <f t="shared" si="54"/>
        <v>0</v>
      </c>
      <c r="BC37" s="1">
        <f t="shared" si="55"/>
        <v>8.947474377986056E-3</v>
      </c>
      <c r="BD37" s="1">
        <f t="shared" si="204"/>
        <v>1.7988426858454667</v>
      </c>
      <c r="BF37" s="15">
        <f t="shared" ref="BF37:BG38" si="262">AT37*2</f>
        <v>1.7635222512370119</v>
      </c>
      <c r="BG37" s="15">
        <f t="shared" si="262"/>
        <v>3.5053105454763973E-3</v>
      </c>
      <c r="BH37" s="15">
        <f t="shared" si="206"/>
        <v>0.14829199399770499</v>
      </c>
      <c r="BI37" s="15">
        <f t="shared" ref="BI37:BN38" si="263">AW37</f>
        <v>4.8436664885088188E-2</v>
      </c>
      <c r="BJ37" s="15">
        <f t="shared" si="263"/>
        <v>1.5506607929515418E-3</v>
      </c>
      <c r="BK37" s="15">
        <f t="shared" si="263"/>
        <v>0.48654737448020563</v>
      </c>
      <c r="BL37" s="15">
        <f t="shared" si="263"/>
        <v>0.31670512541594303</v>
      </c>
      <c r="BM37" s="15">
        <f t="shared" si="263"/>
        <v>3.7109403361466563E-3</v>
      </c>
      <c r="BN37" s="15">
        <f t="shared" si="263"/>
        <v>0</v>
      </c>
      <c r="BO37" s="15">
        <f t="shared" si="209"/>
        <v>2.6842423133958168E-2</v>
      </c>
      <c r="BP37" s="15">
        <f t="shared" si="210"/>
        <v>2.799112744824487</v>
      </c>
      <c r="BQ37" s="15">
        <f t="shared" si="211"/>
        <v>2.1435363799096341</v>
      </c>
      <c r="BS37" s="22">
        <f t="shared" si="63"/>
        <v>1.8900870511533363</v>
      </c>
      <c r="BT37" s="22">
        <f t="shared" si="64"/>
        <v>3.7568803385547708E-3</v>
      </c>
      <c r="BU37" s="22">
        <f t="shared" si="212"/>
        <v>0.10991294884666369</v>
      </c>
      <c r="BV37" s="22">
        <f t="shared" si="213"/>
        <v>0.10199990714228416</v>
      </c>
      <c r="BW37" s="22">
        <f t="shared" si="67"/>
        <v>0.21191285598894785</v>
      </c>
      <c r="BX37" s="22">
        <f t="shared" si="68"/>
        <v>0.10382575330267803</v>
      </c>
      <c r="BY37" s="22">
        <f t="shared" si="69"/>
        <v>3.3238978225911507E-3</v>
      </c>
      <c r="BZ37" s="22">
        <f t="shared" si="70"/>
        <v>1.0429319977478371</v>
      </c>
      <c r="CA37" s="22">
        <f t="shared" si="71"/>
        <v>0.67886895803291714</v>
      </c>
      <c r="CB37" s="22">
        <f t="shared" si="72"/>
        <v>1.5909071228408889E-2</v>
      </c>
      <c r="CC37" s="22">
        <f t="shared" si="73"/>
        <v>0</v>
      </c>
      <c r="CD37" s="22">
        <f t="shared" si="74"/>
        <v>3.8358473675044871E-2</v>
      </c>
      <c r="CE37" s="15">
        <f t="shared" si="214"/>
        <v>3.9889749392903164</v>
      </c>
      <c r="CF37" s="15">
        <f t="shared" si="215"/>
        <v>0</v>
      </c>
      <c r="CG37" s="15">
        <f t="shared" si="216"/>
        <v>-3.3166598068360642E-2</v>
      </c>
      <c r="CH37" s="15">
        <f t="shared" si="217"/>
        <v>1.5909071228408889E-2</v>
      </c>
      <c r="CI37" s="15">
        <f t="shared" si="218"/>
        <v>8.6090835913875272E-2</v>
      </c>
      <c r="CJ37" s="15">
        <f t="shared" si="219"/>
        <v>1.1911056466394211E-2</v>
      </c>
      <c r="CK37" s="15">
        <f t="shared" si="220"/>
        <v>1.9179236837522436E-2</v>
      </c>
      <c r="CL37" s="15">
        <f t="shared" si="221"/>
        <v>0.56168782881512525</v>
      </c>
      <c r="CM37" s="15">
        <f t="shared" si="222"/>
        <v>0.29253496111769495</v>
      </c>
      <c r="CN37" s="15">
        <f t="shared" si="223"/>
        <v>0.26528035788459559</v>
      </c>
      <c r="CO37" s="15">
        <f t="shared" si="224"/>
        <v>0.50935706172756945</v>
      </c>
      <c r="CP37" s="15">
        <f t="shared" si="225"/>
        <v>0.98731299037902098</v>
      </c>
      <c r="CQ37" s="15">
        <f t="shared" si="226"/>
        <v>0.56168782881512525</v>
      </c>
      <c r="CR37" s="15"/>
      <c r="CS37" s="1">
        <f t="shared" si="227"/>
        <v>0.90946147675255218</v>
      </c>
      <c r="CT37" s="15">
        <f t="shared" si="228"/>
        <v>0.10382575330267803</v>
      </c>
      <c r="CU37" s="59">
        <f t="shared" si="90"/>
        <v>0.29807381701799351</v>
      </c>
      <c r="CV37" s="22">
        <f t="shared" si="91"/>
        <v>0.53391994329747383</v>
      </c>
      <c r="CW37" s="22">
        <f t="shared" si="229"/>
        <v>0.42089800255684828</v>
      </c>
      <c r="CX37" s="22">
        <f t="shared" si="11"/>
        <v>0.77839419851914238</v>
      </c>
      <c r="CY37" s="22">
        <f t="shared" si="12"/>
        <v>7.7490540324973822E-2</v>
      </c>
      <c r="CZ37" s="22">
        <f t="shared" si="13"/>
        <v>0.27456466722301037</v>
      </c>
      <c r="DA37" s="22">
        <f t="shared" si="14"/>
        <v>2.7333405693072462E-2</v>
      </c>
      <c r="DB37" s="22">
        <f t="shared" si="15"/>
        <v>0.21371954408473021</v>
      </c>
      <c r="DC37" s="22">
        <f t="shared" si="16"/>
        <v>0.26459991747247941</v>
      </c>
      <c r="DD37" s="1">
        <f t="shared" si="17"/>
        <v>0.9468363615786487</v>
      </c>
      <c r="DE37" s="1">
        <f t="shared" si="18"/>
        <v>5.0075864935377097E-4</v>
      </c>
      <c r="DF37" s="1">
        <f t="shared" si="19"/>
        <v>3.1286472278616334E-2</v>
      </c>
      <c r="DG37" s="1">
        <f t="shared" si="20"/>
        <v>7.6273828612150374E-2</v>
      </c>
      <c r="DH37" s="1">
        <f t="shared" si="21"/>
        <v>1.4096916299559472E-3</v>
      </c>
      <c r="DI37" s="1">
        <f t="shared" si="22"/>
        <v>0.83663322118676864</v>
      </c>
      <c r="DJ37" s="1">
        <f t="shared" si="23"/>
        <v>1.8724120590469604E-2</v>
      </c>
      <c r="DK37" s="1">
        <f t="shared" si="24"/>
        <v>0</v>
      </c>
      <c r="DL37" s="1">
        <f t="shared" si="25"/>
        <v>0</v>
      </c>
      <c r="DM37" s="1">
        <f t="shared" si="26"/>
        <v>5.5263812334619749E-3</v>
      </c>
      <c r="DN37" s="1">
        <f t="shared" si="230"/>
        <v>1.9171908357594254</v>
      </c>
      <c r="DP37" s="15">
        <f t="shared" ref="DP37:DQ38" si="264">DD37*2</f>
        <v>1.8936727231572974</v>
      </c>
      <c r="DQ37" s="15">
        <f t="shared" si="264"/>
        <v>1.0015172987075419E-3</v>
      </c>
      <c r="DR37" s="15">
        <f t="shared" si="232"/>
        <v>9.3859416835849002E-2</v>
      </c>
      <c r="DS37" s="15">
        <f t="shared" ref="DS37:DX38" si="265">DG37</f>
        <v>7.6273828612150374E-2</v>
      </c>
      <c r="DT37" s="15">
        <f t="shared" si="265"/>
        <v>1.4096916299559472E-3</v>
      </c>
      <c r="DU37" s="15">
        <f t="shared" si="265"/>
        <v>0.83663322118676864</v>
      </c>
      <c r="DV37" s="15">
        <f t="shared" si="265"/>
        <v>1.8724120590469604E-2</v>
      </c>
      <c r="DW37" s="15">
        <f t="shared" si="265"/>
        <v>0</v>
      </c>
      <c r="DX37" s="15">
        <f t="shared" si="265"/>
        <v>0</v>
      </c>
      <c r="DY37" s="15">
        <f t="shared" si="235"/>
        <v>1.6579143700385924E-2</v>
      </c>
      <c r="DZ37" s="15">
        <f t="shared" si="236"/>
        <v>2.9381536630115841</v>
      </c>
      <c r="EA37" s="15">
        <f t="shared" si="237"/>
        <v>2.0420987763621756</v>
      </c>
      <c r="EC37" s="22">
        <f t="shared" si="100"/>
        <v>1.9335333753949731</v>
      </c>
      <c r="ED37" s="22">
        <f t="shared" si="101"/>
        <v>1.0225986250981115E-3</v>
      </c>
      <c r="EE37" s="22">
        <f t="shared" si="238"/>
        <v>6.6466624605026947E-2</v>
      </c>
      <c r="EF37" s="22">
        <f t="shared" si="239"/>
        <v>6.1313508908676151E-2</v>
      </c>
      <c r="EG37" s="22">
        <f t="shared" si="104"/>
        <v>0.1277801335137031</v>
      </c>
      <c r="EH37" s="22">
        <f t="shared" si="105"/>
        <v>0.15575869207733059</v>
      </c>
      <c r="EI37" s="22">
        <f t="shared" si="106"/>
        <v>2.8787295525810408E-3</v>
      </c>
      <c r="EJ37" s="22">
        <f t="shared" si="107"/>
        <v>1.7084876772494457</v>
      </c>
      <c r="EK37" s="22">
        <f t="shared" si="108"/>
        <v>3.8236503746255798E-2</v>
      </c>
      <c r="EL37" s="22">
        <f t="shared" si="109"/>
        <v>0</v>
      </c>
      <c r="EM37" s="22">
        <f t="shared" si="110"/>
        <v>0</v>
      </c>
      <c r="EN37" s="22">
        <f t="shared" si="111"/>
        <v>2.257083270912718E-2</v>
      </c>
      <c r="EO37" s="15">
        <f t="shared" si="240"/>
        <v>3.9902685428685141</v>
      </c>
      <c r="EP37" s="15">
        <f t="shared" si="241"/>
        <v>0</v>
      </c>
      <c r="EQ37" s="15">
        <f t="shared" si="242"/>
        <v>-2.926557055578094E-2</v>
      </c>
      <c r="ER37" s="15">
        <f t="shared" si="243"/>
        <v>0</v>
      </c>
      <c r="ES37" s="15">
        <f t="shared" si="244"/>
        <v>1.0225986250981115E-3</v>
      </c>
      <c r="ET37" s="15">
        <f t="shared" si="245"/>
        <v>2.257083270912718E-2</v>
      </c>
      <c r="EU37" s="15">
        <f t="shared" si="246"/>
        <v>3.8742676199548971E-2</v>
      </c>
      <c r="EV37" s="15">
        <f t="shared" si="247"/>
        <v>3.8236503746255798E-2</v>
      </c>
      <c r="EW37" s="15">
        <f t="shared" si="248"/>
        <v>0.89456166015422722</v>
      </c>
      <c r="EX37" s="15">
        <f t="shared" si="249"/>
        <v>0.81855660010709153</v>
      </c>
      <c r="EY37" s="15">
        <f t="shared" si="250"/>
        <v>3.498779782393216E-2</v>
      </c>
      <c r="EZ37" s="59">
        <f t="shared" si="123"/>
        <v>0.73724298509797148</v>
      </c>
      <c r="FA37" s="15">
        <f t="shared" si="124"/>
        <v>3.8236503746255798E-2</v>
      </c>
      <c r="FB37" s="15">
        <f t="shared" si="251"/>
        <v>8.3550487017216915E-2</v>
      </c>
      <c r="FC37" s="15">
        <f t="shared" si="252"/>
        <v>0.76004209728520633</v>
      </c>
      <c r="FD37" s="22">
        <f t="shared" si="127"/>
        <v>0.9164495129827831</v>
      </c>
      <c r="FE37" s="22">
        <f t="shared" si="128"/>
        <v>0.83863658894831783</v>
      </c>
      <c r="FF37" s="22">
        <f t="shared" si="129"/>
        <v>7.6456470808780749E-2</v>
      </c>
      <c r="FG37" s="22">
        <f t="shared" si="130"/>
        <v>0.87876947744989065</v>
      </c>
      <c r="FH37" s="22">
        <f t="shared" si="131"/>
        <v>8.0115289251272592E-2</v>
      </c>
      <c r="FI37" s="58">
        <f t="shared" si="132"/>
        <v>0.73696823704047199</v>
      </c>
      <c r="FJ37" s="15">
        <f t="shared" si="253"/>
        <v>0.99513427143425726</v>
      </c>
      <c r="FL37" s="1">
        <f t="shared" si="28"/>
        <v>1270</v>
      </c>
      <c r="FM37" s="1">
        <f t="shared" si="134"/>
        <v>10</v>
      </c>
      <c r="FO37" s="1">
        <f t="shared" si="29"/>
        <v>0.31889361992379023</v>
      </c>
      <c r="FP37" s="1">
        <f t="shared" si="254"/>
        <v>1316.9197473883423</v>
      </c>
      <c r="FR37" s="1">
        <f t="shared" si="30"/>
        <v>1206.4534046689378</v>
      </c>
      <c r="FS37" s="1">
        <f t="shared" si="31"/>
        <v>1076.7986804827628</v>
      </c>
      <c r="FT37" s="1">
        <f t="shared" si="32"/>
        <v>1278.6380748880702</v>
      </c>
      <c r="FU37" s="1">
        <f t="shared" si="33"/>
        <v>1152.5054884052993</v>
      </c>
      <c r="FV37" s="1">
        <f t="shared" si="136"/>
        <v>0.28999831111173574</v>
      </c>
      <c r="FW37" s="1">
        <f t="shared" si="255"/>
        <v>1336.1087263542768</v>
      </c>
      <c r="FX37" s="1">
        <f t="shared" si="34"/>
        <v>1106.4763062212091</v>
      </c>
      <c r="FZ37" s="1">
        <f t="shared" si="138"/>
        <v>1308.5661300392221</v>
      </c>
      <c r="GA37" s="1">
        <f t="shared" si="256"/>
        <v>769.80385658195576</v>
      </c>
      <c r="GC37" s="1">
        <f t="shared" si="35"/>
        <v>79.364182714054451</v>
      </c>
      <c r="GD37" s="1">
        <f t="shared" si="36"/>
        <v>56.45933480311021</v>
      </c>
      <c r="GF37" s="1">
        <f t="shared" si="257"/>
        <v>26.007100000000001</v>
      </c>
      <c r="GG37" s="1">
        <f t="shared" si="258"/>
        <v>31.575399999999998</v>
      </c>
      <c r="GH37" s="1">
        <f t="shared" si="259"/>
        <v>11.11</v>
      </c>
      <c r="GI37" s="1">
        <f t="shared" si="37"/>
        <v>720.24171785663225</v>
      </c>
      <c r="GJ37" s="1">
        <f t="shared" si="38"/>
        <v>1086.4457028236016</v>
      </c>
      <c r="GL37" s="1">
        <f t="shared" si="143"/>
        <v>1036.6299754265224</v>
      </c>
      <c r="GM37" s="1" t="e">
        <f t="shared" si="203"/>
        <v>#NUM!</v>
      </c>
      <c r="GO37" s="1">
        <f t="shared" si="144"/>
        <v>1257.2633318514727</v>
      </c>
      <c r="GQ37" s="1">
        <f t="shared" si="39"/>
        <v>10.816913618501887</v>
      </c>
      <c r="GR37" s="1">
        <f t="shared" si="145"/>
        <v>0.81691361850188748</v>
      </c>
      <c r="GS37" s="2">
        <f t="shared" si="40"/>
        <v>10</v>
      </c>
    </row>
    <row r="38" spans="1:201" ht="13.8" x14ac:dyDescent="0.25">
      <c r="A38" s="1" t="s">
        <v>13</v>
      </c>
      <c r="B38" s="1" t="s">
        <v>15</v>
      </c>
      <c r="C38" s="23">
        <v>1</v>
      </c>
      <c r="D38" s="2">
        <v>1300</v>
      </c>
      <c r="F38" s="1">
        <v>199</v>
      </c>
      <c r="G38" s="23">
        <v>53.77</v>
      </c>
      <c r="H38" s="23">
        <v>0.11</v>
      </c>
      <c r="I38" s="23">
        <v>4.3099999999999996</v>
      </c>
      <c r="J38" s="23">
        <v>3.6</v>
      </c>
      <c r="K38" s="23">
        <v>0.11</v>
      </c>
      <c r="L38" s="23">
        <v>20.51</v>
      </c>
      <c r="M38" s="23">
        <v>16.95</v>
      </c>
      <c r="N38" s="23">
        <v>0.23</v>
      </c>
      <c r="O38" s="23">
        <v>0</v>
      </c>
      <c r="P38" s="23">
        <v>1.51</v>
      </c>
      <c r="R38" s="23">
        <v>56.66</v>
      </c>
      <c r="S38" s="23">
        <v>0.05</v>
      </c>
      <c r="T38" s="23">
        <v>3.47</v>
      </c>
      <c r="U38" s="23">
        <v>5.4</v>
      </c>
      <c r="V38" s="23">
        <v>0.12</v>
      </c>
      <c r="W38" s="23">
        <v>32.82</v>
      </c>
      <c r="X38" s="23">
        <v>1.56</v>
      </c>
      <c r="Y38" s="23">
        <v>0.04</v>
      </c>
      <c r="Z38" s="23">
        <v>0</v>
      </c>
      <c r="AA38" s="23">
        <v>0.94</v>
      </c>
      <c r="AC38" s="50">
        <f t="shared" ca="1" si="41"/>
        <v>1265.2992096911789</v>
      </c>
      <c r="AD38" s="50">
        <f t="shared" ca="1" si="0"/>
        <v>10.321434468848464</v>
      </c>
      <c r="AE38" s="66">
        <f t="shared" si="42"/>
        <v>0.91036082523446427</v>
      </c>
      <c r="AF38" s="27">
        <f t="shared" ca="1" si="1"/>
        <v>1291.1186310601838</v>
      </c>
      <c r="AG38" s="27"/>
      <c r="AH38" s="27">
        <f t="shared" ca="1" si="2"/>
        <v>1265.2992096911789</v>
      </c>
      <c r="AI38" s="27">
        <f t="shared" ca="1" si="3"/>
        <v>1265.4249666995356</v>
      </c>
      <c r="AJ38" s="27">
        <f t="shared" si="4"/>
        <v>10.289105366948233</v>
      </c>
      <c r="AK38" s="27">
        <f t="shared" ca="1" si="5"/>
        <v>10.321434468848464</v>
      </c>
      <c r="AL38" s="27">
        <f t="shared" si="43"/>
        <v>1348.5231698911757</v>
      </c>
      <c r="AM38" s="27">
        <f t="shared" si="44"/>
        <v>1584.335240164432</v>
      </c>
      <c r="AN38" s="27">
        <f t="shared" si="45"/>
        <v>1311.1852401644319</v>
      </c>
      <c r="AO38" s="29">
        <f t="shared" ca="1" si="6"/>
        <v>1245.2280397198379</v>
      </c>
      <c r="AP38" s="42">
        <f t="shared" si="7"/>
        <v>1.066796684544125</v>
      </c>
      <c r="AQ38" s="44"/>
      <c r="AR38" s="1">
        <f t="shared" si="8"/>
        <v>0.1601941348818498</v>
      </c>
      <c r="AT38" s="1">
        <f t="shared" si="46"/>
        <v>0.89490931907336868</v>
      </c>
      <c r="AU38" s="1">
        <f t="shared" si="47"/>
        <v>1.3770862857228701E-3</v>
      </c>
      <c r="AV38" s="1">
        <f t="shared" si="48"/>
        <v>4.2271064426594479E-2</v>
      </c>
      <c r="AW38" s="1">
        <f t="shared" si="49"/>
        <v>5.0106894708711922E-2</v>
      </c>
      <c r="AX38" s="1">
        <f t="shared" si="50"/>
        <v>1.5506607929515418E-3</v>
      </c>
      <c r="AY38" s="1">
        <f t="shared" si="51"/>
        <v>0.50887744266134716</v>
      </c>
      <c r="AZ38" s="1">
        <f t="shared" si="52"/>
        <v>0.30226080381758069</v>
      </c>
      <c r="BA38" s="1">
        <f t="shared" si="53"/>
        <v>3.7109403361466563E-3</v>
      </c>
      <c r="BB38" s="1">
        <f t="shared" si="54"/>
        <v>0</v>
      </c>
      <c r="BC38" s="1">
        <f t="shared" si="55"/>
        <v>9.9343281696756946E-3</v>
      </c>
      <c r="BD38" s="1">
        <f t="shared" si="204"/>
        <v>1.8149985402720996</v>
      </c>
      <c r="BF38" s="15">
        <f t="shared" si="262"/>
        <v>1.7898186381467374</v>
      </c>
      <c r="BG38" s="15">
        <f t="shared" si="262"/>
        <v>2.7541725714457402E-3</v>
      </c>
      <c r="BH38" s="15">
        <f t="shared" si="206"/>
        <v>0.12681319327978344</v>
      </c>
      <c r="BI38" s="15">
        <f t="shared" si="263"/>
        <v>5.0106894708711922E-2</v>
      </c>
      <c r="BJ38" s="15">
        <f t="shared" si="263"/>
        <v>1.5506607929515418E-3</v>
      </c>
      <c r="BK38" s="15">
        <f t="shared" si="263"/>
        <v>0.50887744266134716</v>
      </c>
      <c r="BL38" s="15">
        <f t="shared" si="263"/>
        <v>0.30226080381758069</v>
      </c>
      <c r="BM38" s="15">
        <f t="shared" si="263"/>
        <v>3.7109403361466563E-3</v>
      </c>
      <c r="BN38" s="15">
        <f t="shared" si="263"/>
        <v>0</v>
      </c>
      <c r="BO38" s="15">
        <f t="shared" si="209"/>
        <v>2.9802984509027082E-2</v>
      </c>
      <c r="BP38" s="15">
        <f t="shared" si="210"/>
        <v>2.815695730823732</v>
      </c>
      <c r="BQ38" s="15">
        <f t="shared" si="211"/>
        <v>2.1309120635150087</v>
      </c>
      <c r="BS38" s="22">
        <f t="shared" si="63"/>
        <v>1.9069730637654434</v>
      </c>
      <c r="BT38" s="22">
        <f t="shared" si="64"/>
        <v>2.9344497787479398E-3</v>
      </c>
      <c r="BU38" s="22">
        <f t="shared" si="212"/>
        <v>9.3026936234556601E-2</v>
      </c>
      <c r="BV38" s="22">
        <f t="shared" si="213"/>
        <v>8.7124906013944042E-2</v>
      </c>
      <c r="BW38" s="22">
        <f t="shared" si="67"/>
        <v>0.18015184224850064</v>
      </c>
      <c r="BX38" s="22">
        <f t="shared" si="68"/>
        <v>0.1067733864000706</v>
      </c>
      <c r="BY38" s="22">
        <f t="shared" si="69"/>
        <v>3.3043217901201896E-3</v>
      </c>
      <c r="BZ38" s="22">
        <f t="shared" si="70"/>
        <v>1.0843730814177317</v>
      </c>
      <c r="CA38" s="22">
        <f t="shared" si="71"/>
        <v>0.64409119318262609</v>
      </c>
      <c r="CB38" s="22">
        <f t="shared" si="72"/>
        <v>1.5815375058558703E-2</v>
      </c>
      <c r="CC38" s="22">
        <f t="shared" si="73"/>
        <v>0</v>
      </c>
      <c r="CD38" s="22">
        <f t="shared" si="74"/>
        <v>4.233835947935783E-2</v>
      </c>
      <c r="CE38" s="15">
        <f t="shared" si="214"/>
        <v>3.9867550731211567</v>
      </c>
      <c r="CF38" s="15">
        <f t="shared" si="215"/>
        <v>0</v>
      </c>
      <c r="CG38" s="15">
        <f t="shared" si="216"/>
        <v>-3.9866788812208398E-2</v>
      </c>
      <c r="CH38" s="15">
        <f t="shared" si="217"/>
        <v>1.5815375058558703E-2</v>
      </c>
      <c r="CI38" s="15">
        <f t="shared" si="218"/>
        <v>7.1309530955385336E-2</v>
      </c>
      <c r="CJ38" s="15">
        <f t="shared" si="219"/>
        <v>1.0858702639585632E-2</v>
      </c>
      <c r="CK38" s="15">
        <f t="shared" si="220"/>
        <v>2.1169179739678915E-2</v>
      </c>
      <c r="CL38" s="15">
        <f t="shared" si="221"/>
        <v>0.54075377984797623</v>
      </c>
      <c r="CM38" s="15">
        <f t="shared" si="222"/>
        <v>0.32519634398491304</v>
      </c>
      <c r="CN38" s="15">
        <f t="shared" si="223"/>
        <v>0.2952270320893276</v>
      </c>
      <c r="CO38" s="15">
        <f t="shared" si="224"/>
        <v>0.49091921378737929</v>
      </c>
      <c r="CP38" s="15">
        <f t="shared" si="225"/>
        <v>0.98510291222609792</v>
      </c>
      <c r="CQ38" s="15">
        <f t="shared" si="226"/>
        <v>0.54075377984797623</v>
      </c>
      <c r="CR38" s="15"/>
      <c r="CS38" s="1">
        <f t="shared" si="227"/>
        <v>0.91036082523446427</v>
      </c>
      <c r="CT38" s="15">
        <f t="shared" si="228"/>
        <v>0.1067733864000706</v>
      </c>
      <c r="CU38" s="59">
        <f t="shared" si="90"/>
        <v>0.32079837485077217</v>
      </c>
      <c r="CV38" s="22">
        <f t="shared" si="91"/>
        <v>0.51167724547280768</v>
      </c>
      <c r="CW38" s="22">
        <f t="shared" si="229"/>
        <v>0.44763665422138965</v>
      </c>
      <c r="CX38" s="22">
        <f t="shared" si="11"/>
        <v>0.78983113190024334</v>
      </c>
      <c r="CY38" s="22">
        <f t="shared" si="12"/>
        <v>7.7771152827706816E-2</v>
      </c>
      <c r="CZ38" s="22">
        <f t="shared" si="13"/>
        <v>0.30659961208108194</v>
      </c>
      <c r="DA38" s="22">
        <f t="shared" si="14"/>
        <v>3.018949788761309E-2</v>
      </c>
      <c r="DB38" s="22">
        <f t="shared" si="15"/>
        <v>0.24216191865017647</v>
      </c>
      <c r="DC38" s="22">
        <f t="shared" si="16"/>
        <v>0.29957035105053698</v>
      </c>
      <c r="DD38" s="1">
        <f t="shared" si="17"/>
        <v>0.94300840652216966</v>
      </c>
      <c r="DE38" s="1">
        <f t="shared" si="18"/>
        <v>6.2594831169221379E-4</v>
      </c>
      <c r="DF38" s="1">
        <f t="shared" si="19"/>
        <v>3.403262031561087E-2</v>
      </c>
      <c r="DG38" s="1">
        <f t="shared" si="20"/>
        <v>7.5160342063067875E-2</v>
      </c>
      <c r="DH38" s="1">
        <f t="shared" si="21"/>
        <v>1.6916299559471366E-3</v>
      </c>
      <c r="DI38" s="1">
        <f t="shared" si="22"/>
        <v>0.81430315300562717</v>
      </c>
      <c r="DJ38" s="1">
        <f t="shared" si="23"/>
        <v>2.7818693448697696E-2</v>
      </c>
      <c r="DK38" s="1">
        <f t="shared" si="24"/>
        <v>6.4538092802550549E-4</v>
      </c>
      <c r="DL38" s="1">
        <f t="shared" si="25"/>
        <v>0</v>
      </c>
      <c r="DM38" s="1">
        <f t="shared" si="26"/>
        <v>6.1842837612550673E-3</v>
      </c>
      <c r="DN38" s="1">
        <f t="shared" si="230"/>
        <v>1.9034704583120929</v>
      </c>
      <c r="DP38" s="15">
        <f t="shared" si="264"/>
        <v>1.8860168130443393</v>
      </c>
      <c r="DQ38" s="15">
        <f t="shared" si="264"/>
        <v>1.2518966233844276E-3</v>
      </c>
      <c r="DR38" s="15">
        <f t="shared" si="232"/>
        <v>0.10209786094683261</v>
      </c>
      <c r="DS38" s="15">
        <f t="shared" si="265"/>
        <v>7.5160342063067875E-2</v>
      </c>
      <c r="DT38" s="15">
        <f t="shared" si="265"/>
        <v>1.6916299559471366E-3</v>
      </c>
      <c r="DU38" s="15">
        <f t="shared" si="265"/>
        <v>0.81430315300562717</v>
      </c>
      <c r="DV38" s="15">
        <f t="shared" si="265"/>
        <v>2.7818693448697696E-2</v>
      </c>
      <c r="DW38" s="15">
        <f t="shared" si="265"/>
        <v>6.4538092802550549E-4</v>
      </c>
      <c r="DX38" s="15">
        <f t="shared" si="265"/>
        <v>0</v>
      </c>
      <c r="DY38" s="15">
        <f t="shared" si="235"/>
        <v>1.8552851283765201E-2</v>
      </c>
      <c r="DZ38" s="15">
        <f t="shared" si="236"/>
        <v>2.927538621299687</v>
      </c>
      <c r="EA38" s="15">
        <f t="shared" si="237"/>
        <v>2.0495032777180877</v>
      </c>
      <c r="EC38" s="22">
        <f t="shared" si="100"/>
        <v>1.9326988200828976</v>
      </c>
      <c r="ED38" s="22">
        <f t="shared" si="101"/>
        <v>1.2828831164952955E-3</v>
      </c>
      <c r="EE38" s="22">
        <f t="shared" si="238"/>
        <v>6.7301179917102383E-2</v>
      </c>
      <c r="EF38" s="22">
        <f t="shared" si="239"/>
        <v>7.2198753855256925E-2</v>
      </c>
      <c r="EG38" s="22">
        <f t="shared" si="104"/>
        <v>0.13949993377235931</v>
      </c>
      <c r="EH38" s="22">
        <f t="shared" si="105"/>
        <v>0.15404136741267027</v>
      </c>
      <c r="EI38" s="22">
        <f t="shared" si="106"/>
        <v>3.4670011393997608E-3</v>
      </c>
      <c r="EJ38" s="22">
        <f t="shared" si="107"/>
        <v>1.6689169811412063</v>
      </c>
      <c r="EK38" s="22">
        <f t="shared" si="108"/>
        <v>5.7014503404940624E-2</v>
      </c>
      <c r="EL38" s="22">
        <f t="shared" si="109"/>
        <v>2.6454206547300296E-3</v>
      </c>
      <c r="EM38" s="22">
        <f t="shared" si="110"/>
        <v>0</v>
      </c>
      <c r="EN38" s="22">
        <f t="shared" si="111"/>
        <v>2.5349419678062007E-2</v>
      </c>
      <c r="EO38" s="15">
        <f t="shared" si="240"/>
        <v>3.9849163304027613</v>
      </c>
      <c r="EP38" s="15">
        <f t="shared" si="241"/>
        <v>0</v>
      </c>
      <c r="EQ38" s="15">
        <f t="shared" si="242"/>
        <v>-4.5422292504838424E-2</v>
      </c>
      <c r="ER38" s="15">
        <f t="shared" si="243"/>
        <v>2.6454206547300296E-3</v>
      </c>
      <c r="ES38" s="15">
        <f t="shared" si="244"/>
        <v>1.2828831164952955E-3</v>
      </c>
      <c r="ET38" s="15">
        <f t="shared" si="245"/>
        <v>2.5349419678062007E-2</v>
      </c>
      <c r="EU38" s="15">
        <f t="shared" si="246"/>
        <v>4.4203913522464888E-2</v>
      </c>
      <c r="EV38" s="15">
        <f t="shared" si="247"/>
        <v>5.7014503404940624E-2</v>
      </c>
      <c r="EW38" s="15">
        <f t="shared" si="248"/>
        <v>0.86196202482468798</v>
      </c>
      <c r="EX38" s="15">
        <f t="shared" si="249"/>
        <v>0.78762762495076166</v>
      </c>
      <c r="EY38" s="15">
        <f t="shared" si="250"/>
        <v>5.2097652345779205E-2</v>
      </c>
      <c r="EZ38" s="59">
        <f t="shared" si="123"/>
        <v>0.70717288449107729</v>
      </c>
      <c r="FA38" s="15">
        <f t="shared" si="124"/>
        <v>5.7014503404940624E-2</v>
      </c>
      <c r="FB38" s="15">
        <f t="shared" si="251"/>
        <v>8.4500760829159249E-2</v>
      </c>
      <c r="FC38" s="15">
        <f t="shared" si="252"/>
        <v>0.74242669858817578</v>
      </c>
      <c r="FD38" s="22">
        <f t="shared" si="127"/>
        <v>0.91549923917084064</v>
      </c>
      <c r="FE38" s="22">
        <f t="shared" si="128"/>
        <v>0.82501948200148556</v>
      </c>
      <c r="FF38" s="22">
        <f t="shared" si="129"/>
        <v>7.6149461348700306E-2</v>
      </c>
      <c r="FG38" s="22">
        <f t="shared" si="130"/>
        <v>0.85770658717989701</v>
      </c>
      <c r="FH38" s="22">
        <f t="shared" si="131"/>
        <v>7.9166487621032469E-2</v>
      </c>
      <c r="FI38" s="58">
        <f t="shared" si="132"/>
        <v>0.7076246442644204</v>
      </c>
      <c r="FJ38" s="15">
        <f t="shared" si="253"/>
        <v>0.99245816520138086</v>
      </c>
      <c r="FL38" s="1">
        <f t="shared" si="28"/>
        <v>1300</v>
      </c>
      <c r="FM38" s="1">
        <f t="shared" si="134"/>
        <v>10</v>
      </c>
      <c r="FO38" s="1">
        <f t="shared" si="29"/>
        <v>0.36918086660213301</v>
      </c>
      <c r="FP38" s="1">
        <f t="shared" si="254"/>
        <v>1359.0818131884475</v>
      </c>
      <c r="FR38" s="1">
        <f t="shared" si="30"/>
        <v>1276.6297407073216</v>
      </c>
      <c r="FS38" s="1">
        <f t="shared" si="31"/>
        <v>1146.3599727022247</v>
      </c>
      <c r="FT38" s="1">
        <f t="shared" si="32"/>
        <v>1356.6349259269136</v>
      </c>
      <c r="FU38" s="1">
        <f t="shared" si="33"/>
        <v>1226.3904198336584</v>
      </c>
      <c r="FV38" s="1">
        <f t="shared" si="136"/>
        <v>0.34221803976584941</v>
      </c>
      <c r="FW38" s="1">
        <f t="shared" si="255"/>
        <v>1428.6482647997982</v>
      </c>
      <c r="FX38" s="1">
        <f t="shared" si="34"/>
        <v>1237.2302360497856</v>
      </c>
      <c r="FZ38" s="1">
        <f t="shared" si="138"/>
        <v>1348.5231698911757</v>
      </c>
      <c r="GA38" s="1">
        <f t="shared" si="256"/>
        <v>828.35947196360314</v>
      </c>
      <c r="GC38" s="1">
        <f t="shared" si="35"/>
        <v>54.058191148518105</v>
      </c>
      <c r="GD38" s="1">
        <f t="shared" si="36"/>
        <v>40.515591940399233</v>
      </c>
      <c r="GF38" s="1">
        <f t="shared" si="257"/>
        <v>26.007100000000001</v>
      </c>
      <c r="GG38" s="1">
        <f t="shared" si="258"/>
        <v>31.575399999999998</v>
      </c>
      <c r="GH38" s="1">
        <f t="shared" si="259"/>
        <v>11.11</v>
      </c>
      <c r="GI38" s="1">
        <f t="shared" si="37"/>
        <v>786.4460771111643</v>
      </c>
      <c r="GJ38" s="1">
        <f t="shared" si="38"/>
        <v>1193.0220177649726</v>
      </c>
      <c r="GL38" s="1">
        <f t="shared" si="143"/>
        <v>1147.7892710456281</v>
      </c>
      <c r="GM38" s="1">
        <f t="shared" si="203"/>
        <v>1275.4973127585095</v>
      </c>
      <c r="GO38" s="1">
        <f t="shared" si="144"/>
        <v>1311.1852401644319</v>
      </c>
      <c r="GQ38" s="1">
        <f t="shared" si="39"/>
        <v>10.289105366948233</v>
      </c>
      <c r="GR38" s="1">
        <f t="shared" si="145"/>
        <v>0.28910536694823286</v>
      </c>
      <c r="GS38" s="2">
        <f t="shared" si="40"/>
        <v>10</v>
      </c>
    </row>
    <row r="39" spans="1:201" x14ac:dyDescent="0.2">
      <c r="AF39"/>
    </row>
    <row r="40" spans="1:201" x14ac:dyDescent="0.2">
      <c r="AF40"/>
      <c r="CX40" s="22"/>
    </row>
    <row r="41" spans="1:201" x14ac:dyDescent="0.2">
      <c r="AF41"/>
    </row>
    <row r="42" spans="1:201" x14ac:dyDescent="0.2">
      <c r="AF42"/>
    </row>
  </sheetData>
  <phoneticPr fontId="3"/>
  <pageMargins left="0.75" right="0.75" top="1" bottom="1" header="0.5" footer="0.5"/>
  <pageSetup orientation="portrait" horizontalDpi="4294967292" verticalDpi="4294967292"/>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Two-pyx Input &amp; Models</vt:lpstr>
    </vt:vector>
  </TitlesOfParts>
  <Company>CSUF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Putirka</dc:creator>
  <cp:lastModifiedBy>penny wieser</cp:lastModifiedBy>
  <dcterms:created xsi:type="dcterms:W3CDTF">2008-10-11T16:54:59Z</dcterms:created>
  <dcterms:modified xsi:type="dcterms:W3CDTF">2021-06-09T15:53:47Z</dcterms:modified>
</cp:coreProperties>
</file>