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026"/>
  <workbookPr date1904="1"/>
  <mc:AlternateContent xmlns:mc="http://schemas.openxmlformats.org/markup-compatibility/2006">
    <mc:Choice Requires="x15">
      <x15ac:absPath xmlns:x15ac="http://schemas.microsoft.com/office/spreadsheetml/2010/11/ac" url="https://oregonstateuniversity-my.sharepoint.com/personal/wieserp_oregonstate_edu/Documents/Postdoc/PyMME/MyBarometers/Thermobar_outer/Benchmarking/feldspar/"/>
    </mc:Choice>
  </mc:AlternateContent>
  <xr:revisionPtr revIDLastSave="0" documentId="8_{9F4C4853-CF53-4437-9435-8E1603948C22}" xr6:coauthVersionLast="47" xr6:coauthVersionMax="47" xr10:uidLastSave="{00000000-0000-0000-0000-000000000000}"/>
  <bookViews>
    <workbookView xWindow="28680" yWindow="-120" windowWidth="21840" windowHeight="13290" tabRatio="500" activeTab="1"/>
  </bookViews>
  <sheets>
    <sheet name="Instructions" sheetId="3" r:id="rId1"/>
    <sheet name="Feldspar Input &amp;  Models" sheetId="1" r:id="rId2"/>
  </sheets>
  <calcPr calcId="191029" iterate="1" iterateCount="50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T16" i="1" l="1"/>
  <c r="O30" i="1"/>
  <c r="N30" i="1"/>
  <c r="G30" i="1"/>
  <c r="O29" i="1"/>
  <c r="N29" i="1"/>
  <c r="G29" i="1"/>
  <c r="O28" i="1"/>
  <c r="N28" i="1"/>
  <c r="G28" i="1"/>
  <c r="O27" i="1"/>
  <c r="N27" i="1"/>
  <c r="G27" i="1"/>
  <c r="O26" i="1"/>
  <c r="N26" i="1"/>
  <c r="G26" i="1"/>
  <c r="N25" i="1"/>
  <c r="O25" i="1"/>
  <c r="G25" i="1"/>
  <c r="O24" i="1"/>
  <c r="G24" i="1"/>
  <c r="O23" i="1"/>
  <c r="G23" i="1"/>
  <c r="O22" i="1"/>
  <c r="G22" i="1"/>
  <c r="O21" i="1"/>
  <c r="G21" i="1"/>
  <c r="O20" i="1"/>
  <c r="G20" i="1"/>
  <c r="O19" i="1"/>
  <c r="G19" i="1"/>
  <c r="O18" i="1"/>
  <c r="G18" i="1"/>
  <c r="E16" i="1"/>
  <c r="E17" i="1"/>
  <c r="E18" i="1"/>
  <c r="E19" i="1"/>
  <c r="E20" i="1"/>
  <c r="E21" i="1"/>
  <c r="E22" i="1"/>
  <c r="E23" i="1"/>
  <c r="E24" i="1"/>
  <c r="E25" i="1"/>
  <c r="E26" i="1"/>
  <c r="E27" i="1"/>
  <c r="E28" i="1"/>
  <c r="E29" i="1"/>
  <c r="E30" i="1"/>
  <c r="BF10" i="1"/>
  <c r="DD16" i="1"/>
  <c r="DD17" i="1"/>
  <c r="DD18" i="1"/>
  <c r="DD19" i="1"/>
  <c r="DD20" i="1"/>
  <c r="DD21" i="1"/>
  <c r="DD22" i="1"/>
  <c r="DD23" i="1"/>
  <c r="DD24" i="1"/>
  <c r="DD25" i="1"/>
  <c r="DD26" i="1"/>
  <c r="DD27" i="1"/>
  <c r="DD28" i="1"/>
  <c r="DD29" i="1"/>
  <c r="DD30" i="1"/>
  <c r="DE16" i="1"/>
  <c r="DE17" i="1"/>
  <c r="DE18" i="1"/>
  <c r="DE19" i="1"/>
  <c r="DE20" i="1"/>
  <c r="DE21" i="1"/>
  <c r="DE22" i="1"/>
  <c r="DE23" i="1"/>
  <c r="DE24" i="1"/>
  <c r="DE25" i="1"/>
  <c r="DE26" i="1"/>
  <c r="DE27" i="1"/>
  <c r="DE28" i="1"/>
  <c r="DE29" i="1"/>
  <c r="DE30" i="1"/>
  <c r="BC16" i="1"/>
  <c r="BD16" i="1"/>
  <c r="BC17" i="1"/>
  <c r="BD17" i="1"/>
  <c r="AV17" i="1"/>
  <c r="BC18" i="1"/>
  <c r="BD18" i="1"/>
  <c r="BC19" i="1"/>
  <c r="BD19" i="1"/>
  <c r="BC20" i="1"/>
  <c r="BD20" i="1"/>
  <c r="BC21" i="1"/>
  <c r="BD21" i="1"/>
  <c r="BC22" i="1"/>
  <c r="BD22" i="1"/>
  <c r="BC23" i="1"/>
  <c r="BD23" i="1"/>
  <c r="BC24" i="1"/>
  <c r="BD24" i="1"/>
  <c r="BC25" i="1"/>
  <c r="BD25" i="1"/>
  <c r="BC26" i="1"/>
  <c r="BD26" i="1"/>
  <c r="BC27" i="1"/>
  <c r="BD27" i="1"/>
  <c r="BC28" i="1"/>
  <c r="BD28" i="1"/>
  <c r="BC29" i="1"/>
  <c r="BD29" i="1"/>
  <c r="BC30" i="1"/>
  <c r="AV30" i="1"/>
  <c r="BD30" i="1"/>
  <c r="BY16" i="1"/>
  <c r="BS16" i="1"/>
  <c r="BT16" i="1"/>
  <c r="BU16" i="1"/>
  <c r="BV16" i="1"/>
  <c r="BW16" i="1"/>
  <c r="BX16" i="1"/>
  <c r="BZ16" i="1"/>
  <c r="CA16" i="1"/>
  <c r="AW16" i="1"/>
  <c r="AX16" i="1"/>
  <c r="AY16" i="1"/>
  <c r="AZ16" i="1"/>
  <c r="BA16" i="1"/>
  <c r="BB16" i="1"/>
  <c r="BE16" i="1"/>
  <c r="BF16" i="1"/>
  <c r="BY17" i="1"/>
  <c r="BS17" i="1"/>
  <c r="BT17" i="1"/>
  <c r="BU17" i="1"/>
  <c r="BV17" i="1"/>
  <c r="BW17" i="1"/>
  <c r="BX17" i="1"/>
  <c r="BZ17" i="1"/>
  <c r="CA17" i="1"/>
  <c r="AW17" i="1"/>
  <c r="AX17" i="1"/>
  <c r="AY17" i="1"/>
  <c r="AZ17" i="1"/>
  <c r="BA17" i="1"/>
  <c r="BB17" i="1"/>
  <c r="BE17" i="1"/>
  <c r="BF17" i="1"/>
  <c r="BY18" i="1"/>
  <c r="BS18" i="1"/>
  <c r="BT18" i="1"/>
  <c r="BU18" i="1"/>
  <c r="BV18" i="1"/>
  <c r="BW18" i="1"/>
  <c r="BX18" i="1"/>
  <c r="BZ18" i="1"/>
  <c r="CA18" i="1"/>
  <c r="AW18" i="1"/>
  <c r="AX18" i="1"/>
  <c r="AY18" i="1"/>
  <c r="AZ18" i="1"/>
  <c r="BA18" i="1"/>
  <c r="BB18" i="1"/>
  <c r="BE18" i="1"/>
  <c r="BF18" i="1"/>
  <c r="BY19" i="1"/>
  <c r="BS19" i="1"/>
  <c r="BT19" i="1"/>
  <c r="BU19" i="1"/>
  <c r="BV19" i="1"/>
  <c r="BW19" i="1"/>
  <c r="BX19" i="1"/>
  <c r="BZ19" i="1"/>
  <c r="CA19" i="1"/>
  <c r="AW19" i="1"/>
  <c r="AX19" i="1"/>
  <c r="AY19" i="1"/>
  <c r="AZ19" i="1"/>
  <c r="BA19" i="1"/>
  <c r="BB19" i="1"/>
  <c r="BE19" i="1"/>
  <c r="BF19" i="1"/>
  <c r="BY20" i="1"/>
  <c r="BS20" i="1"/>
  <c r="BT20" i="1"/>
  <c r="BU20" i="1"/>
  <c r="BV20" i="1"/>
  <c r="BW20" i="1"/>
  <c r="BX20" i="1"/>
  <c r="BZ20" i="1"/>
  <c r="CA20" i="1"/>
  <c r="AW20" i="1"/>
  <c r="AX20" i="1"/>
  <c r="AY20" i="1"/>
  <c r="AZ20" i="1"/>
  <c r="BA20" i="1"/>
  <c r="BB20" i="1"/>
  <c r="BE20" i="1"/>
  <c r="BF20" i="1"/>
  <c r="BY21" i="1"/>
  <c r="BS21" i="1"/>
  <c r="BT21" i="1"/>
  <c r="BU21" i="1"/>
  <c r="BV21" i="1"/>
  <c r="BW21" i="1"/>
  <c r="BX21" i="1"/>
  <c r="BZ21" i="1"/>
  <c r="CA21" i="1"/>
  <c r="AW21" i="1"/>
  <c r="AX21" i="1"/>
  <c r="AY21" i="1"/>
  <c r="AZ21" i="1"/>
  <c r="BA21" i="1"/>
  <c r="BB21" i="1"/>
  <c r="BE21" i="1"/>
  <c r="BF21" i="1"/>
  <c r="BY22" i="1"/>
  <c r="BS22" i="1"/>
  <c r="BT22" i="1"/>
  <c r="BU22" i="1"/>
  <c r="BV22" i="1"/>
  <c r="BW22" i="1"/>
  <c r="BX22" i="1"/>
  <c r="BZ22" i="1"/>
  <c r="CA22" i="1"/>
  <c r="AW22" i="1"/>
  <c r="AX22" i="1"/>
  <c r="AY22" i="1"/>
  <c r="AZ22" i="1"/>
  <c r="BA22" i="1"/>
  <c r="BB22" i="1"/>
  <c r="BE22" i="1"/>
  <c r="BF22" i="1"/>
  <c r="BY23" i="1"/>
  <c r="BS23" i="1"/>
  <c r="BT23" i="1"/>
  <c r="BU23" i="1"/>
  <c r="BV23" i="1"/>
  <c r="BW23" i="1"/>
  <c r="BX23" i="1"/>
  <c r="BZ23" i="1"/>
  <c r="CA23" i="1"/>
  <c r="AW23" i="1"/>
  <c r="AX23" i="1"/>
  <c r="AY23" i="1"/>
  <c r="AZ23" i="1"/>
  <c r="BA23" i="1"/>
  <c r="BB23" i="1"/>
  <c r="BE23" i="1"/>
  <c r="BF23" i="1"/>
  <c r="BY24" i="1"/>
  <c r="BS24" i="1"/>
  <c r="BT24" i="1"/>
  <c r="BU24" i="1"/>
  <c r="BV24" i="1"/>
  <c r="BW24" i="1"/>
  <c r="BX24" i="1"/>
  <c r="BZ24" i="1"/>
  <c r="CA24" i="1"/>
  <c r="AW24" i="1"/>
  <c r="AX24" i="1"/>
  <c r="AY24" i="1"/>
  <c r="AZ24" i="1"/>
  <c r="BA24" i="1"/>
  <c r="BB24" i="1"/>
  <c r="BE24" i="1"/>
  <c r="BF24" i="1"/>
  <c r="BY25" i="1"/>
  <c r="BS25" i="1"/>
  <c r="BT25" i="1"/>
  <c r="BU25" i="1"/>
  <c r="BV25" i="1"/>
  <c r="BW25" i="1"/>
  <c r="BX25" i="1"/>
  <c r="BZ25" i="1"/>
  <c r="CA25" i="1"/>
  <c r="AW25" i="1"/>
  <c r="AX25" i="1"/>
  <c r="AY25" i="1"/>
  <c r="AZ25" i="1"/>
  <c r="BA25" i="1"/>
  <c r="BB25" i="1"/>
  <c r="BE25" i="1"/>
  <c r="BF25" i="1"/>
  <c r="BY26" i="1"/>
  <c r="BS26" i="1"/>
  <c r="BT26" i="1"/>
  <c r="BU26" i="1"/>
  <c r="BV26" i="1"/>
  <c r="BW26" i="1"/>
  <c r="BX26" i="1"/>
  <c r="BZ26" i="1"/>
  <c r="CA26" i="1"/>
  <c r="AW26" i="1"/>
  <c r="AX26" i="1"/>
  <c r="AY26" i="1"/>
  <c r="AZ26" i="1"/>
  <c r="BA26" i="1"/>
  <c r="BB26" i="1"/>
  <c r="BE26" i="1"/>
  <c r="BF26" i="1"/>
  <c r="BY27" i="1"/>
  <c r="BS27" i="1"/>
  <c r="BT27" i="1"/>
  <c r="BU27" i="1"/>
  <c r="BV27" i="1"/>
  <c r="BW27" i="1"/>
  <c r="BX27" i="1"/>
  <c r="BZ27" i="1"/>
  <c r="CA27" i="1"/>
  <c r="AW27" i="1"/>
  <c r="AX27" i="1"/>
  <c r="AY27" i="1"/>
  <c r="AZ27" i="1"/>
  <c r="BA27" i="1"/>
  <c r="BB27" i="1"/>
  <c r="BE27" i="1"/>
  <c r="BF27" i="1"/>
  <c r="BY28" i="1"/>
  <c r="BS28" i="1"/>
  <c r="BT28" i="1"/>
  <c r="BU28" i="1"/>
  <c r="BV28" i="1"/>
  <c r="BW28" i="1"/>
  <c r="BX28" i="1"/>
  <c r="BZ28" i="1"/>
  <c r="CA28" i="1"/>
  <c r="AW28" i="1"/>
  <c r="AX28" i="1"/>
  <c r="AY28" i="1"/>
  <c r="AZ28" i="1"/>
  <c r="BA28" i="1"/>
  <c r="BB28" i="1"/>
  <c r="BE28" i="1"/>
  <c r="BF28" i="1"/>
  <c r="BY29" i="1"/>
  <c r="BS29" i="1"/>
  <c r="BT29" i="1"/>
  <c r="BU29" i="1"/>
  <c r="BV29" i="1"/>
  <c r="BW29" i="1"/>
  <c r="BX29" i="1"/>
  <c r="BZ29" i="1"/>
  <c r="CA29" i="1"/>
  <c r="AW29" i="1"/>
  <c r="AX29" i="1"/>
  <c r="AY29" i="1"/>
  <c r="AZ29" i="1"/>
  <c r="BA29" i="1"/>
  <c r="BB29" i="1"/>
  <c r="BE29" i="1"/>
  <c r="BF29" i="1"/>
  <c r="BY30" i="1"/>
  <c r="BS30" i="1"/>
  <c r="BT30" i="1"/>
  <c r="BU30" i="1"/>
  <c r="BV30" i="1"/>
  <c r="BW30" i="1"/>
  <c r="BX30" i="1"/>
  <c r="BZ30" i="1"/>
  <c r="CA30" i="1"/>
  <c r="AW30" i="1"/>
  <c r="AX30" i="1"/>
  <c r="AY30" i="1"/>
  <c r="AZ30" i="1"/>
  <c r="BA30" i="1"/>
  <c r="BB30" i="1"/>
  <c r="BE30" i="1"/>
  <c r="BF30" i="1"/>
  <c r="DA16" i="1"/>
  <c r="DA17" i="1"/>
  <c r="DA18" i="1"/>
  <c r="DA19" i="1"/>
  <c r="DA20" i="1"/>
  <c r="DA21" i="1"/>
  <c r="DA22" i="1"/>
  <c r="DA23" i="1"/>
  <c r="DA24" i="1"/>
  <c r="DA25" i="1"/>
  <c r="DA26" i="1"/>
  <c r="DA27" i="1"/>
  <c r="DA28" i="1"/>
  <c r="DA29" i="1"/>
  <c r="DA30" i="1"/>
  <c r="DV11" i="1"/>
  <c r="DV12" i="1"/>
  <c r="DV13" i="1"/>
  <c r="DV10" i="1"/>
  <c r="DM16" i="1"/>
  <c r="DM17" i="1"/>
  <c r="DM18" i="1"/>
  <c r="DM19" i="1"/>
  <c r="DM20" i="1"/>
  <c r="DM21" i="1"/>
  <c r="DM22" i="1"/>
  <c r="DM23" i="1"/>
  <c r="DM24" i="1"/>
  <c r="DM25" i="1"/>
  <c r="DM26" i="1"/>
  <c r="DM27" i="1"/>
  <c r="DM28" i="1"/>
  <c r="DM29" i="1"/>
  <c r="DM30" i="1"/>
  <c r="S16" i="1"/>
  <c r="S17" i="1"/>
  <c r="S18" i="1"/>
  <c r="S19" i="1"/>
  <c r="S20" i="1"/>
  <c r="S21" i="1"/>
  <c r="S22" i="1"/>
  <c r="S23" i="1"/>
  <c r="S24" i="1"/>
  <c r="S25" i="1"/>
  <c r="S26" i="1"/>
  <c r="S27" i="1"/>
  <c r="S28" i="1"/>
  <c r="S29" i="1"/>
  <c r="S30" i="1"/>
  <c r="DG30" i="1"/>
  <c r="DG29" i="1"/>
  <c r="DG28" i="1"/>
  <c r="DG27" i="1"/>
  <c r="DG26" i="1"/>
  <c r="DG25" i="1"/>
  <c r="DG24" i="1"/>
  <c r="DG23" i="1"/>
  <c r="DG22" i="1"/>
  <c r="DG21" i="1"/>
  <c r="DG20" i="1"/>
  <c r="DG19" i="1"/>
  <c r="DG18" i="1"/>
  <c r="DG17" i="1"/>
  <c r="DG16" i="1"/>
  <c r="AV18" i="1"/>
  <c r="AV25" i="1"/>
  <c r="BG26" i="1"/>
  <c r="BO26" i="1"/>
  <c r="AV28" i="1"/>
  <c r="AV27" i="1"/>
  <c r="AV29" i="1"/>
  <c r="AV20" i="1"/>
  <c r="AV23" i="1"/>
  <c r="AV19" i="1"/>
  <c r="BG19" i="1"/>
  <c r="BI19" i="1"/>
  <c r="CB18" i="1"/>
  <c r="CC18" i="1"/>
  <c r="CB17" i="1"/>
  <c r="CJ17" i="1"/>
  <c r="BG20" i="1"/>
  <c r="BP20" i="1"/>
  <c r="CG17" i="1"/>
  <c r="CC17" i="1"/>
  <c r="CH17" i="1"/>
  <c r="CB20" i="1"/>
  <c r="CJ20" i="1"/>
  <c r="AV26" i="1"/>
  <c r="AV22" i="1"/>
  <c r="CB24" i="1"/>
  <c r="CG24" i="1"/>
  <c r="CJ18" i="1"/>
  <c r="CK18" i="1"/>
  <c r="CH18" i="1"/>
  <c r="CG18" i="1"/>
  <c r="CI18" i="1"/>
  <c r="AV24" i="1"/>
  <c r="BH26" i="1"/>
  <c r="BP26" i="1"/>
  <c r="BK26" i="1"/>
  <c r="BL26" i="1"/>
  <c r="BM26" i="1"/>
  <c r="BI26" i="1"/>
  <c r="CK17" i="1"/>
  <c r="CF17" i="1"/>
  <c r="CD17" i="1"/>
  <c r="CI17" i="1"/>
  <c r="BG30" i="1"/>
  <c r="BM30" i="1"/>
  <c r="CB30" i="1"/>
  <c r="CH30" i="1"/>
  <c r="BG29" i="1"/>
  <c r="BQ29" i="1"/>
  <c r="BG27" i="1"/>
  <c r="BH27" i="1"/>
  <c r="CB27" i="1"/>
  <c r="CC27" i="1"/>
  <c r="CB26" i="1"/>
  <c r="CE26" i="1"/>
  <c r="BG25" i="1"/>
  <c r="BK25" i="1"/>
  <c r="CB25" i="1"/>
  <c r="BG24" i="1"/>
  <c r="CK24" i="1"/>
  <c r="CE24" i="1"/>
  <c r="CJ24" i="1"/>
  <c r="CD24" i="1"/>
  <c r="AV16" i="1"/>
  <c r="BP30" i="1"/>
  <c r="CB29" i="1"/>
  <c r="CI29" i="1"/>
  <c r="BG28" i="1"/>
  <c r="CB28" i="1"/>
  <c r="CI28" i="1"/>
  <c r="BI27" i="1"/>
  <c r="BJ26" i="1"/>
  <c r="CB21" i="1"/>
  <c r="CI21" i="1"/>
  <c r="CG20" i="1"/>
  <c r="CH20" i="1"/>
  <c r="CD20" i="1"/>
  <c r="CE18" i="1"/>
  <c r="BG23" i="1"/>
  <c r="BL23" i="1"/>
  <c r="CB23" i="1"/>
  <c r="CG23" i="1"/>
  <c r="BG22" i="1"/>
  <c r="BM22" i="1"/>
  <c r="CB22" i="1"/>
  <c r="CK20" i="1"/>
  <c r="CI20" i="1"/>
  <c r="CB19" i="1"/>
  <c r="CC19" i="1"/>
  <c r="BG18" i="1"/>
  <c r="BI18" i="1"/>
  <c r="CD18" i="1"/>
  <c r="BG17" i="1"/>
  <c r="BJ17" i="1"/>
  <c r="CE17" i="1"/>
  <c r="BG16" i="1"/>
  <c r="BK16" i="1"/>
  <c r="CB16" i="1"/>
  <c r="BG21" i="1"/>
  <c r="BQ21" i="1"/>
  <c r="AV21" i="1"/>
  <c r="BN26" i="1"/>
  <c r="BQ26" i="1"/>
  <c r="CF18" i="1"/>
  <c r="BN20" i="1"/>
  <c r="BM20" i="1"/>
  <c r="BQ20" i="1"/>
  <c r="BK20" i="1"/>
  <c r="BO20" i="1"/>
  <c r="AR20" i="1"/>
  <c r="BJ20" i="1"/>
  <c r="BH20" i="1"/>
  <c r="BL20" i="1"/>
  <c r="BI20" i="1"/>
  <c r="CE20" i="1"/>
  <c r="BP29" i="1"/>
  <c r="CC24" i="1"/>
  <c r="CI24" i="1"/>
  <c r="CO24" i="1"/>
  <c r="CF24" i="1"/>
  <c r="CK29" i="1"/>
  <c r="CD26" i="1"/>
  <c r="CC20" i="1"/>
  <c r="CF20" i="1"/>
  <c r="CH24" i="1"/>
  <c r="BO21" i="1"/>
  <c r="BP21" i="1"/>
  <c r="CL17" i="1"/>
  <c r="AL26" i="1"/>
  <c r="BR26" i="1"/>
  <c r="BP16" i="1"/>
  <c r="BQ16" i="1"/>
  <c r="BL16" i="1"/>
  <c r="BM16" i="1"/>
  <c r="BH16" i="1"/>
  <c r="BJ16" i="1"/>
  <c r="BI16" i="1"/>
  <c r="BO16" i="1"/>
  <c r="BM24" i="1"/>
  <c r="BJ24" i="1"/>
  <c r="BQ24" i="1"/>
  <c r="BN24" i="1"/>
  <c r="BI24" i="1"/>
  <c r="BH24" i="1"/>
  <c r="BP24" i="1"/>
  <c r="BN16" i="1"/>
  <c r="CV26" i="1"/>
  <c r="BH19" i="1"/>
  <c r="CJ25" i="1"/>
  <c r="CC25" i="1"/>
  <c r="CD25" i="1"/>
  <c r="CK25" i="1"/>
  <c r="CH25" i="1"/>
  <c r="CG25" i="1"/>
  <c r="CI25" i="1"/>
  <c r="CG30" i="1"/>
  <c r="CC30" i="1"/>
  <c r="CD30" i="1"/>
  <c r="CK30" i="1"/>
  <c r="CI30" i="1"/>
  <c r="CJ30" i="1"/>
  <c r="CE30" i="1"/>
  <c r="CF30" i="1"/>
  <c r="CO17" i="1"/>
  <c r="CO18" i="1"/>
  <c r="CC22" i="1"/>
  <c r="CI22" i="1"/>
  <c r="CG22" i="1"/>
  <c r="CD22" i="1"/>
  <c r="CF22" i="1"/>
  <c r="CJ22" i="1"/>
  <c r="CK22" i="1"/>
  <c r="CH22" i="1"/>
  <c r="CE22" i="1"/>
  <c r="DK26" i="1"/>
  <c r="DO26" i="1"/>
  <c r="AG26" i="1"/>
  <c r="BH17" i="1"/>
  <c r="CR17" i="1"/>
  <c r="BQ17" i="1"/>
  <c r="BP17" i="1"/>
  <c r="BO17" i="1"/>
  <c r="AU17" i="1"/>
  <c r="BN17" i="1"/>
  <c r="BM17" i="1"/>
  <c r="BI17" i="1"/>
  <c r="CW17" i="1"/>
  <c r="BL17" i="1"/>
  <c r="BK17" i="1"/>
  <c r="CN20" i="1"/>
  <c r="CH28" i="1"/>
  <c r="CE28" i="1"/>
  <c r="CJ28" i="1"/>
  <c r="CD28" i="1"/>
  <c r="CF28" i="1"/>
  <c r="CG28" i="1"/>
  <c r="CE25" i="1"/>
  <c r="BM27" i="1"/>
  <c r="BP27" i="1"/>
  <c r="BL27" i="1"/>
  <c r="BJ27" i="1"/>
  <c r="BQ27" i="1"/>
  <c r="BK27" i="1"/>
  <c r="BN27" i="1"/>
  <c r="BI30" i="1"/>
  <c r="BN30" i="1"/>
  <c r="BH30" i="1"/>
  <c r="BJ30" i="1"/>
  <c r="BK30" i="1"/>
  <c r="BL30" i="1"/>
  <c r="BQ30" i="1"/>
  <c r="BO30" i="1"/>
  <c r="AT26" i="1"/>
  <c r="DJ26" i="1"/>
  <c r="CH21" i="1"/>
  <c r="CE21" i="1"/>
  <c r="CG21" i="1"/>
  <c r="CC21" i="1"/>
  <c r="CF21" i="1"/>
  <c r="CD21" i="1"/>
  <c r="BK22" i="1"/>
  <c r="BL22" i="1"/>
  <c r="BI22" i="1"/>
  <c r="BH22" i="1"/>
  <c r="BP22" i="1"/>
  <c r="BJ22" i="1"/>
  <c r="BQ22" i="1"/>
  <c r="BO22" i="1"/>
  <c r="BN22" i="1"/>
  <c r="BK24" i="1"/>
  <c r="CE23" i="1"/>
  <c r="CJ23" i="1"/>
  <c r="CI23" i="1"/>
  <c r="CK23" i="1"/>
  <c r="CF23" i="1"/>
  <c r="CD23" i="1"/>
  <c r="CC23" i="1"/>
  <c r="BM28" i="1"/>
  <c r="BK28" i="1"/>
  <c r="BJ28" i="1"/>
  <c r="BN28" i="1"/>
  <c r="BO28" i="1"/>
  <c r="AR28" i="1"/>
  <c r="BI28" i="1"/>
  <c r="BH28" i="1"/>
  <c r="BP28" i="1"/>
  <c r="BQ28" i="1"/>
  <c r="BL28" i="1"/>
  <c r="BL25" i="1"/>
  <c r="BN25" i="1"/>
  <c r="BQ25" i="1"/>
  <c r="BP25" i="1"/>
  <c r="BM25" i="1"/>
  <c r="BH25" i="1"/>
  <c r="BI25" i="1"/>
  <c r="BO25" i="1"/>
  <c r="BO27" i="1"/>
  <c r="CN18" i="1"/>
  <c r="BQ19" i="1"/>
  <c r="BO19" i="1"/>
  <c r="BK19" i="1"/>
  <c r="BM19" i="1"/>
  <c r="BP19" i="1"/>
  <c r="BL19" i="1"/>
  <c r="BN19" i="1"/>
  <c r="BJ19" i="1"/>
  <c r="CK27" i="1"/>
  <c r="CF27" i="1"/>
  <c r="CE27" i="1"/>
  <c r="CD27" i="1"/>
  <c r="CJ27" i="1"/>
  <c r="CI27" i="1"/>
  <c r="CG27" i="1"/>
  <c r="CH27" i="1"/>
  <c r="CN17" i="1"/>
  <c r="CK21" i="1"/>
  <c r="BN21" i="1"/>
  <c r="BJ21" i="1"/>
  <c r="BK21" i="1"/>
  <c r="BM21" i="1"/>
  <c r="BH21" i="1"/>
  <c r="BI21" i="1"/>
  <c r="BL21" i="1"/>
  <c r="CH23" i="1"/>
  <c r="CC28" i="1"/>
  <c r="BK18" i="1"/>
  <c r="BH18" i="1"/>
  <c r="BM18" i="1"/>
  <c r="BP18" i="1"/>
  <c r="BL18" i="1"/>
  <c r="BO18" i="1"/>
  <c r="BJ18" i="1"/>
  <c r="BN18" i="1"/>
  <c r="BQ18" i="1"/>
  <c r="BL24" i="1"/>
  <c r="BJ25" i="1"/>
  <c r="CK28" i="1"/>
  <c r="BO24" i="1"/>
  <c r="CI19" i="1"/>
  <c r="CE19" i="1"/>
  <c r="CH19" i="1"/>
  <c r="CJ19" i="1"/>
  <c r="CK19" i="1"/>
  <c r="CG19" i="1"/>
  <c r="CF19" i="1"/>
  <c r="CD19" i="1"/>
  <c r="BJ29" i="1"/>
  <c r="BK29" i="1"/>
  <c r="BO29" i="1"/>
  <c r="BM29" i="1"/>
  <c r="BL29" i="1"/>
  <c r="BN29" i="1"/>
  <c r="BH29" i="1"/>
  <c r="BI29" i="1"/>
  <c r="CR26" i="1"/>
  <c r="CW26" i="1"/>
  <c r="CK16" i="1"/>
  <c r="CH16" i="1"/>
  <c r="CD16" i="1"/>
  <c r="CE16" i="1"/>
  <c r="CC16" i="1"/>
  <c r="CF16" i="1"/>
  <c r="CG16" i="1"/>
  <c r="CJ16" i="1"/>
  <c r="CI16" i="1"/>
  <c r="CJ21" i="1"/>
  <c r="BI23" i="1"/>
  <c r="BO23" i="1"/>
  <c r="BK23" i="1"/>
  <c r="BN23" i="1"/>
  <c r="BH23" i="1"/>
  <c r="BJ23" i="1"/>
  <c r="BQ23" i="1"/>
  <c r="BM23" i="1"/>
  <c r="BP23" i="1"/>
  <c r="CO20" i="1"/>
  <c r="CF25" i="1"/>
  <c r="CF29" i="1"/>
  <c r="CC29" i="1"/>
  <c r="CH29" i="1"/>
  <c r="CG29" i="1"/>
  <c r="CD29" i="1"/>
  <c r="CE29" i="1"/>
  <c r="CF26" i="1"/>
  <c r="CJ26" i="1"/>
  <c r="CC26" i="1"/>
  <c r="CK26" i="1"/>
  <c r="CH26" i="1"/>
  <c r="CG26" i="1"/>
  <c r="CI26" i="1"/>
  <c r="CJ29" i="1"/>
  <c r="CO29" i="1"/>
  <c r="CL18" i="1"/>
  <c r="CL20" i="1"/>
  <c r="CV20" i="1"/>
  <c r="AL20" i="1"/>
  <c r="AT20" i="1"/>
  <c r="AU28" i="1"/>
  <c r="CR20" i="1"/>
  <c r="AF20" i="1"/>
  <c r="AU20" i="1"/>
  <c r="AG20" i="1"/>
  <c r="DJ20" i="1"/>
  <c r="BR20" i="1"/>
  <c r="DK20" i="1"/>
  <c r="DO20" i="1"/>
  <c r="CW20" i="1"/>
  <c r="CU20" i="1"/>
  <c r="CN24" i="1"/>
  <c r="CP24" i="1"/>
  <c r="AR24" i="1"/>
  <c r="CL24" i="1"/>
  <c r="CU25" i="1"/>
  <c r="CU23" i="1"/>
  <c r="AL27" i="1"/>
  <c r="CL26" i="1"/>
  <c r="CU18" i="1"/>
  <c r="CL27" i="1"/>
  <c r="CO26" i="1"/>
  <c r="AS26" i="1"/>
  <c r="CU28" i="1"/>
  <c r="CU26" i="1"/>
  <c r="AR21" i="1"/>
  <c r="CO28" i="1"/>
  <c r="CO30" i="1"/>
  <c r="CS24" i="1"/>
  <c r="DC24" i="1"/>
  <c r="AR17" i="1"/>
  <c r="AL16" i="1"/>
  <c r="AM6" i="1"/>
  <c r="AR18" i="1"/>
  <c r="CU17" i="1"/>
  <c r="CL19" i="1"/>
  <c r="CU16" i="1"/>
  <c r="CO19" i="1"/>
  <c r="CN21" i="1"/>
  <c r="CS21" i="1"/>
  <c r="AQ18" i="1"/>
  <c r="AS18" i="1"/>
  <c r="DH18" i="1"/>
  <c r="CT18" i="1"/>
  <c r="DL18" i="1"/>
  <c r="CV22" i="1"/>
  <c r="DJ28" i="1"/>
  <c r="AT28" i="1"/>
  <c r="AT22" i="1"/>
  <c r="DJ22" i="1"/>
  <c r="CL29" i="1"/>
  <c r="AU27" i="1"/>
  <c r="CN27" i="1"/>
  <c r="AR27" i="1"/>
  <c r="AR23" i="1"/>
  <c r="AU23" i="1"/>
  <c r="CN23" i="1"/>
  <c r="CN30" i="1"/>
  <c r="AQ30" i="1"/>
  <c r="AU30" i="1"/>
  <c r="AR30" i="1"/>
  <c r="AL19" i="1"/>
  <c r="BR19" i="1"/>
  <c r="DJ16" i="1"/>
  <c r="AS29" i="1"/>
  <c r="CR29" i="1"/>
  <c r="CW29" i="1"/>
  <c r="AR19" i="1"/>
  <c r="AU19" i="1"/>
  <c r="CN19" i="1"/>
  <c r="CO27" i="1"/>
  <c r="CR28" i="1"/>
  <c r="CW28" i="1"/>
  <c r="CO23" i="1"/>
  <c r="AT21" i="1"/>
  <c r="CR22" i="1"/>
  <c r="CW22" i="1"/>
  <c r="AL30" i="1"/>
  <c r="BR30" i="1"/>
  <c r="CV17" i="1"/>
  <c r="DL17" i="1"/>
  <c r="AS17" i="1"/>
  <c r="DH17" i="1"/>
  <c r="AQ17" i="1"/>
  <c r="CT17" i="1"/>
  <c r="AU21" i="1"/>
  <c r="CR25" i="1"/>
  <c r="CW25" i="1"/>
  <c r="CR27" i="1"/>
  <c r="CW27" i="1"/>
  <c r="AR25" i="1"/>
  <c r="AU25" i="1"/>
  <c r="CN25" i="1"/>
  <c r="DJ25" i="1"/>
  <c r="AT25" i="1"/>
  <c r="CV18" i="1"/>
  <c r="AL21" i="1"/>
  <c r="BR21" i="1"/>
  <c r="CV19" i="1"/>
  <c r="AL25" i="1"/>
  <c r="BR25" i="1"/>
  <c r="DJ21" i="1"/>
  <c r="CU21" i="1"/>
  <c r="AG30" i="1"/>
  <c r="DK30" i="1"/>
  <c r="DO30" i="1"/>
  <c r="CV27" i="1"/>
  <c r="DK17" i="1"/>
  <c r="DO17" i="1"/>
  <c r="AG17" i="1"/>
  <c r="AL24" i="1"/>
  <c r="BR24" i="1"/>
  <c r="CR16" i="1"/>
  <c r="CW16" i="1"/>
  <c r="CR18" i="1"/>
  <c r="AF18" i="1"/>
  <c r="CW18" i="1"/>
  <c r="CR19" i="1"/>
  <c r="CW19" i="1"/>
  <c r="AG22" i="1"/>
  <c r="DK22" i="1"/>
  <c r="DO22" i="1"/>
  <c r="CR24" i="1"/>
  <c r="AF24" i="1"/>
  <c r="CW24" i="1"/>
  <c r="CW23" i="1"/>
  <c r="CR23" i="1"/>
  <c r="AG16" i="1"/>
  <c r="DK16" i="1"/>
  <c r="DO16" i="1"/>
  <c r="BR23" i="1"/>
  <c r="AL23" i="1"/>
  <c r="DL24" i="1"/>
  <c r="AS24" i="1"/>
  <c r="CT24" i="1"/>
  <c r="AQ24" i="1"/>
  <c r="DH24" i="1"/>
  <c r="DK28" i="1"/>
  <c r="DO28" i="1"/>
  <c r="AG28" i="1"/>
  <c r="AS28" i="1"/>
  <c r="CU29" i="1"/>
  <c r="AQ20" i="1"/>
  <c r="CT20" i="1"/>
  <c r="DL20" i="1"/>
  <c r="AS20" i="1"/>
  <c r="DH20" i="1"/>
  <c r="DJ23" i="1"/>
  <c r="AT23" i="1"/>
  <c r="BR29" i="1"/>
  <c r="AL29" i="1"/>
  <c r="CU19" i="1"/>
  <c r="AL18" i="1"/>
  <c r="BR18" i="1"/>
  <c r="CV21" i="1"/>
  <c r="CP17" i="1"/>
  <c r="CS17" i="1"/>
  <c r="DF17" i="1"/>
  <c r="AF17" i="1"/>
  <c r="AM17" i="1"/>
  <c r="CV30" i="1"/>
  <c r="CV25" i="1"/>
  <c r="CV28" i="1"/>
  <c r="BR22" i="1"/>
  <c r="AL22" i="1"/>
  <c r="CL21" i="1"/>
  <c r="CS20" i="1"/>
  <c r="CP20" i="1"/>
  <c r="DF20" i="1"/>
  <c r="AT17" i="1"/>
  <c r="DJ17" i="1"/>
  <c r="CO22" i="1"/>
  <c r="CL30" i="1"/>
  <c r="BR16" i="1"/>
  <c r="CN29" i="1"/>
  <c r="DK25" i="1"/>
  <c r="DO25" i="1"/>
  <c r="AG25" i="1"/>
  <c r="AL17" i="1"/>
  <c r="BR17" i="1"/>
  <c r="CO16" i="1"/>
  <c r="AS16" i="1"/>
  <c r="DJ29" i="1"/>
  <c r="AT29" i="1"/>
  <c r="AT18" i="1"/>
  <c r="DJ18" i="1"/>
  <c r="DN18" i="1"/>
  <c r="DK19" i="1"/>
  <c r="DO19" i="1"/>
  <c r="AG19" i="1"/>
  <c r="CN22" i="1"/>
  <c r="AR22" i="1"/>
  <c r="AU22" i="1"/>
  <c r="AS30" i="1"/>
  <c r="CV24" i="1"/>
  <c r="AT24" i="1"/>
  <c r="DJ24" i="1"/>
  <c r="AU24" i="1"/>
  <c r="CW30" i="1"/>
  <c r="CR30" i="1"/>
  <c r="CL16" i="1"/>
  <c r="DK29" i="1"/>
  <c r="DO29" i="1"/>
  <c r="AG29" i="1"/>
  <c r="CU27" i="1"/>
  <c r="DJ19" i="1"/>
  <c r="AT19" i="1"/>
  <c r="AU18" i="1"/>
  <c r="DJ27" i="1"/>
  <c r="AT27" i="1"/>
  <c r="CL23" i="1"/>
  <c r="AT30" i="1"/>
  <c r="DJ30" i="1"/>
  <c r="AG27" i="1"/>
  <c r="DK27" i="1"/>
  <c r="DO27" i="1"/>
  <c r="CU22" i="1"/>
  <c r="CL25" i="1"/>
  <c r="AG24" i="1"/>
  <c r="DK24" i="1"/>
  <c r="DO24" i="1"/>
  <c r="CV16" i="1"/>
  <c r="DF24" i="1"/>
  <c r="AU29" i="1"/>
  <c r="CN16" i="1"/>
  <c r="AR16" i="1"/>
  <c r="AU16" i="1"/>
  <c r="CV29" i="1"/>
  <c r="DK21" i="1"/>
  <c r="DO21" i="1"/>
  <c r="AG21" i="1"/>
  <c r="CL22" i="1"/>
  <c r="AG23" i="1"/>
  <c r="DK23" i="1"/>
  <c r="DO23" i="1"/>
  <c r="CN26" i="1"/>
  <c r="DL26" i="1"/>
  <c r="DN26" i="1"/>
  <c r="DQ26" i="1"/>
  <c r="AU26" i="1"/>
  <c r="AR26" i="1"/>
  <c r="CV23" i="1"/>
  <c r="CO21" i="1"/>
  <c r="AG18" i="1"/>
  <c r="DK18" i="1"/>
  <c r="DO18" i="1"/>
  <c r="CL28" i="1"/>
  <c r="CW21" i="1"/>
  <c r="CR21" i="1"/>
  <c r="DF18" i="1"/>
  <c r="CS18" i="1"/>
  <c r="CP18" i="1"/>
  <c r="CN28" i="1"/>
  <c r="DH28" i="1"/>
  <c r="AL28" i="1"/>
  <c r="BR28" i="1"/>
  <c r="CU24" i="1"/>
  <c r="CU30" i="1"/>
  <c r="BR27" i="1"/>
  <c r="CO25" i="1"/>
  <c r="AR29" i="1"/>
  <c r="AQ19" i="1"/>
  <c r="DH30" i="1"/>
  <c r="DL30" i="1"/>
  <c r="DN24" i="1"/>
  <c r="DN20" i="1"/>
  <c r="DQ20" i="1"/>
  <c r="AI20" i="1"/>
  <c r="DL28" i="1"/>
  <c r="DN28" i="1"/>
  <c r="DQ28" i="1"/>
  <c r="AH24" i="1"/>
  <c r="AK24" i="1"/>
  <c r="CT30" i="1"/>
  <c r="DQ24" i="1"/>
  <c r="DH19" i="1"/>
  <c r="CT26" i="1"/>
  <c r="DH26" i="1"/>
  <c r="AM18" i="1"/>
  <c r="AO18" i="1"/>
  <c r="AF21" i="1"/>
  <c r="AN17" i="1"/>
  <c r="CP21" i="1"/>
  <c r="AS19" i="1"/>
  <c r="DF21" i="1"/>
  <c r="AN18" i="1"/>
  <c r="DL19" i="1"/>
  <c r="DN19" i="1"/>
  <c r="DQ19" i="1"/>
  <c r="CT19" i="1"/>
  <c r="DN17" i="1"/>
  <c r="DQ17" i="1"/>
  <c r="CT23" i="1"/>
  <c r="DH23" i="1"/>
  <c r="DL23" i="1"/>
  <c r="DN23" i="1"/>
  <c r="DQ23" i="1"/>
  <c r="AS23" i="1"/>
  <c r="AQ23" i="1"/>
  <c r="AK18" i="1"/>
  <c r="DH21" i="1"/>
  <c r="CT21" i="1"/>
  <c r="DL21" i="1"/>
  <c r="DN21" i="1"/>
  <c r="DQ21" i="1"/>
  <c r="AQ21" i="1"/>
  <c r="AS21" i="1"/>
  <c r="AH20" i="1"/>
  <c r="DC20" i="1"/>
  <c r="AK17" i="1"/>
  <c r="CS19" i="1"/>
  <c r="DF19" i="1"/>
  <c r="CP19" i="1"/>
  <c r="AF19" i="1"/>
  <c r="AF30" i="1"/>
  <c r="CS30" i="1"/>
  <c r="CP30" i="1"/>
  <c r="DF30" i="1"/>
  <c r="AH21" i="1"/>
  <c r="DC21" i="1"/>
  <c r="CS29" i="1"/>
  <c r="DF29" i="1"/>
  <c r="CP29" i="1"/>
  <c r="AF29" i="1"/>
  <c r="AQ29" i="1"/>
  <c r="CT29" i="1"/>
  <c r="AM24" i="1"/>
  <c r="AO24" i="1"/>
  <c r="AK20" i="1"/>
  <c r="AO20" i="1"/>
  <c r="AN20" i="1"/>
  <c r="AM20" i="1"/>
  <c r="CT28" i="1"/>
  <c r="DL29" i="1"/>
  <c r="DN29" i="1"/>
  <c r="DQ29" i="1"/>
  <c r="DL27" i="1"/>
  <c r="DN27" i="1"/>
  <c r="DQ27" i="1"/>
  <c r="AS27" i="1"/>
  <c r="AQ27" i="1"/>
  <c r="DH27" i="1"/>
  <c r="CT27" i="1"/>
  <c r="AF16" i="1"/>
  <c r="AN16" i="1"/>
  <c r="CS16" i="1"/>
  <c r="DF16" i="1"/>
  <c r="CP16" i="1"/>
  <c r="DN30" i="1"/>
  <c r="DQ30" i="1"/>
  <c r="DQ18" i="1"/>
  <c r="AI18" i="1"/>
  <c r="AH17" i="1"/>
  <c r="DC17" i="1"/>
  <c r="CZ24" i="1"/>
  <c r="AH18" i="1"/>
  <c r="DC18" i="1"/>
  <c r="CS26" i="1"/>
  <c r="AI26" i="1"/>
  <c r="DF26" i="1"/>
  <c r="CP26" i="1"/>
  <c r="AF26" i="1"/>
  <c r="AN24" i="1"/>
  <c r="AF22" i="1"/>
  <c r="CS22" i="1"/>
  <c r="DF22" i="1"/>
  <c r="CP22" i="1"/>
  <c r="AS22" i="1"/>
  <c r="AQ22" i="1"/>
  <c r="DL22" i="1"/>
  <c r="DN22" i="1"/>
  <c r="DQ22" i="1"/>
  <c r="CT22" i="1"/>
  <c r="DH22" i="1"/>
  <c r="DH16" i="1"/>
  <c r="AQ16" i="1"/>
  <c r="DL16" i="1"/>
  <c r="DN16" i="1"/>
  <c r="DQ16" i="1"/>
  <c r="CT16" i="1"/>
  <c r="CS25" i="1"/>
  <c r="DF25" i="1"/>
  <c r="CP25" i="1"/>
  <c r="AF25" i="1"/>
  <c r="DH29" i="1"/>
  <c r="DL25" i="1"/>
  <c r="DN25" i="1"/>
  <c r="DQ25" i="1"/>
  <c r="AQ25" i="1"/>
  <c r="AS25" i="1"/>
  <c r="CT25" i="1"/>
  <c r="DH25" i="1"/>
  <c r="CS28" i="1"/>
  <c r="CP28" i="1"/>
  <c r="DF28" i="1"/>
  <c r="AF28" i="1"/>
  <c r="AN28" i="1"/>
  <c r="AQ28" i="1"/>
  <c r="AO17" i="1"/>
  <c r="AF23" i="1"/>
  <c r="AN23" i="1"/>
  <c r="CS23" i="1"/>
  <c r="CP23" i="1"/>
  <c r="DF23" i="1"/>
  <c r="AF27" i="1"/>
  <c r="CS27" i="1"/>
  <c r="DF27" i="1"/>
  <c r="CP27" i="1"/>
  <c r="AQ26" i="1"/>
  <c r="AI5" i="1"/>
  <c r="AJ20" i="1"/>
  <c r="AI4" i="1"/>
  <c r="AI30" i="1"/>
  <c r="AI25" i="1"/>
  <c r="AI22" i="1"/>
  <c r="AI27" i="1"/>
  <c r="AJ24" i="1"/>
  <c r="AI24" i="1"/>
  <c r="AI21" i="1"/>
  <c r="AI28" i="1"/>
  <c r="AJ17" i="1"/>
  <c r="AI17" i="1"/>
  <c r="AI16" i="1"/>
  <c r="AI29" i="1"/>
  <c r="AI23" i="1"/>
  <c r="AI19" i="1"/>
  <c r="AJ18" i="1"/>
  <c r="AP17" i="1"/>
  <c r="AK21" i="1"/>
  <c r="AN21" i="1"/>
  <c r="AM21" i="1"/>
  <c r="AM7" i="1"/>
  <c r="AO21" i="1"/>
  <c r="AK16" i="1"/>
  <c r="AP18" i="1"/>
  <c r="AH26" i="1"/>
  <c r="DC26" i="1"/>
  <c r="CZ18" i="1"/>
  <c r="AH16" i="1"/>
  <c r="DC16" i="1"/>
  <c r="AP24" i="1"/>
  <c r="AK27" i="1"/>
  <c r="AM27" i="1"/>
  <c r="AO27" i="1"/>
  <c r="AK25" i="1"/>
  <c r="AO25" i="1"/>
  <c r="AM25" i="1"/>
  <c r="CZ21" i="1"/>
  <c r="AH23" i="1"/>
  <c r="DC23" i="1"/>
  <c r="AN25" i="1"/>
  <c r="AO16" i="1"/>
  <c r="AM16" i="1"/>
  <c r="AJ16" i="1"/>
  <c r="AH29" i="1"/>
  <c r="DC29" i="1"/>
  <c r="AH27" i="1"/>
  <c r="DC27" i="1"/>
  <c r="AK29" i="1"/>
  <c r="AM29" i="1"/>
  <c r="AO29" i="1"/>
  <c r="AK19" i="1"/>
  <c r="AO19" i="1"/>
  <c r="AM19" i="1"/>
  <c r="AK23" i="1"/>
  <c r="AO23" i="1"/>
  <c r="AM23" i="1"/>
  <c r="AJ23" i="1"/>
  <c r="DC25" i="1"/>
  <c r="AH25" i="1"/>
  <c r="AP20" i="1"/>
  <c r="DC19" i="1"/>
  <c r="AH19" i="1"/>
  <c r="AH30" i="1"/>
  <c r="DC30" i="1"/>
  <c r="DC28" i="1"/>
  <c r="AH28" i="1"/>
  <c r="AN27" i="1"/>
  <c r="AJ27" i="1"/>
  <c r="CZ20" i="1"/>
  <c r="AH22" i="1"/>
  <c r="DC22" i="1"/>
  <c r="AN19" i="1"/>
  <c r="AN29" i="1"/>
  <c r="AJ29" i="1"/>
  <c r="AK30" i="1"/>
  <c r="AN30" i="1"/>
  <c r="AM30" i="1"/>
  <c r="AO30" i="1"/>
  <c r="CZ17" i="1"/>
  <c r="AK28" i="1"/>
  <c r="AO28" i="1"/>
  <c r="AM28" i="1"/>
  <c r="AJ28" i="1"/>
  <c r="AK22" i="1"/>
  <c r="AO22" i="1"/>
  <c r="AN22" i="1"/>
  <c r="AM22" i="1"/>
  <c r="AK26" i="1"/>
  <c r="AM26" i="1"/>
  <c r="AO26" i="1"/>
  <c r="AN26" i="1"/>
  <c r="AJ21" i="1"/>
  <c r="AJ30" i="1"/>
  <c r="AJ25" i="1"/>
  <c r="AJ26" i="1"/>
  <c r="AJ19" i="1"/>
  <c r="AJ22" i="1"/>
  <c r="AP16" i="1"/>
  <c r="AP25" i="1"/>
  <c r="AP22" i="1"/>
  <c r="AP21" i="1"/>
  <c r="AP29" i="1"/>
  <c r="AP23" i="1"/>
  <c r="AP30" i="1"/>
  <c r="AP26" i="1"/>
  <c r="AP28" i="1"/>
  <c r="CZ28" i="1"/>
  <c r="CZ29" i="1"/>
  <c r="CZ26" i="1"/>
  <c r="CZ19" i="1"/>
  <c r="AP19" i="1"/>
  <c r="CZ16" i="1"/>
  <c r="CZ30" i="1"/>
  <c r="CZ23" i="1"/>
  <c r="AP27" i="1"/>
  <c r="CZ22" i="1"/>
  <c r="CZ25" i="1"/>
  <c r="CZ27" i="1"/>
</calcChain>
</file>

<file path=xl/comments1.xml><?xml version="1.0" encoding="utf-8"?>
<comments xmlns="http://schemas.openxmlformats.org/spreadsheetml/2006/main">
  <authors>
    <author>Keith Putirka</author>
  </authors>
  <commentList>
    <comment ref="AM12" authorId="0" shapeId="0">
      <text>
        <r>
          <rPr>
            <b/>
            <sz val="9"/>
            <color indexed="81"/>
            <rFont val="Verdana"/>
            <family val="2"/>
          </rPr>
          <t>Keith Putirka:</t>
        </r>
        <r>
          <rPr>
            <sz val="9"/>
            <color indexed="81"/>
            <rFont val="Verdana"/>
            <family val="2"/>
          </rPr>
          <t xml:space="preserve">
The best check for equilibrium is to compare calculated and measured An abd Ab contents</t>
        </r>
      </text>
    </comment>
    <comment ref="AQ12" authorId="0" shapeId="0">
      <text>
        <r>
          <rPr>
            <b/>
            <sz val="9"/>
            <color indexed="81"/>
            <rFont val="Verdana"/>
            <family val="2"/>
          </rPr>
          <t>Keith Putirka:</t>
        </r>
        <r>
          <rPr>
            <sz val="9"/>
            <color indexed="81"/>
            <rFont val="Verdana"/>
            <family val="2"/>
          </rPr>
          <t xml:space="preserve">
This cell corrects an error in the 2008 RiMG volume (Chapter 2) where the temperatures (and errors) are switched. There are few experiments at T&lt;1050 C, but those few exhibit quite low exchange coefficients, compared to the bulk of experimental data at T&gt;1050 that are close to 0.28. At T&gt;1050 (n=756), the exchange is only weakly correlated with T (R = 0.13) and the standard deviation is ±0.11</t>
        </r>
      </text>
    </comment>
    <comment ref="C15" authorId="0" shapeId="0">
      <text>
        <r>
          <rPr>
            <b/>
            <sz val="9"/>
            <color indexed="81"/>
            <rFont val="Verdana"/>
            <family val="2"/>
          </rPr>
          <t>Keith Putirka:</t>
        </r>
        <r>
          <rPr>
            <sz val="9"/>
            <color indexed="81"/>
            <rFont val="Verdana"/>
            <family val="2"/>
          </rPr>
          <t xml:space="preserve">
Input a value for pressure. Use of 0.0001 Gpa (= 1 atm) yields a lower limit for pl + liq Temp. (See note in column AK on plag P estimates). A P estimate from cpx + liq might provide an upper limit for T for hydrous systems. For anhydrous systems, cpx saturaiton may occur at lower T than plag (and so possibly at lower P), and so plag saturation could be hotter, and deeper, than for cpx</t>
        </r>
      </text>
    </comment>
    <comment ref="AK15" authorId="0" shapeId="0">
      <text>
        <r>
          <rPr>
            <b/>
            <sz val="9"/>
            <color indexed="81"/>
            <rFont val="Verdana"/>
            <family val="2"/>
          </rPr>
          <t>Keith Putirka:</t>
        </r>
        <r>
          <rPr>
            <sz val="9"/>
            <color indexed="81"/>
            <rFont val="Verdana"/>
            <family val="2"/>
          </rPr>
          <t xml:space="preserve">
I now view the P estimates from Eqn. 25a with much skepticim. It may work for limited data sets, but it is not a generaly applicable barometer. I suggest that it only be used when independent estimates of P are available as tests.
</t>
        </r>
      </text>
    </comment>
  </commentList>
</comments>
</file>

<file path=xl/sharedStrings.xml><?xml version="1.0" encoding="utf-8"?>
<sst xmlns="http://schemas.openxmlformats.org/spreadsheetml/2006/main" count="209" uniqueCount="131">
  <si>
    <t>T (C)</t>
  </si>
  <si>
    <t>P (GPa)</t>
  </si>
  <si>
    <t>An</t>
  </si>
  <si>
    <t>Ab</t>
  </si>
  <si>
    <t>Or</t>
  </si>
  <si>
    <t>Al/Al+Si)</t>
  </si>
  <si>
    <t>lnK(An-liq)</t>
  </si>
  <si>
    <t>lnK(Ab-An ex)</t>
  </si>
  <si>
    <t>KD(Fe-Mg)</t>
  </si>
  <si>
    <t>ClNM</t>
  </si>
  <si>
    <t>NF</t>
  </si>
  <si>
    <t>T(C )</t>
  </si>
  <si>
    <t>T(K)</t>
  </si>
  <si>
    <t>P(kbar) meas</t>
  </si>
  <si>
    <t>Global 5</t>
  </si>
  <si>
    <t>Mg# liq</t>
  </si>
  <si>
    <t>T(C) sat</t>
  </si>
  <si>
    <t>H2O</t>
  </si>
  <si>
    <t>Eqn 25b</t>
  </si>
  <si>
    <t>Auwera, J. V., and Longhi, J. (1994)</t>
  </si>
  <si>
    <t>Value for P(GPa)</t>
    <phoneticPr fontId="3"/>
  </si>
  <si>
    <t>TJ-7</t>
  </si>
  <si>
    <t>TJ-20</t>
  </si>
  <si>
    <t>TJ-4</t>
  </si>
  <si>
    <t>TJ-3</t>
  </si>
  <si>
    <t>TJ-23</t>
  </si>
  <si>
    <t>TJ-40</t>
  </si>
  <si>
    <t>Model H</t>
  </si>
  <si>
    <t>Eqn (24b)</t>
  </si>
  <si>
    <t>Eqn (24c)</t>
  </si>
  <si>
    <t>Alkali feldspar-Liquid Thermometers</t>
  </si>
  <si>
    <t xml:space="preserve">NOTE: THESE MODELS  (24b AND 24c) APPLY ONLY TO </t>
  </si>
  <si>
    <t>ALKALI FELDSPAR-LIQUID PAIRS; PREDICTED T(K)  WILL BE VERY LOW</t>
  </si>
  <si>
    <t>OR EVEN NEGATIVE WHEN USING PLAG-LIQUID PAIRS</t>
  </si>
  <si>
    <t>Geothermometers based on Plagioclase-liquid and Alkali feldspar-liquid equilibria</t>
  </si>
  <si>
    <t>TJ-43</t>
  </si>
  <si>
    <t>TC )</t>
  </si>
  <si>
    <t>Plagioclase-Liquid Thermometers, hygrometer and "barometer"</t>
  </si>
  <si>
    <t>Putirka (2005)</t>
  </si>
  <si>
    <t>Putirka (2008) RiMG equations</t>
  </si>
  <si>
    <t>FELDSPAR</t>
    <phoneticPr fontId="3"/>
  </si>
  <si>
    <t>FELDSPAR Components</t>
    <phoneticPr fontId="3"/>
  </si>
  <si>
    <t>Feldspar Compositions - in Weight Percent</t>
    <phoneticPr fontId="3"/>
  </si>
  <si>
    <t>H2O (wt. %)</t>
  </si>
  <si>
    <t>P(kbar)</t>
  </si>
  <si>
    <t>Eqn 25a</t>
  </si>
  <si>
    <t>Eqn 24a</t>
  </si>
  <si>
    <t>Observed</t>
  </si>
  <si>
    <t>TJ-50</t>
  </si>
  <si>
    <t>Eqn 26</t>
  </si>
  <si>
    <t>Kudo and Weill (1970)</t>
  </si>
  <si>
    <t>a</t>
  </si>
  <si>
    <t>Eqn 7a</t>
  </si>
  <si>
    <t>lambda</t>
  </si>
  <si>
    <t>phi prime</t>
  </si>
  <si>
    <t>b</t>
  </si>
  <si>
    <t>c</t>
  </si>
  <si>
    <t>sigma</t>
  </si>
  <si>
    <t>Ca#</t>
  </si>
  <si>
    <t>T (K)</t>
  </si>
  <si>
    <t>Enter</t>
  </si>
  <si>
    <t>Appropriate</t>
  </si>
  <si>
    <t>Experimental Compositions given  as examples</t>
  </si>
  <si>
    <t>Leave Blank</t>
  </si>
  <si>
    <t>Experimental Conditions</t>
  </si>
  <si>
    <t>LEPR</t>
  </si>
  <si>
    <t>Data Source</t>
  </si>
  <si>
    <t>Experiment #</t>
  </si>
  <si>
    <t>Liquid (Glass) Composition - in Weight Percent</t>
  </si>
  <si>
    <t>Anhydrous</t>
  </si>
  <si>
    <t>SiO2</t>
  </si>
  <si>
    <t>TiO2</t>
  </si>
  <si>
    <t>Al2O3</t>
  </si>
  <si>
    <r>
      <t>K</t>
    </r>
    <r>
      <rPr>
        <vertAlign val="subscript"/>
        <sz val="10"/>
        <rFont val="Verdana"/>
        <family val="2"/>
      </rPr>
      <t>D</t>
    </r>
    <r>
      <rPr>
        <sz val="10"/>
        <rFont val="Verdana"/>
        <family val="2"/>
      </rPr>
      <t>(Ab-An)</t>
    </r>
    <phoneticPr fontId="3"/>
  </si>
  <si>
    <t>Test for Equilibrium</t>
    <phoneticPr fontId="3"/>
  </si>
  <si>
    <r>
      <t>K</t>
    </r>
    <r>
      <rPr>
        <b/>
        <vertAlign val="subscript"/>
        <sz val="10"/>
        <rFont val="Verdana"/>
        <family val="2"/>
      </rPr>
      <t>D</t>
    </r>
    <r>
      <rPr>
        <b/>
        <sz val="10"/>
        <rFont val="Verdana"/>
      </rPr>
      <t>(Ab-An)</t>
    </r>
    <phoneticPr fontId="3"/>
  </si>
  <si>
    <t>FeOt</t>
  </si>
  <si>
    <t>MnO</t>
  </si>
  <si>
    <t>MgO</t>
  </si>
  <si>
    <t>CaO</t>
  </si>
  <si>
    <t>Na2O</t>
  </si>
  <si>
    <t>K2O</t>
  </si>
  <si>
    <t>Sum</t>
  </si>
  <si>
    <t>Plagioclase components predicted from Putirka (2005)</t>
  </si>
  <si>
    <t>Eqn. E</t>
  </si>
  <si>
    <t>Eqn. F</t>
  </si>
  <si>
    <t>Eqn. G</t>
  </si>
  <si>
    <t>Comp.</t>
  </si>
  <si>
    <t>Cr2O3</t>
  </si>
  <si>
    <t>Enter Liquid Composition Here</t>
  </si>
  <si>
    <t>Molecular Weights</t>
  </si>
  <si>
    <t>AlO3/2</t>
  </si>
  <si>
    <t>FeO</t>
  </si>
  <si>
    <t>NaO0.5</t>
  </si>
  <si>
    <t>KO0.5</t>
  </si>
  <si>
    <t>PO5/2</t>
  </si>
  <si>
    <t>sum</t>
  </si>
  <si>
    <t>CATION FRACTIONS</t>
  </si>
  <si>
    <t>Eqn (24a)</t>
  </si>
  <si>
    <t>1260-186</t>
  </si>
  <si>
    <t>1260-206</t>
  </si>
  <si>
    <t>1260-84</t>
  </si>
  <si>
    <t>1260-83</t>
  </si>
  <si>
    <t>Eqn 23</t>
    <phoneticPr fontId="3"/>
  </si>
  <si>
    <t>Total</t>
  </si>
  <si>
    <t>Gray field = input</t>
  </si>
  <si>
    <t>Blue field = output</t>
  </si>
  <si>
    <t>1) INPUT required in GRAY columns (C, G - R, and U - AD)</t>
  </si>
  <si>
    <t>Enter Feldspar Composition Here</t>
  </si>
  <si>
    <t>2) OUTPUTS for PLAGIOCLASE-based models are in BLUE columns, AF - AL</t>
  </si>
  <si>
    <t>4) TEST for plagioclase-liquid equilibrium in columns AM</t>
  </si>
  <si>
    <t>3) OUTPUTS for ALKALI FELDSPAR-based models are in BLUE columns, AO - AP</t>
  </si>
  <si>
    <t>Whitaker et al. (2007)</t>
  </si>
  <si>
    <t>Grove, T.L., Juster, T.C. (1989)</t>
  </si>
  <si>
    <t>P2O5</t>
  </si>
  <si>
    <t xml:space="preserve">LIQUID </t>
  </si>
  <si>
    <t>CATION PROPORTIONS</t>
  </si>
  <si>
    <t>CATION PFRACTIONS</t>
  </si>
  <si>
    <t>Index</t>
  </si>
  <si>
    <r>
      <t>T&gt;1050</t>
    </r>
    <r>
      <rPr>
        <vertAlign val="superscript"/>
        <sz val="10"/>
        <rFont val="Verdana"/>
        <family val="2"/>
      </rPr>
      <t xml:space="preserve"> o</t>
    </r>
    <r>
      <rPr>
        <sz val="10"/>
        <rFont val="Verdana"/>
      </rPr>
      <t>C = 0.28+/-0.11</t>
    </r>
  </si>
  <si>
    <r>
      <t>T&lt;1050</t>
    </r>
    <r>
      <rPr>
        <vertAlign val="superscript"/>
        <sz val="10"/>
        <rFont val="Verdana"/>
        <family val="2"/>
      </rPr>
      <t xml:space="preserve"> o</t>
    </r>
    <r>
      <rPr>
        <sz val="10"/>
        <rFont val="Verdana"/>
      </rPr>
      <t>C = 0.1+/-0.05</t>
    </r>
  </si>
  <si>
    <t>SiO2_Liq_cat_frac</t>
  </si>
  <si>
    <t>Real Mg# Added (penny)</t>
  </si>
  <si>
    <t>*dividing by molar masses?</t>
  </si>
  <si>
    <r>
      <t>SiO</t>
    </r>
    <r>
      <rPr>
        <sz val="7"/>
        <color indexed="63"/>
        <rFont val="Segoe UI"/>
        <family val="2"/>
      </rPr>
      <t>2</t>
    </r>
  </si>
  <si>
    <r>
      <t>TiO</t>
    </r>
    <r>
      <rPr>
        <sz val="7"/>
        <color indexed="63"/>
        <rFont val="Segoe UI"/>
        <family val="2"/>
      </rPr>
      <t>2</t>
    </r>
  </si>
  <si>
    <r>
      <t>Al</t>
    </r>
    <r>
      <rPr>
        <sz val="7"/>
        <color indexed="63"/>
        <rFont val="Segoe UI"/>
        <family val="2"/>
      </rPr>
      <t>2</t>
    </r>
    <r>
      <rPr>
        <sz val="10"/>
        <color indexed="63"/>
        <rFont val="Segoe UI"/>
        <family val="2"/>
      </rPr>
      <t>O</t>
    </r>
    <r>
      <rPr>
        <sz val="7"/>
        <color indexed="63"/>
        <rFont val="Segoe UI"/>
        <family val="2"/>
      </rPr>
      <t>3</t>
    </r>
  </si>
  <si>
    <t>FeO*</t>
  </si>
  <si>
    <r>
      <t>Na</t>
    </r>
    <r>
      <rPr>
        <sz val="7"/>
        <color indexed="63"/>
        <rFont val="Segoe UI"/>
        <family val="2"/>
      </rPr>
      <t>2</t>
    </r>
    <r>
      <rPr>
        <sz val="10"/>
        <color indexed="63"/>
        <rFont val="Segoe UI"/>
        <family val="2"/>
      </rPr>
      <t>O</t>
    </r>
  </si>
  <si>
    <r>
      <t>K</t>
    </r>
    <r>
      <rPr>
        <sz val="7"/>
        <color indexed="63"/>
        <rFont val="Segoe UI"/>
        <family val="2"/>
      </rPr>
      <t>2</t>
    </r>
    <r>
      <rPr>
        <sz val="10"/>
        <color indexed="63"/>
        <rFont val="Segoe UI"/>
        <family val="2"/>
      </rPr>
      <t>O</t>
    </r>
  </si>
  <si>
    <r>
      <t>P</t>
    </r>
    <r>
      <rPr>
        <sz val="7"/>
        <color indexed="63"/>
        <rFont val="Segoe UI"/>
        <family val="2"/>
      </rPr>
      <t>2</t>
    </r>
    <r>
      <rPr>
        <sz val="10"/>
        <color indexed="63"/>
        <rFont val="Segoe UI"/>
        <family val="2"/>
      </rPr>
      <t>O</t>
    </r>
    <r>
      <rPr>
        <sz val="7"/>
        <color indexed="63"/>
        <rFont val="Segoe UI"/>
        <family val="2"/>
      </rPr>
      <t>5</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</si>
</sst>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70" formatCode="_(&quot;$&quot;* #,##0.00_);_(&quot;$&quot;* \(#,##0.00\);_(&quot;$&quot;* &quot;-&quot;??_);_(@_)"/>
    <numFmt numFmtId="172" formatCode="0.0"/>
    <numFmt numFmtId="173" formatCode="0.0000"/>
    <numFmt numFmtId="179" formatCode="0.00000"/>
    <numFmt numFmtId="181" formatCode="0.000000"/>
  </numFmts>
  <fonts count="23" x14ac:knownFonts="1">
    <font>
      <sz val="10"/>
      <name val="Verdana"/>
    </font>
    <font>
      <b/>
      <sz val="10"/>
      <name val="Verdana"/>
    </font>
    <font>
      <sz val="10"/>
      <name val="Verdana"/>
      <family val="2"/>
    </font>
    <font>
      <sz val="8"/>
      <name val="Verdana"/>
      <family val="2"/>
    </font>
    <font>
      <b/>
      <sz val="18"/>
      <color indexed="8"/>
      <name val="Verdana"/>
      <family val="2"/>
    </font>
    <font>
      <sz val="10"/>
      <color indexed="8"/>
      <name val="Verdana"/>
      <family val="2"/>
    </font>
    <font>
      <sz val="18"/>
      <color indexed="8"/>
      <name val="Verdana"/>
      <family val="2"/>
    </font>
    <font>
      <sz val="14"/>
      <color indexed="8"/>
      <name val="Verdana"/>
      <family val="2"/>
    </font>
    <font>
      <sz val="11"/>
      <color indexed="8"/>
      <name val="Verdana"/>
      <family val="2"/>
    </font>
    <font>
      <b/>
      <sz val="11"/>
      <color indexed="8"/>
      <name val="Verdana"/>
      <family val="2"/>
    </font>
    <font>
      <b/>
      <sz val="14"/>
      <name val="Verdana"/>
      <family val="2"/>
    </font>
    <font>
      <vertAlign val="subscript"/>
      <sz val="10"/>
      <name val="Verdana"/>
      <family val="2"/>
    </font>
    <font>
      <vertAlign val="superscript"/>
      <sz val="10"/>
      <name val="Verdana"/>
      <family val="2"/>
    </font>
    <font>
      <b/>
      <vertAlign val="subscript"/>
      <sz val="10"/>
      <name val="Verdana"/>
      <family val="2"/>
    </font>
    <font>
      <sz val="9"/>
      <color indexed="81"/>
      <name val="Verdana"/>
      <family val="2"/>
    </font>
    <font>
      <b/>
      <sz val="9"/>
      <color indexed="81"/>
      <name val="Verdana"/>
      <family val="2"/>
    </font>
    <font>
      <b/>
      <sz val="7"/>
      <name val="Segoe UI"/>
      <family val="2"/>
    </font>
    <font>
      <b/>
      <sz val="10"/>
      <name val="Verdana"/>
      <family val="2"/>
    </font>
    <font>
      <sz val="10"/>
      <name val="Arial"/>
      <family val="2"/>
    </font>
    <font>
      <sz val="12"/>
      <name val="Arial"/>
      <family val="2"/>
    </font>
    <font>
      <sz val="10"/>
      <color indexed="63"/>
      <name val="Segoe UI"/>
      <family val="2"/>
    </font>
    <font>
      <sz val="7"/>
      <color indexed="63"/>
      <name val="Segoe UI"/>
      <family val="2"/>
    </font>
    <font>
      <sz val="10"/>
      <color rgb="FF333333"/>
      <name val="Segoe UI"/>
      <family val="2"/>
    </font>
  </fonts>
  <fills count="8">
    <fill>
      <patternFill patternType="none"/>
    </fill>
    <fill>
      <patternFill patternType="gray125"/>
    </fill>
    <fill>
      <patternFill patternType="solid">
        <fgColor indexed="22"/>
        <bgColor indexed="64"/>
      </patternFill>
    </fill>
    <fill>
      <patternFill patternType="solid">
        <fgColor indexed="44"/>
        <bgColor indexed="64"/>
      </patternFill>
    </fill>
    <fill>
      <patternFill patternType="solid">
        <fgColor indexed="45"/>
        <bgColor indexed="64"/>
      </patternFill>
    </fill>
    <fill>
      <patternFill patternType="solid">
        <fgColor rgb="FFFF0000"/>
        <bgColor indexed="64"/>
      </patternFill>
    </fill>
    <fill>
      <patternFill patternType="solid">
        <fgColor rgb="FFFCFCFC"/>
        <bgColor indexed="64"/>
      </patternFill>
    </fill>
    <fill>
      <patternFill patternType="solid">
        <fgColor theme="0" tint="-0.249977111117893"/>
        <bgColor indexed="64"/>
      </patternFill>
    </fill>
  </fills>
  <borders count="21">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rgb="FFA6A6A6"/>
      </left>
      <right style="medium">
        <color rgb="FFD5D5D5"/>
      </right>
      <top style="medium">
        <color rgb="FFA6A6A6"/>
      </top>
      <bottom style="medium">
        <color rgb="FFD5D5D5"/>
      </bottom>
      <diagonal/>
    </border>
    <border>
      <left style="medium">
        <color rgb="FFD5D5D5"/>
      </left>
      <right style="medium">
        <color rgb="FFD5D5D5"/>
      </right>
      <top style="medium">
        <color rgb="FFA6A6A6"/>
      </top>
      <bottom style="medium">
        <color rgb="FFD5D5D5"/>
      </bottom>
      <diagonal/>
    </border>
    <border>
      <left style="medium">
        <color rgb="FFD5D5D5"/>
      </left>
      <right style="medium">
        <color rgb="FFD5D5D5"/>
      </right>
      <top style="medium">
        <color rgb="FFA6A6A6"/>
      </top>
      <bottom style="medium">
        <color rgb="FFA6A6A6"/>
      </bottom>
      <diagonal/>
    </border>
    <border>
      <left style="medium">
        <color rgb="FFA6A6A6"/>
      </left>
      <right style="medium">
        <color rgb="FFD5D5D5"/>
      </right>
      <top style="medium">
        <color rgb="FFD5D5D5"/>
      </top>
      <bottom style="medium">
        <color rgb="FFA6A6A6"/>
      </bottom>
      <diagonal/>
    </border>
    <border>
      <left style="medium">
        <color rgb="FFD5D5D5"/>
      </left>
      <right style="medium">
        <color rgb="FFD5D5D5"/>
      </right>
      <top style="medium">
        <color rgb="FFD5D5D5"/>
      </top>
      <bottom style="medium">
        <color rgb="FFA6A6A6"/>
      </bottom>
      <diagonal/>
    </border>
    <border>
      <left style="medium">
        <color rgb="FFA6A6A6"/>
      </left>
      <right style="medium">
        <color rgb="FFD5D5D5"/>
      </right>
      <top style="medium">
        <color rgb="FFA6A6A6"/>
      </top>
      <bottom style="medium">
        <color rgb="FFA6A6A6"/>
      </bottom>
      <diagonal/>
    </border>
  </borders>
  <cellStyleXfs count="3">
    <xf numFmtId="0" fontId="0" fillId="0" borderId="0"/>
    <xf numFmtId="170" fontId="18" fillId="0" borderId="0" applyFont="0" applyFill="0" applyBorder="0" applyAlignment="0" applyProtection="0"/>
    <xf numFmtId="0" fontId="18" fillId="0" borderId="0" applyFill="0"/>
  </cellStyleXfs>
  <cellXfs count="100">
    <xf numFmtId="0" fontId="0" fillId="0" borderId="0" xfId="0"/>
    <xf numFmtId="0" fontId="0" fillId="0" borderId="0" xfId="0" applyAlignment="1">
      <alignment horizontal="left"/>
    </xf>
    <xf numFmtId="0" fontId="2" fillId="0" borderId="0" xfId="0" applyFont="1" applyFill="1"/>
    <xf numFmtId="0" fontId="2" fillId="0" borderId="0" xfId="0" applyFont="1" applyFill="1" applyAlignment="1">
      <alignment horizontal="left"/>
    </xf>
    <xf numFmtId="0" fontId="2" fillId="0" borderId="0" xfId="0" applyFont="1" applyFill="1" applyAlignment="1">
      <alignment horizontal="center"/>
    </xf>
    <xf numFmtId="0" fontId="4" fillId="0" borderId="0" xfId="0" applyFont="1"/>
    <xf numFmtId="0" fontId="5" fillId="0" borderId="0" xfId="0" applyFont="1"/>
    <xf numFmtId="0" fontId="6" fillId="0" borderId="0" xfId="0" applyFont="1"/>
    <xf numFmtId="0" fontId="7" fillId="0" borderId="0" xfId="0" applyFont="1"/>
    <xf numFmtId="0" fontId="5" fillId="0" borderId="1" xfId="0" applyFont="1" applyFill="1" applyBorder="1" applyAlignment="1">
      <alignment horizontal="center"/>
    </xf>
    <xf numFmtId="0" fontId="5" fillId="0" borderId="2" xfId="0" applyFont="1" applyFill="1" applyBorder="1" applyAlignment="1">
      <alignment horizontal="center"/>
    </xf>
    <xf numFmtId="0" fontId="5" fillId="0" borderId="0" xfId="0" applyFont="1" applyFill="1" applyAlignment="1">
      <alignment horizontal="left"/>
    </xf>
    <xf numFmtId="0" fontId="8" fillId="0" borderId="3" xfId="0" applyFont="1" applyFill="1" applyBorder="1" applyAlignment="1">
      <alignment horizontal="center"/>
    </xf>
    <xf numFmtId="0" fontId="5" fillId="0" borderId="4" xfId="0" applyFont="1" applyFill="1" applyBorder="1" applyAlignment="1">
      <alignment horizontal="center"/>
    </xf>
    <xf numFmtId="0" fontId="8" fillId="0" borderId="5" xfId="0" applyFont="1" applyFill="1" applyBorder="1" applyAlignment="1">
      <alignment horizontal="center"/>
    </xf>
    <xf numFmtId="0" fontId="8" fillId="0" borderId="0" xfId="0" applyFont="1" applyFill="1" applyAlignment="1">
      <alignment horizontal="center"/>
    </xf>
    <xf numFmtId="0" fontId="8" fillId="0" borderId="0" xfId="0" applyFont="1" applyFill="1" applyAlignment="1">
      <alignment horizontal="left"/>
    </xf>
    <xf numFmtId="0" fontId="9" fillId="0" borderId="0" xfId="0" applyFont="1"/>
    <xf numFmtId="0" fontId="9" fillId="0" borderId="0" xfId="0" applyFont="1" applyAlignment="1">
      <alignment horizontal="left"/>
    </xf>
    <xf numFmtId="0" fontId="9" fillId="0" borderId="0" xfId="0" applyFont="1" applyAlignment="1">
      <alignment horizontal="center"/>
    </xf>
    <xf numFmtId="0" fontId="9" fillId="2" borderId="6" xfId="0" applyFont="1" applyFill="1" applyBorder="1" applyAlignment="1">
      <alignment horizontal="center"/>
    </xf>
    <xf numFmtId="0" fontId="8" fillId="0" borderId="7" xfId="0" applyFont="1" applyFill="1" applyBorder="1" applyAlignment="1">
      <alignment horizontal="center"/>
    </xf>
    <xf numFmtId="0" fontId="9" fillId="2" borderId="0" xfId="0" applyFont="1" applyFill="1" applyAlignment="1">
      <alignment horizontal="left"/>
    </xf>
    <xf numFmtId="0" fontId="8" fillId="2" borderId="0" xfId="0" applyFont="1" applyFill="1"/>
    <xf numFmtId="0" fontId="9" fillId="0" borderId="0" xfId="0" applyFont="1" applyFill="1"/>
    <xf numFmtId="0" fontId="2" fillId="2" borderId="0" xfId="0" applyFont="1" applyFill="1" applyAlignment="1">
      <alignment horizontal="center"/>
    </xf>
    <xf numFmtId="0" fontId="5" fillId="0" borderId="8" xfId="0" applyFont="1" applyFill="1" applyBorder="1"/>
    <xf numFmtId="0" fontId="5" fillId="0" borderId="9" xfId="0" applyFont="1" applyFill="1" applyBorder="1"/>
    <xf numFmtId="0" fontId="2" fillId="0" borderId="1" xfId="0" applyFont="1" applyFill="1" applyBorder="1"/>
    <xf numFmtId="0" fontId="2" fillId="0" borderId="10" xfId="0" applyFont="1" applyFill="1" applyBorder="1"/>
    <xf numFmtId="0" fontId="2" fillId="0" borderId="2" xfId="0" applyFont="1" applyFill="1" applyBorder="1"/>
    <xf numFmtId="0" fontId="2" fillId="0" borderId="3" xfId="0" applyFont="1" applyFill="1" applyBorder="1"/>
    <xf numFmtId="0" fontId="2" fillId="0" borderId="0" xfId="0" applyFont="1" applyFill="1" applyBorder="1"/>
    <xf numFmtId="0" fontId="2" fillId="0" borderId="4" xfId="0" applyFont="1" applyFill="1" applyBorder="1"/>
    <xf numFmtId="0" fontId="2" fillId="0" borderId="7" xfId="0" applyFont="1" applyFill="1" applyBorder="1"/>
    <xf numFmtId="0" fontId="2" fillId="0" borderId="6" xfId="0" applyFont="1" applyFill="1" applyBorder="1"/>
    <xf numFmtId="0" fontId="2" fillId="0" borderId="5" xfId="0" applyFont="1" applyFill="1" applyBorder="1"/>
    <xf numFmtId="0" fontId="0" fillId="0" borderId="7" xfId="0" applyBorder="1"/>
    <xf numFmtId="0" fontId="0" fillId="0" borderId="6" xfId="0" applyBorder="1"/>
    <xf numFmtId="0" fontId="0" fillId="0" borderId="5" xfId="0" applyBorder="1"/>
    <xf numFmtId="0" fontId="1" fillId="0" borderId="1" xfId="0" applyFont="1" applyFill="1" applyBorder="1"/>
    <xf numFmtId="0" fontId="1" fillId="0" borderId="10" xfId="0" applyFont="1" applyFill="1" applyBorder="1"/>
    <xf numFmtId="0" fontId="1" fillId="0" borderId="2" xfId="0" applyFont="1" applyFill="1" applyBorder="1"/>
    <xf numFmtId="0" fontId="1" fillId="0" borderId="3" xfId="0" applyFont="1" applyFill="1" applyBorder="1"/>
    <xf numFmtId="0" fontId="1" fillId="0" borderId="0" xfId="0" applyFont="1" applyFill="1" applyBorder="1"/>
    <xf numFmtId="0" fontId="1" fillId="0" borderId="4" xfId="0" applyFont="1" applyFill="1" applyBorder="1"/>
    <xf numFmtId="0" fontId="1" fillId="0" borderId="7" xfId="0" applyFont="1" applyFill="1" applyBorder="1"/>
    <xf numFmtId="0" fontId="1" fillId="0" borderId="6" xfId="0" applyFont="1" applyFill="1" applyBorder="1"/>
    <xf numFmtId="0" fontId="1" fillId="0" borderId="5" xfId="0" applyFont="1" applyFill="1" applyBorder="1"/>
    <xf numFmtId="0" fontId="5" fillId="0" borderId="8" xfId="0" applyFont="1" applyFill="1" applyBorder="1" applyAlignment="1">
      <alignment horizontal="center"/>
    </xf>
    <xf numFmtId="0" fontId="5" fillId="0" borderId="9" xfId="0" applyFont="1" applyFill="1" applyBorder="1" applyAlignment="1">
      <alignment horizontal="center"/>
    </xf>
    <xf numFmtId="0" fontId="8" fillId="2" borderId="0" xfId="0" applyFont="1" applyFill="1" applyAlignment="1">
      <alignment horizontal="center"/>
    </xf>
    <xf numFmtId="0" fontId="9" fillId="0" borderId="0" xfId="0" applyFont="1" applyFill="1" applyBorder="1" applyAlignment="1">
      <alignment horizontal="center"/>
    </xf>
    <xf numFmtId="0" fontId="0" fillId="0" borderId="0" xfId="0" applyAlignment="1">
      <alignment horizontal="center"/>
    </xf>
    <xf numFmtId="172" fontId="2" fillId="0" borderId="0" xfId="0" applyNumberFormat="1" applyFont="1" applyFill="1" applyAlignment="1">
      <alignment horizontal="center"/>
    </xf>
    <xf numFmtId="172" fontId="2" fillId="3" borderId="0" xfId="0" applyNumberFormat="1" applyFont="1" applyFill="1" applyAlignment="1">
      <alignment horizontal="center"/>
    </xf>
    <xf numFmtId="2" fontId="2" fillId="3" borderId="0" xfId="0" applyNumberFormat="1" applyFont="1" applyFill="1" applyAlignment="1">
      <alignment horizontal="center"/>
    </xf>
    <xf numFmtId="0" fontId="2" fillId="3" borderId="0" xfId="0" applyFont="1" applyFill="1" applyAlignment="1">
      <alignment horizontal="left"/>
    </xf>
    <xf numFmtId="0" fontId="2" fillId="3" borderId="0" xfId="0" applyFont="1" applyFill="1" applyAlignment="1">
      <alignment horizontal="center"/>
    </xf>
    <xf numFmtId="0" fontId="10" fillId="3" borderId="0" xfId="0" applyFont="1" applyFill="1" applyAlignment="1">
      <alignment horizontal="left"/>
    </xf>
    <xf numFmtId="172" fontId="2" fillId="0" borderId="0" xfId="0" applyNumberFormat="1" applyFont="1" applyFill="1"/>
    <xf numFmtId="0" fontId="10" fillId="3" borderId="6" xfId="0" applyFont="1" applyFill="1" applyBorder="1" applyAlignment="1">
      <alignment horizontal="left"/>
    </xf>
    <xf numFmtId="0" fontId="2" fillId="3" borderId="6" xfId="0" applyFont="1" applyFill="1" applyBorder="1" applyAlignment="1">
      <alignment horizontal="left"/>
    </xf>
    <xf numFmtId="0" fontId="2" fillId="3" borderId="6" xfId="0" applyFont="1" applyFill="1" applyBorder="1" applyAlignment="1">
      <alignment horizontal="center"/>
    </xf>
    <xf numFmtId="0" fontId="2" fillId="3" borderId="0" xfId="0" applyFont="1" applyFill="1" applyBorder="1" applyAlignment="1">
      <alignment horizontal="left"/>
    </xf>
    <xf numFmtId="0" fontId="0" fillId="0" borderId="0" xfId="0" applyFill="1" applyAlignment="1">
      <alignment horizontal="left"/>
    </xf>
    <xf numFmtId="0" fontId="2" fillId="0" borderId="0" xfId="0" applyFont="1" applyFill="1" applyBorder="1" applyAlignment="1">
      <alignment horizontal="left"/>
    </xf>
    <xf numFmtId="0" fontId="1" fillId="4" borderId="0" xfId="0" applyFont="1" applyFill="1" applyAlignment="1">
      <alignment horizontal="left"/>
    </xf>
    <xf numFmtId="0" fontId="0" fillId="4" borderId="0" xfId="0" applyFill="1" applyAlignment="1">
      <alignment horizontal="left"/>
    </xf>
    <xf numFmtId="0" fontId="0" fillId="0" borderId="0" xfId="0" applyFill="1" applyAlignment="1">
      <alignment horizontal="center"/>
    </xf>
    <xf numFmtId="0" fontId="0" fillId="2" borderId="0" xfId="0" applyFill="1" applyAlignment="1">
      <alignment horizontal="center"/>
    </xf>
    <xf numFmtId="0" fontId="8" fillId="3" borderId="0" xfId="0" applyFont="1" applyFill="1" applyBorder="1" applyAlignment="1">
      <alignment horizontal="center"/>
    </xf>
    <xf numFmtId="0" fontId="8" fillId="3" borderId="0" xfId="0" applyFont="1" applyFill="1" applyAlignment="1">
      <alignment horizontal="center"/>
    </xf>
    <xf numFmtId="0" fontId="2" fillId="3" borderId="11" xfId="0" applyFont="1" applyFill="1" applyBorder="1" applyAlignment="1">
      <alignment horizontal="center"/>
    </xf>
    <xf numFmtId="0" fontId="0" fillId="3" borderId="12" xfId="0" applyFill="1" applyBorder="1" applyAlignment="1">
      <alignment horizontal="center"/>
    </xf>
    <xf numFmtId="0" fontId="2" fillId="3" borderId="12" xfId="0" applyFont="1" applyFill="1" applyBorder="1" applyAlignment="1">
      <alignment horizontal="center"/>
    </xf>
    <xf numFmtId="0" fontId="1" fillId="3" borderId="13" xfId="0" applyFont="1" applyFill="1" applyBorder="1" applyAlignment="1">
      <alignment horizontal="center"/>
    </xf>
    <xf numFmtId="0" fontId="1" fillId="3" borderId="11" xfId="0" applyFont="1" applyFill="1" applyBorder="1" applyAlignment="1">
      <alignment horizontal="center"/>
    </xf>
    <xf numFmtId="0" fontId="0" fillId="3" borderId="11" xfId="0" applyFill="1" applyBorder="1" applyAlignment="1">
      <alignment horizontal="center"/>
    </xf>
    <xf numFmtId="0" fontId="7" fillId="0" borderId="14" xfId="0" applyFont="1" applyFill="1" applyBorder="1" applyAlignment="1">
      <alignment horizontal="left"/>
    </xf>
    <xf numFmtId="0" fontId="1" fillId="0" borderId="0" xfId="0" applyFont="1" applyFill="1"/>
    <xf numFmtId="0" fontId="1" fillId="3" borderId="0" xfId="0" applyFont="1" applyFill="1" applyAlignment="1">
      <alignment horizontal="center"/>
    </xf>
    <xf numFmtId="0" fontId="1" fillId="3" borderId="6" xfId="0" applyFont="1" applyFill="1" applyBorder="1" applyAlignment="1">
      <alignment horizontal="center"/>
    </xf>
    <xf numFmtId="0" fontId="1" fillId="3" borderId="5" xfId="0" applyFont="1" applyFill="1" applyBorder="1" applyAlignment="1">
      <alignment horizontal="center"/>
    </xf>
    <xf numFmtId="0" fontId="16" fillId="0" borderId="0" xfId="0" applyFont="1"/>
    <xf numFmtId="173" fontId="2" fillId="3" borderId="0" xfId="0" applyNumberFormat="1" applyFont="1" applyFill="1" applyAlignment="1">
      <alignment horizontal="center"/>
    </xf>
    <xf numFmtId="179" fontId="2" fillId="3" borderId="0" xfId="0" applyNumberFormat="1" applyFont="1" applyFill="1" applyAlignment="1">
      <alignment horizontal="center"/>
    </xf>
    <xf numFmtId="0" fontId="2" fillId="5" borderId="0" xfId="0" applyFont="1" applyFill="1"/>
    <xf numFmtId="0" fontId="17" fillId="0" borderId="0" xfId="0" applyFont="1" applyFill="1"/>
    <xf numFmtId="0" fontId="2" fillId="0" borderId="0" xfId="0" applyFont="1"/>
    <xf numFmtId="0" fontId="2" fillId="2" borderId="0" xfId="0" applyFont="1" applyFill="1"/>
    <xf numFmtId="0" fontId="22" fillId="6" borderId="15" xfId="0" applyFont="1" applyFill="1" applyBorder="1" applyAlignment="1">
      <alignment vertical="top" wrapText="1"/>
    </xf>
    <xf numFmtId="0" fontId="22" fillId="6" borderId="16" xfId="0" applyFont="1" applyFill="1" applyBorder="1" applyAlignment="1">
      <alignment horizontal="left" vertical="top" wrapText="1"/>
    </xf>
    <xf numFmtId="0" fontId="22" fillId="6" borderId="17" xfId="0" applyFont="1" applyFill="1" applyBorder="1" applyAlignment="1">
      <alignment horizontal="left" vertical="top" wrapText="1"/>
    </xf>
    <xf numFmtId="0" fontId="22" fillId="6" borderId="18" xfId="0" applyFont="1" applyFill="1" applyBorder="1" applyAlignment="1">
      <alignment vertical="top" wrapText="1"/>
    </xf>
    <xf numFmtId="0" fontId="22" fillId="6" borderId="19" xfId="0" applyFont="1" applyFill="1" applyBorder="1" applyAlignment="1">
      <alignment horizontal="left" vertical="top" wrapText="1"/>
    </xf>
    <xf numFmtId="0" fontId="22" fillId="6" borderId="20" xfId="0" applyFont="1" applyFill="1" applyBorder="1" applyAlignment="1">
      <alignment vertical="top" wrapText="1"/>
    </xf>
    <xf numFmtId="2" fontId="19" fillId="7" borderId="0" xfId="2" applyNumberFormat="1" applyFont="1" applyFill="1" applyBorder="1" applyAlignment="1">
      <alignment horizontal="center"/>
    </xf>
    <xf numFmtId="2" fontId="19" fillId="7" borderId="0" xfId="2" applyNumberFormat="1" applyFont="1" applyFill="1" applyBorder="1" applyAlignment="1">
      <alignment horizontal="center" wrapText="1"/>
    </xf>
    <xf numFmtId="181" fontId="2" fillId="3" borderId="0" xfId="0" applyNumberFormat="1" applyFont="1" applyFill="1" applyAlignment="1">
      <alignment horizontal="center"/>
    </xf>
  </cellXfs>
  <cellStyles count="3">
    <cellStyle name="Currency 2" xfId="1"/>
    <cellStyle name="Normal" xfId="0" builtinId="0"/>
    <cellStyle name="Normal 2" xfId="2"/>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358140</xdr:colOff>
      <xdr:row>1</xdr:row>
      <xdr:rowOff>22860</xdr:rowOff>
    </xdr:from>
    <xdr:to>
      <xdr:col>10</xdr:col>
      <xdr:colOff>370820</xdr:colOff>
      <xdr:row>52</xdr:row>
      <xdr:rowOff>19050</xdr:rowOff>
    </xdr:to>
    <xdr:sp macro="" textlink="">
      <xdr:nvSpPr>
        <xdr:cNvPr id="2053" name="TextBox 1">
          <a:extLst>
            <a:ext uri="{FF2B5EF4-FFF2-40B4-BE49-F238E27FC236}">
              <a16:creationId xmlns:a16="http://schemas.microsoft.com/office/drawing/2014/main" id="{F59783F7-C987-40AB-ABBF-792F959F4817}"/>
            </a:ext>
          </a:extLst>
        </xdr:cNvPr>
        <xdr:cNvSpPr txBox="1">
          <a:spLocks noChangeArrowheads="1"/>
        </xdr:cNvSpPr>
      </xdr:nvSpPr>
      <xdr:spPr bwMode="auto">
        <a:xfrm>
          <a:off x="504825" y="219075"/>
          <a:ext cx="8420100" cy="8248650"/>
        </a:xfrm>
        <a:prstGeom prst="rect">
          <a:avLst/>
        </a:prstGeom>
        <a:solidFill>
          <a:srgbClr val="FFFFFF"/>
        </a:solidFill>
        <a:ln w="9525">
          <a:solidFill>
            <a:srgbClr val="BCBCBC"/>
          </a:solidFill>
          <a:miter lim="800000"/>
          <a:headEnd/>
          <a:tailEnd/>
        </a:ln>
      </xdr:spPr>
      <xdr:txBody>
        <a:bodyPr vertOverflow="clip" wrap="square" lIns="91440" tIns="45720" rIns="91440" bIns="45720" anchor="t"/>
        <a:lstStyle/>
        <a:p>
          <a:pPr algn="l" rtl="0">
            <a:defRPr sz="1000"/>
          </a:pPr>
          <a:r>
            <a:rPr lang="en-US" sz="1600" b="1" i="0" u="none" strike="noStrike" baseline="0">
              <a:solidFill>
                <a:srgbClr val="000000"/>
              </a:solidFill>
              <a:latin typeface="Calibri"/>
            </a:rPr>
            <a:t>Instructions for Estimating T Using Feldspar-based Thermometers</a:t>
          </a:r>
        </a:p>
        <a:p>
          <a:pPr algn="l" rtl="0">
            <a:defRPr sz="1000"/>
          </a:pPr>
          <a:endParaRPr lang="en-US" sz="1100" b="0" i="0" u="none" strike="noStrike" baseline="0">
            <a:solidFill>
              <a:srgbClr val="000000"/>
            </a:solidFill>
            <a:latin typeface="Calibri"/>
          </a:endParaRPr>
        </a:p>
        <a:p>
          <a:pPr algn="l" rtl="0">
            <a:defRPr sz="1000"/>
          </a:pPr>
          <a:r>
            <a:rPr lang="en-US" sz="1200" b="0" i="0" u="none" strike="noStrike" baseline="0">
              <a:solidFill>
                <a:srgbClr val="000000"/>
              </a:solidFill>
              <a:latin typeface="Calibri"/>
            </a:rPr>
            <a:t>For details see: Putirka, K. (2008) Thermometers and Barometers for Volcanic Systems. In: Putirka, K., Tepley, F. (Eds.), Minerals, Inclusions and Volcanic Processes, Reviews in Mineralogy and Geochemistry, Mineralogical Soc. Am., v. 69, pp. 61-120.</a:t>
          </a:r>
        </a:p>
        <a:p>
          <a:pPr algn="l" rtl="0">
            <a:defRPr sz="1000"/>
          </a:pPr>
          <a:endParaRPr lang="en-US" sz="1200" b="0" i="0" u="none" strike="noStrike" baseline="0">
            <a:solidFill>
              <a:srgbClr val="000000"/>
            </a:solidFill>
            <a:latin typeface="Calibri"/>
          </a:endParaRPr>
        </a:p>
        <a:p>
          <a:pPr algn="l" rtl="0">
            <a:defRPr sz="1000"/>
          </a:pPr>
          <a:r>
            <a:rPr lang="en-US" sz="1200" b="0" i="0" u="sng" strike="noStrike" baseline="0">
              <a:solidFill>
                <a:srgbClr val="000000"/>
              </a:solidFill>
              <a:latin typeface="Calibri"/>
            </a:rPr>
            <a:t>Input</a:t>
          </a:r>
        </a:p>
        <a:p>
          <a:pPr algn="l" rtl="0">
            <a:defRPr sz="1000"/>
          </a:pPr>
          <a:r>
            <a:rPr lang="en-US" sz="1200" b="0" i="0" u="none" strike="noStrike" baseline="0">
              <a:solidFill>
                <a:srgbClr val="000000"/>
              </a:solidFill>
              <a:latin typeface="Calibri"/>
            </a:rPr>
            <a:t>Enter a nominal liquid composition in columns G-R, leaving blank any oxides that are not available. The “liquid” could be the composition of a glass, or the whole rock, or some calculated composition – use whatever you think is most likely to be in equilibrium with a given feldspar, whose composition will be entered in columns U – AD. There are no separate input columns for plagioclase or alkali feldspars – they will all be entered in U – AD. The spreadsheet presents calculations for both alkali and plagioclase feldspars, for any given mineral-liquid pair. It is up to you to decide whether the output in columns AF – AM (plagioclase) or in columns AO – AP (alkali feldspar) are most appropriate.</a:t>
          </a:r>
        </a:p>
        <a:p>
          <a:pPr algn="l" rtl="0">
            <a:defRPr sz="1000"/>
          </a:pPr>
          <a:r>
            <a:rPr lang="en-US" sz="1200" b="0" i="0" u="none" strike="noStrike" baseline="0">
              <a:solidFill>
                <a:srgbClr val="000000"/>
              </a:solidFill>
              <a:latin typeface="Calibri"/>
            </a:rPr>
            <a:t> </a:t>
          </a:r>
        </a:p>
        <a:p>
          <a:pPr algn="l" rtl="0">
            <a:defRPr sz="1000"/>
          </a:pPr>
          <a:r>
            <a:rPr lang="en-US" sz="1200" b="0" i="0" u="none" strike="noStrike" baseline="0">
              <a:solidFill>
                <a:srgbClr val="000000"/>
              </a:solidFill>
              <a:latin typeface="Calibri"/>
            </a:rPr>
            <a:t>As a rule of thumb, you might consider matching mineral rims to matrix glass and mineral cores to whole rock compositions, at least to start. When using mineral core compositions, I often add or subtract minerals from the whole rock so as to achieve Fe-Mg exchange (i.e., following a cotectic). Be aware that in Column J, all Fe is as FeOt. </a:t>
          </a:r>
        </a:p>
        <a:p>
          <a:pPr algn="l" rtl="0">
            <a:defRPr sz="1000"/>
          </a:pPr>
          <a:endParaRPr lang="en-US" sz="1200" b="0" i="0" u="none" strike="noStrike" baseline="0">
            <a:solidFill>
              <a:srgbClr val="000000"/>
            </a:solidFill>
            <a:latin typeface="Calibri"/>
          </a:endParaRPr>
        </a:p>
        <a:p>
          <a:pPr algn="l" rtl="0">
            <a:defRPr sz="1000"/>
          </a:pPr>
          <a:r>
            <a:rPr lang="en-US" sz="1200" b="0" i="0" u="sng" strike="noStrike" baseline="0">
              <a:solidFill>
                <a:srgbClr val="000000"/>
              </a:solidFill>
              <a:latin typeface="Calibri"/>
            </a:rPr>
            <a:t>Settings</a:t>
          </a:r>
        </a:p>
        <a:p>
          <a:pPr algn="l" rtl="0">
            <a:defRPr sz="1000"/>
          </a:pPr>
          <a:r>
            <a:rPr lang="en-US" sz="1200" b="0" i="0" u="none" strike="noStrike" baseline="0">
              <a:solidFill>
                <a:srgbClr val="000000"/>
              </a:solidFill>
              <a:latin typeface="Calibri"/>
            </a:rPr>
            <a:t>In this workbook, most thermometers are P-sensitive and most barometers are T-sensitive. Two equations can be solved simultaneously to arrive at P and T, which is accomplished here by using the output of one model as input for another. To work, you must make certain that under Excel – Preferences – Calculations, that “Iterative” calculations are allowed, otherwise Excel will report a “Circular reference” error. </a:t>
          </a:r>
        </a:p>
        <a:p>
          <a:pPr algn="l" rtl="0">
            <a:defRPr sz="1000"/>
          </a:pPr>
          <a:endParaRPr lang="en-US" sz="1200" b="0" i="0" u="none" strike="noStrike" baseline="0">
            <a:solidFill>
              <a:srgbClr val="000000"/>
            </a:solidFill>
            <a:latin typeface="Calibri"/>
          </a:endParaRPr>
        </a:p>
        <a:p>
          <a:pPr algn="l" rtl="0">
            <a:defRPr sz="1000"/>
          </a:pPr>
          <a:r>
            <a:rPr lang="en-US" sz="1200" b="0" i="0" u="sng" strike="noStrike" baseline="0">
              <a:solidFill>
                <a:srgbClr val="000000"/>
              </a:solidFill>
              <a:latin typeface="Calibri"/>
            </a:rPr>
            <a:t>P-T calculations</a:t>
          </a:r>
        </a:p>
        <a:p>
          <a:pPr algn="l" rtl="0">
            <a:defRPr sz="1000"/>
          </a:pPr>
          <a:r>
            <a:rPr lang="en-US" sz="1200" b="0" i="0" u="none" strike="noStrike" baseline="0">
              <a:solidFill>
                <a:srgbClr val="000000"/>
              </a:solidFill>
              <a:latin typeface="Calibri"/>
            </a:rPr>
            <a:t>I have much less faith in the plag-liq barometer than I did in 2005 (this note is being written in 12/15). Because most thermometers are P-sensitive, input of a nominal pressure of equilibration is included, in column C. A plagioclase-liquid barometer is presented in column AK, but this model, though it seems to work well for some subsets of experimental data, is probably not broadly applicable, and should not be considered valid unless independent tests of P are available. Indeed, the Ca-Na exchange on which it is based, is perhaps put to better use as a test for equilibrium, being nearly constant for most bulk compositions over a wide P-T range (see Putirka, 2008, RiMG volume 69, and see later section, but see note of a typographical error in that volume which is corrected here). The barometer in column AK uses the output of column AF (Eqn. 23) as the input for T, which in column CT is converted to T(K). To change the input T, change column CT to be set equal to whatever T is appropriate.</a:t>
          </a:r>
        </a:p>
        <a:p>
          <a:pPr algn="l" rtl="0">
            <a:defRPr sz="1000"/>
          </a:pPr>
          <a:endParaRPr lang="en-US" sz="1200" b="0" i="0" u="none" strike="noStrike" baseline="0">
            <a:solidFill>
              <a:srgbClr val="000000"/>
            </a:solidFill>
            <a:latin typeface="Calibri"/>
          </a:endParaRPr>
        </a:p>
        <a:p>
          <a:pPr algn="l" rtl="0">
            <a:defRPr sz="1000"/>
          </a:pPr>
          <a:endParaRPr lang="en-US" sz="1200" b="0" i="0" u="none" strike="noStrike" baseline="0">
            <a:solidFill>
              <a:srgbClr val="000000"/>
            </a:solidFill>
            <a:latin typeface="Calibri"/>
          </a:endParaRPr>
        </a:p>
        <a:p>
          <a:pPr algn="l" rtl="0">
            <a:defRPr sz="1000"/>
          </a:pPr>
          <a:r>
            <a:rPr lang="en-US" sz="1200" b="0" i="0" u="sng" strike="noStrike" baseline="0">
              <a:solidFill>
                <a:srgbClr val="000000"/>
              </a:solidFill>
              <a:latin typeface="Calibri"/>
            </a:rPr>
            <a:t>Tests for equilibrium</a:t>
          </a:r>
        </a:p>
        <a:p>
          <a:pPr algn="l" rtl="0">
            <a:defRPr sz="1000"/>
          </a:pPr>
          <a:r>
            <a:rPr lang="en-US" sz="1200" b="0" i="0" u="none" strike="noStrike" baseline="0">
              <a:solidFill>
                <a:srgbClr val="000000"/>
              </a:solidFill>
              <a:latin typeface="Calibri"/>
            </a:rPr>
            <a:t>The best test is to compare T or P estimates from independent equilibria; if such T and/or P estimates are within, say 1 standard deviation, chances are good that that the estimates are valid. Having said that, oftentimes such calculations are not possible. And even when they are, it is a good idea to test whether the phases in question are in equilibrium. </a:t>
          </a:r>
        </a:p>
        <a:p>
          <a:pPr algn="l" rtl="0">
            <a:defRPr sz="1000"/>
          </a:pPr>
          <a:endParaRPr lang="en-US" sz="1200" b="0" i="0" u="none" strike="noStrike" baseline="0">
            <a:solidFill>
              <a:srgbClr val="000000"/>
            </a:solidFill>
            <a:latin typeface="Calibri"/>
          </a:endParaRPr>
        </a:p>
        <a:p>
          <a:pPr algn="l" rtl="0">
            <a:defRPr sz="1000"/>
          </a:pPr>
          <a:r>
            <a:rPr lang="en-US" sz="1200" b="0" i="0" u="none" strike="noStrike" baseline="0">
              <a:solidFill>
                <a:srgbClr val="000000"/>
              </a:solidFill>
              <a:latin typeface="Calibri"/>
            </a:rPr>
            <a:t>For plagioclase feldspars, we present a test for equilibrium by comparing An-Ab exchange. The equilibrium constant is only very slightly sensitive to T. At T&lt;1050</a:t>
          </a:r>
          <a:r>
            <a:rPr lang="en-US" sz="1200" b="0" i="0" u="none" strike="noStrike" baseline="30000">
              <a:solidFill>
                <a:srgbClr val="000000"/>
              </a:solidFill>
              <a:latin typeface="Calibri"/>
            </a:rPr>
            <a:t>o</a:t>
          </a:r>
          <a:r>
            <a:rPr lang="en-US" sz="1200" b="0" i="0" u="none" strike="noStrike" baseline="0">
              <a:solidFill>
                <a:srgbClr val="000000"/>
              </a:solidFill>
              <a:latin typeface="Calibri"/>
            </a:rPr>
            <a:t>C, the value should be about 0.1±0.05, otherwise, at T&gt;1050</a:t>
          </a:r>
          <a:r>
            <a:rPr lang="en-US" sz="1200" b="0" i="0" u="none" strike="noStrike" baseline="30000">
              <a:solidFill>
                <a:srgbClr val="000000"/>
              </a:solidFill>
              <a:latin typeface="Calibri"/>
            </a:rPr>
            <a:t>o</a:t>
          </a:r>
          <a:r>
            <a:rPr lang="en-US" sz="1200" b="0" i="0" u="none" strike="noStrike" baseline="0">
              <a:solidFill>
                <a:srgbClr val="000000"/>
              </a:solidFill>
              <a:latin typeface="Calibri"/>
            </a:rPr>
            <a:t>C it should be 0.28±0.11. See column AQ for the calculation and equilibrium parameters. Please note that these values and relationships correct typographical errors in teh RIMG volume (2008; chapter 2), where the temperatures for the values of the two exchange coefficients are reversed, and similar errors in earlier versions of this spreadsheet.</a:t>
          </a:r>
        </a:p>
        <a:p>
          <a:pPr algn="l" rtl="0">
            <a:defRPr sz="1000"/>
          </a:pP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7" zoomScale="150" zoomScaleNormal="150" workbookViewId="0"/>
  </sheetViews>
  <sheetFormatPr defaultColWidth="11" defaultRowHeight="12.6" x14ac:dyDescent="0.2"/>
  <sheetData/>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V45"/>
  <sheetViews>
    <sheetView tabSelected="1" topLeftCell="D8" zoomScale="90" zoomScaleNormal="90" workbookViewId="0">
      <selection activeCell="E13" sqref="E13"/>
    </sheetView>
  </sheetViews>
  <sheetFormatPr defaultColWidth="10.7265625" defaultRowHeight="12.6" x14ac:dyDescent="0.2"/>
  <cols>
    <col min="1" max="1" width="23.81640625" style="2" customWidth="1"/>
    <col min="2" max="2" width="23" style="3" customWidth="1"/>
    <col min="3" max="3" width="15.1796875" style="4" customWidth="1"/>
    <col min="4" max="4" width="14.26953125" style="4" customWidth="1"/>
    <col min="5" max="5" width="11" customWidth="1"/>
    <col min="6" max="6" width="10.7265625" style="1"/>
    <col min="7" max="15" width="10.7265625" style="4"/>
    <col min="16" max="16" width="9.26953125" style="4" customWidth="1"/>
    <col min="17" max="18" width="10.7265625" style="4"/>
    <col min="19" max="20" width="10.7265625" style="2"/>
    <col min="21" max="31" width="10.7265625" style="4"/>
    <col min="32" max="32" width="15.26953125" style="3" customWidth="1"/>
    <col min="33" max="33" width="10.7265625" style="3"/>
    <col min="34" max="35" width="15.1796875" style="3" customWidth="1"/>
    <col min="36" max="36" width="10.7265625" style="4"/>
    <col min="37" max="37" width="13.1796875" style="3" customWidth="1"/>
    <col min="38" max="38" width="10.7265625" style="3"/>
    <col min="39" max="39" width="12" style="2" customWidth="1"/>
    <col min="40" max="42" width="10.7265625" style="2"/>
    <col min="43" max="43" width="22.1796875" style="4" customWidth="1"/>
    <col min="44" max="44" width="10.7265625" style="3"/>
    <col min="45" max="45" width="31.1796875" style="3" customWidth="1"/>
    <col min="46" max="46" width="29" style="3" customWidth="1"/>
    <col min="47" max="48" width="10.7265625" style="4"/>
    <col min="49" max="58" width="10.7265625" style="2"/>
    <col min="59" max="59" width="5" style="2" customWidth="1"/>
    <col min="60" max="69" width="10.7265625" style="2"/>
    <col min="70" max="70" width="4.81640625" style="2" customWidth="1"/>
    <col min="71" max="79" width="10.7265625" style="2"/>
    <col min="80" max="80" width="7.1796875" style="2" customWidth="1"/>
    <col min="81" max="89" width="10.7265625" style="2"/>
    <col min="90" max="91" width="5.7265625" style="2" customWidth="1"/>
    <col min="92" max="93" width="10.7265625" style="2"/>
    <col min="94" max="94" width="8" style="2" customWidth="1"/>
    <col min="95" max="95" width="2.26953125" style="2" customWidth="1"/>
    <col min="96" max="97" width="10.7265625" style="2"/>
    <col min="98" max="98" width="13.26953125" style="2" customWidth="1"/>
    <col min="99" max="101" width="10.7265625" style="2"/>
    <col min="102" max="102" width="3.7265625" style="2" customWidth="1"/>
    <col min="103" max="103" width="16.6328125" style="2" bestFit="1" customWidth="1"/>
    <col min="104" max="105" width="10.7265625" style="2"/>
    <col min="106" max="106" width="3.81640625" style="2" customWidth="1"/>
    <col min="107" max="108" width="10.7265625" style="2"/>
    <col min="109" max="109" width="10.7265625" style="87"/>
    <col min="110" max="118" width="10.7265625" style="2"/>
    <col min="119" max="119" width="12" style="2" bestFit="1" customWidth="1"/>
    <col min="120" max="120" width="12.7265625" style="2" bestFit="1" customWidth="1"/>
    <col min="121" max="16384" width="10.7265625" style="2"/>
  </cols>
  <sheetData>
    <row r="1" spans="1:126" ht="22.2" x14ac:dyDescent="0.35">
      <c r="A1" s="5" t="s">
        <v>34</v>
      </c>
      <c r="BK1" s="84" t="s">
        <v>121</v>
      </c>
    </row>
    <row r="2" spans="1:126" x14ac:dyDescent="0.2">
      <c r="A2" s="6"/>
    </row>
    <row r="3" spans="1:126" ht="22.2" x14ac:dyDescent="0.35">
      <c r="A3" s="7" t="s">
        <v>105</v>
      </c>
    </row>
    <row r="4" spans="1:126" ht="22.2" x14ac:dyDescent="0.35">
      <c r="A4" s="7" t="s">
        <v>106</v>
      </c>
      <c r="AI4" s="3" t="e">
        <f>25.95-0.0032*#REF!*#REF!-18.9*#REF!+14.5*#REF!-40.3*#REF!</f>
        <v>#REF!</v>
      </c>
    </row>
    <row r="5" spans="1:126" x14ac:dyDescent="0.2">
      <c r="A5" s="6"/>
      <c r="AG5" s="1"/>
      <c r="AH5" s="1"/>
      <c r="AI5" s="3">
        <f>25.95-0.0032*DQ16*CS16</f>
        <v>6.371595562120163</v>
      </c>
      <c r="AK5" s="1"/>
      <c r="AL5" s="1"/>
      <c r="AO5"/>
      <c r="AP5"/>
      <c r="AQ5" s="53"/>
      <c r="AR5" s="65"/>
      <c r="AS5" s="65"/>
      <c r="AT5" s="65"/>
      <c r="CY5"/>
      <c r="CZ5"/>
      <c r="DA5"/>
      <c r="DF5"/>
    </row>
    <row r="6" spans="1:126" ht="17.399999999999999" x14ac:dyDescent="0.3">
      <c r="A6" s="8" t="s">
        <v>107</v>
      </c>
      <c r="AG6" s="1"/>
      <c r="AH6" s="1"/>
      <c r="AI6" s="1"/>
      <c r="AK6" s="1"/>
      <c r="AL6" s="1"/>
      <c r="AM6" s="2" t="e">
        <f>EXP(-3.485+22.93*#REF!+0.0805*#REF!+1.0925*#REF!/(#REF!+#REF!)+13.11*#REF!/(#REF!+#REF!)+5.59258*#REF!^3)</f>
        <v>#REF!</v>
      </c>
      <c r="AO6"/>
      <c r="AP6"/>
      <c r="AQ6" s="53"/>
      <c r="AR6" s="65"/>
      <c r="AS6" s="65"/>
      <c r="AT6" s="65"/>
      <c r="AW6"/>
      <c r="AX6"/>
      <c r="AY6"/>
      <c r="AZ6"/>
      <c r="BA6"/>
      <c r="BB6"/>
      <c r="BC6"/>
      <c r="BD6"/>
      <c r="BE6"/>
      <c r="BF6"/>
      <c r="CY6"/>
      <c r="CZ6"/>
      <c r="DA6"/>
      <c r="DF6"/>
    </row>
    <row r="7" spans="1:126" ht="17.399999999999999" x14ac:dyDescent="0.3">
      <c r="A7" s="8" t="s">
        <v>109</v>
      </c>
      <c r="AG7" s="1"/>
      <c r="AH7" s="1"/>
      <c r="AI7" s="1"/>
      <c r="AK7" s="1"/>
      <c r="AL7" s="1"/>
      <c r="AM7" s="2" t="e">
        <f>-38.786*#REF!/(#REF!)</f>
        <v>#REF!</v>
      </c>
      <c r="AO7"/>
      <c r="AP7"/>
      <c r="AQ7" s="53"/>
      <c r="AR7" s="65"/>
      <c r="AS7" s="67" t="s">
        <v>31</v>
      </c>
      <c r="AT7" s="68"/>
      <c r="CY7"/>
      <c r="CZ7"/>
      <c r="DA7"/>
      <c r="DF7"/>
    </row>
    <row r="8" spans="1:126" ht="17.399999999999999" x14ac:dyDescent="0.3">
      <c r="A8" s="8" t="s">
        <v>111</v>
      </c>
      <c r="AG8" s="1"/>
      <c r="AH8" s="1"/>
      <c r="AI8" s="1"/>
      <c r="AK8" s="1"/>
      <c r="AL8" s="1"/>
      <c r="AO8"/>
      <c r="AP8"/>
      <c r="AR8" s="65"/>
      <c r="AS8" s="67" t="s">
        <v>32</v>
      </c>
      <c r="AT8" s="68"/>
      <c r="CY8"/>
      <c r="CZ8"/>
      <c r="DA8"/>
      <c r="DF8"/>
    </row>
    <row r="9" spans="1:126" ht="17.399999999999999" x14ac:dyDescent="0.3">
      <c r="A9" s="8" t="s">
        <v>110</v>
      </c>
      <c r="AG9" s="1"/>
      <c r="AH9" s="1"/>
      <c r="AI9" s="1"/>
      <c r="AL9" s="1"/>
      <c r="AO9"/>
      <c r="AP9"/>
      <c r="AR9" s="65"/>
      <c r="AS9" s="67" t="s">
        <v>33</v>
      </c>
      <c r="AT9" s="68"/>
      <c r="AW9" s="2" t="s">
        <v>90</v>
      </c>
      <c r="DF9"/>
    </row>
    <row r="10" spans="1:126" ht="17.399999999999999" x14ac:dyDescent="0.3">
      <c r="A10" s="8"/>
      <c r="AG10" s="1"/>
      <c r="AH10" s="1"/>
      <c r="AI10" s="1"/>
      <c r="AL10" s="1"/>
      <c r="AO10"/>
      <c r="AP10"/>
      <c r="AQ10" s="76" t="s">
        <v>74</v>
      </c>
      <c r="AR10" s="65"/>
      <c r="AW10" s="89">
        <v>60.084299999999999</v>
      </c>
      <c r="AX10" s="89">
        <v>79.878799999999998</v>
      </c>
      <c r="AY10" s="89">
        <v>101.961</v>
      </c>
      <c r="AZ10" s="89">
        <v>71.846400000000003</v>
      </c>
      <c r="BA10" s="89">
        <v>70.9375</v>
      </c>
      <c r="BB10" s="89">
        <v>40.304400000000001</v>
      </c>
      <c r="BC10" s="89">
        <v>56.077399999999997</v>
      </c>
      <c r="BD10" s="89">
        <v>61.978900000000003</v>
      </c>
      <c r="BE10" s="89">
        <v>94.195999999999998</v>
      </c>
      <c r="BF10" s="89">
        <f>2*30.97+5*15.9994</f>
        <v>141.93700000000001</v>
      </c>
      <c r="DF10"/>
      <c r="DU10" s="2">
        <v>800</v>
      </c>
      <c r="DV10" s="2">
        <f>DU10</f>
        <v>800</v>
      </c>
    </row>
    <row r="11" spans="1:126" ht="17.399999999999999" x14ac:dyDescent="0.3">
      <c r="A11" s="8"/>
      <c r="B11" s="11"/>
      <c r="C11" s="9" t="s">
        <v>60</v>
      </c>
      <c r="D11" s="10"/>
      <c r="F11" s="11"/>
      <c r="G11" s="79" t="s">
        <v>89</v>
      </c>
      <c r="H11" s="26"/>
      <c r="I11" s="27"/>
      <c r="U11" s="79" t="s">
        <v>108</v>
      </c>
      <c r="V11" s="49"/>
      <c r="W11" s="50"/>
      <c r="X11" s="50"/>
      <c r="AF11" s="61" t="s">
        <v>37</v>
      </c>
      <c r="AG11" s="62"/>
      <c r="AH11" s="62"/>
      <c r="AI11" s="62"/>
      <c r="AJ11" s="62"/>
      <c r="AK11" s="62"/>
      <c r="AL11" s="62"/>
      <c r="AM11" s="62"/>
      <c r="AN11" s="62"/>
      <c r="AO11" s="62"/>
      <c r="AP11" s="62"/>
      <c r="AQ11" s="77" t="s">
        <v>75</v>
      </c>
      <c r="AR11" s="66"/>
      <c r="AS11" s="61" t="s">
        <v>30</v>
      </c>
      <c r="AT11" s="64"/>
      <c r="DF11"/>
      <c r="DU11" s="2">
        <v>1000</v>
      </c>
      <c r="DV11" s="2">
        <f>DU11</f>
        <v>1000</v>
      </c>
    </row>
    <row r="12" spans="1:126" ht="17.399999999999999" x14ac:dyDescent="0.3">
      <c r="A12" s="8"/>
      <c r="B12" s="11"/>
      <c r="C12" s="12" t="s">
        <v>61</v>
      </c>
      <c r="D12" s="13"/>
      <c r="F12" s="11"/>
      <c r="G12" s="3"/>
      <c r="U12" s="3"/>
      <c r="AF12" s="59" t="s">
        <v>39</v>
      </c>
      <c r="AG12" s="57"/>
      <c r="AH12" s="57"/>
      <c r="AI12" s="57"/>
      <c r="AJ12" s="58"/>
      <c r="AK12" s="57"/>
      <c r="AL12" s="57"/>
      <c r="AM12" s="57"/>
      <c r="AN12" s="57"/>
      <c r="AO12" s="57"/>
      <c r="AP12" s="57"/>
      <c r="AQ12" s="74" t="s">
        <v>120</v>
      </c>
      <c r="AS12" s="59" t="s">
        <v>39</v>
      </c>
      <c r="AT12" s="57"/>
      <c r="DD12" s="88" t="s">
        <v>123</v>
      </c>
      <c r="DM12"/>
      <c r="DN12"/>
      <c r="DO12"/>
      <c r="DP12"/>
      <c r="DU12" s="2">
        <v>1200</v>
      </c>
      <c r="DV12" s="2">
        <f>DU12</f>
        <v>1200</v>
      </c>
    </row>
    <row r="13" spans="1:126" ht="14.4" x14ac:dyDescent="0.25">
      <c r="A13" s="6" t="s">
        <v>62</v>
      </c>
      <c r="B13" s="16"/>
      <c r="C13" s="21" t="s">
        <v>20</v>
      </c>
      <c r="D13" s="14" t="s">
        <v>63</v>
      </c>
      <c r="F13" s="16"/>
      <c r="G13" s="3"/>
      <c r="U13" s="3"/>
      <c r="AF13" s="57" t="s">
        <v>103</v>
      </c>
      <c r="AG13" s="57"/>
      <c r="AH13" s="57"/>
      <c r="AI13" s="57"/>
      <c r="AJ13" s="71" t="s">
        <v>38</v>
      </c>
      <c r="AK13" s="57"/>
      <c r="AL13" s="57"/>
      <c r="AM13" s="57" t="s">
        <v>83</v>
      </c>
      <c r="AN13" s="57"/>
      <c r="AO13" s="57"/>
      <c r="AP13" s="57"/>
      <c r="AQ13" s="78" t="s">
        <v>119</v>
      </c>
      <c r="AS13" s="57"/>
      <c r="AT13" s="57"/>
      <c r="AU13" s="52"/>
      <c r="AW13" s="2" t="s">
        <v>115</v>
      </c>
      <c r="BH13" s="28" t="s">
        <v>115</v>
      </c>
      <c r="BI13" s="29"/>
      <c r="BJ13" s="29"/>
      <c r="BK13" s="29"/>
      <c r="BL13" s="29"/>
      <c r="BM13" s="29"/>
      <c r="BN13" s="29"/>
      <c r="BO13" s="29"/>
      <c r="BP13" s="29"/>
      <c r="BQ13" s="30"/>
      <c r="BS13" s="2" t="s">
        <v>40</v>
      </c>
      <c r="CC13" s="28" t="s">
        <v>40</v>
      </c>
      <c r="CD13" s="29"/>
      <c r="CE13" s="29"/>
      <c r="CF13" s="29"/>
      <c r="CG13" s="29"/>
      <c r="CH13" s="29"/>
      <c r="CI13" s="29"/>
      <c r="CJ13" s="29"/>
      <c r="CK13" s="30"/>
      <c r="CN13" s="40" t="s">
        <v>41</v>
      </c>
      <c r="CO13" s="41"/>
      <c r="CP13" s="42"/>
      <c r="DJ13" s="80" t="s">
        <v>50</v>
      </c>
      <c r="DU13" s="2">
        <v>1400</v>
      </c>
      <c r="DV13" s="2">
        <f>DU13</f>
        <v>1400</v>
      </c>
    </row>
    <row r="14" spans="1:126" ht="13.8" x14ac:dyDescent="0.25">
      <c r="A14" s="17"/>
      <c r="B14" s="18"/>
      <c r="C14" s="18" t="s">
        <v>64</v>
      </c>
      <c r="D14" s="19"/>
      <c r="F14" s="18" t="s">
        <v>65</v>
      </c>
      <c r="G14" s="22" t="s">
        <v>68</v>
      </c>
      <c r="H14" s="23"/>
      <c r="I14" s="23"/>
      <c r="J14" s="23"/>
      <c r="K14" s="23"/>
      <c r="L14" s="23"/>
      <c r="M14" s="23"/>
      <c r="N14" s="23"/>
      <c r="O14" s="23"/>
      <c r="P14" s="23"/>
      <c r="Q14" s="23"/>
      <c r="R14" s="23"/>
      <c r="S14" s="24" t="s">
        <v>69</v>
      </c>
      <c r="U14" s="22" t="s">
        <v>42</v>
      </c>
      <c r="V14" s="51"/>
      <c r="W14" s="51"/>
      <c r="X14" s="51"/>
      <c r="Y14" s="51"/>
      <c r="Z14" s="51"/>
      <c r="AA14" s="51"/>
      <c r="AB14" s="51"/>
      <c r="AC14" s="51"/>
      <c r="AD14" s="51"/>
      <c r="AE14" s="15"/>
      <c r="AF14" s="57" t="s">
        <v>38</v>
      </c>
      <c r="AG14" s="57">
        <v>2005</v>
      </c>
      <c r="AH14" s="57" t="s">
        <v>98</v>
      </c>
      <c r="AI14" s="57" t="s">
        <v>18</v>
      </c>
      <c r="AJ14" s="72" t="s">
        <v>27</v>
      </c>
      <c r="AK14" s="57" t="s">
        <v>45</v>
      </c>
      <c r="AL14" s="57" t="s">
        <v>49</v>
      </c>
      <c r="AM14" s="58" t="s">
        <v>84</v>
      </c>
      <c r="AN14" s="58" t="s">
        <v>85</v>
      </c>
      <c r="AO14" s="58" t="s">
        <v>86</v>
      </c>
      <c r="AP14" s="81" t="s">
        <v>87</v>
      </c>
      <c r="AQ14" s="75" t="s">
        <v>47</v>
      </c>
      <c r="AS14" s="58" t="s">
        <v>28</v>
      </c>
      <c r="AT14" s="58" t="s">
        <v>29</v>
      </c>
      <c r="AU14" s="15"/>
      <c r="AV14" s="15"/>
      <c r="AW14" s="2" t="s">
        <v>116</v>
      </c>
      <c r="BH14" s="31" t="s">
        <v>97</v>
      </c>
      <c r="BI14" s="32"/>
      <c r="BJ14" s="32"/>
      <c r="BK14" s="32"/>
      <c r="BL14" s="32"/>
      <c r="BM14" s="32"/>
      <c r="BN14" s="32"/>
      <c r="BO14" s="32"/>
      <c r="BP14" s="32"/>
      <c r="BQ14" s="33"/>
      <c r="BS14" s="2" t="s">
        <v>116</v>
      </c>
      <c r="CC14" s="31" t="s">
        <v>117</v>
      </c>
      <c r="CD14" s="32"/>
      <c r="CE14" s="32"/>
      <c r="CF14" s="32"/>
      <c r="CG14" s="32"/>
      <c r="CH14" s="32"/>
      <c r="CI14" s="32"/>
      <c r="CJ14" s="32"/>
      <c r="CK14" s="33"/>
      <c r="CN14" s="43"/>
      <c r="CO14" s="44"/>
      <c r="CP14" s="45"/>
      <c r="CZ14" s="2" t="s">
        <v>46</v>
      </c>
      <c r="DJ14" s="80" t="s">
        <v>52</v>
      </c>
    </row>
    <row r="15" spans="1:126" ht="15.6" thickBot="1" x14ac:dyDescent="0.35">
      <c r="A15" s="17" t="s">
        <v>66</v>
      </c>
      <c r="B15" s="18" t="s">
        <v>67</v>
      </c>
      <c r="C15" s="20" t="s">
        <v>1</v>
      </c>
      <c r="D15" s="19" t="s">
        <v>0</v>
      </c>
      <c r="F15" s="18" t="s">
        <v>118</v>
      </c>
      <c r="G15" s="20" t="s">
        <v>70</v>
      </c>
      <c r="H15" s="20" t="s">
        <v>71</v>
      </c>
      <c r="I15" s="20" t="s">
        <v>72</v>
      </c>
      <c r="J15" s="20" t="s">
        <v>76</v>
      </c>
      <c r="K15" s="20" t="s">
        <v>77</v>
      </c>
      <c r="L15" s="20" t="s">
        <v>78</v>
      </c>
      <c r="M15" s="20" t="s">
        <v>79</v>
      </c>
      <c r="N15" s="20" t="s">
        <v>80</v>
      </c>
      <c r="O15" s="20" t="s">
        <v>81</v>
      </c>
      <c r="P15" s="20" t="s">
        <v>88</v>
      </c>
      <c r="Q15" s="20" t="s">
        <v>114</v>
      </c>
      <c r="R15" s="20" t="s">
        <v>17</v>
      </c>
      <c r="S15" s="24" t="s">
        <v>104</v>
      </c>
      <c r="U15" s="20" t="s">
        <v>70</v>
      </c>
      <c r="V15" s="20" t="s">
        <v>71</v>
      </c>
      <c r="W15" s="20" t="s">
        <v>72</v>
      </c>
      <c r="X15" s="20" t="s">
        <v>76</v>
      </c>
      <c r="Y15" s="20" t="s">
        <v>77</v>
      </c>
      <c r="Z15" s="20" t="s">
        <v>78</v>
      </c>
      <c r="AA15" s="20" t="s">
        <v>79</v>
      </c>
      <c r="AB15" s="20" t="s">
        <v>80</v>
      </c>
      <c r="AC15" s="20" t="s">
        <v>81</v>
      </c>
      <c r="AD15" s="20" t="s">
        <v>88</v>
      </c>
      <c r="AE15" s="52"/>
      <c r="AF15" s="62" t="s">
        <v>11</v>
      </c>
      <c r="AG15" s="62" t="s">
        <v>16</v>
      </c>
      <c r="AH15" s="62" t="s">
        <v>11</v>
      </c>
      <c r="AI15" s="62" t="s">
        <v>43</v>
      </c>
      <c r="AJ15" s="62" t="s">
        <v>43</v>
      </c>
      <c r="AK15" s="62" t="s">
        <v>44</v>
      </c>
      <c r="AL15" s="62" t="s">
        <v>16</v>
      </c>
      <c r="AM15" s="82" t="s">
        <v>2</v>
      </c>
      <c r="AN15" s="82" t="s">
        <v>3</v>
      </c>
      <c r="AO15" s="82" t="s">
        <v>4</v>
      </c>
      <c r="AP15" s="83" t="s">
        <v>82</v>
      </c>
      <c r="AQ15" s="73" t="s">
        <v>73</v>
      </c>
      <c r="AR15" s="66"/>
      <c r="AS15" s="63" t="s">
        <v>11</v>
      </c>
      <c r="AT15" s="63" t="s">
        <v>11</v>
      </c>
      <c r="AV15" s="52" t="s">
        <v>58</v>
      </c>
      <c r="AW15" s="2" t="s">
        <v>70</v>
      </c>
      <c r="AX15" s="2" t="s">
        <v>71</v>
      </c>
      <c r="AY15" s="2" t="s">
        <v>91</v>
      </c>
      <c r="AZ15" s="2" t="s">
        <v>92</v>
      </c>
      <c r="BA15" s="2" t="s">
        <v>77</v>
      </c>
      <c r="BB15" s="2" t="s">
        <v>78</v>
      </c>
      <c r="BC15" s="2" t="s">
        <v>79</v>
      </c>
      <c r="BD15" s="2" t="s">
        <v>93</v>
      </c>
      <c r="BE15" s="2" t="s">
        <v>94</v>
      </c>
      <c r="BF15" s="2" t="s">
        <v>95</v>
      </c>
      <c r="BG15" s="2" t="s">
        <v>96</v>
      </c>
      <c r="BH15" s="34" t="s">
        <v>70</v>
      </c>
      <c r="BI15" s="35" t="s">
        <v>71</v>
      </c>
      <c r="BJ15" s="35" t="s">
        <v>91</v>
      </c>
      <c r="BK15" s="35" t="s">
        <v>92</v>
      </c>
      <c r="BL15" s="35" t="s">
        <v>77</v>
      </c>
      <c r="BM15" s="35" t="s">
        <v>78</v>
      </c>
      <c r="BN15" s="35" t="s">
        <v>79</v>
      </c>
      <c r="BO15" s="35" t="s">
        <v>93</v>
      </c>
      <c r="BP15" s="35" t="s">
        <v>94</v>
      </c>
      <c r="BQ15" s="36" t="s">
        <v>95</v>
      </c>
      <c r="BS15" s="34" t="s">
        <v>70</v>
      </c>
      <c r="BT15" s="35" t="s">
        <v>71</v>
      </c>
      <c r="BU15" s="35" t="s">
        <v>91</v>
      </c>
      <c r="BV15" s="35" t="s">
        <v>92</v>
      </c>
      <c r="BW15" s="35" t="s">
        <v>77</v>
      </c>
      <c r="BX15" s="35" t="s">
        <v>78</v>
      </c>
      <c r="BY15" s="35" t="s">
        <v>79</v>
      </c>
      <c r="BZ15" s="35" t="s">
        <v>93</v>
      </c>
      <c r="CA15" s="35" t="s">
        <v>94</v>
      </c>
      <c r="CB15" s="32" t="s">
        <v>96</v>
      </c>
      <c r="CC15" s="37" t="s">
        <v>70</v>
      </c>
      <c r="CD15" s="38" t="s">
        <v>71</v>
      </c>
      <c r="CE15" s="38" t="s">
        <v>91</v>
      </c>
      <c r="CF15" s="38" t="s">
        <v>92</v>
      </c>
      <c r="CG15" s="38" t="s">
        <v>77</v>
      </c>
      <c r="CH15" s="38" t="s">
        <v>78</v>
      </c>
      <c r="CI15" s="38" t="s">
        <v>79</v>
      </c>
      <c r="CJ15" s="38" t="s">
        <v>93</v>
      </c>
      <c r="CK15" s="39" t="s">
        <v>94</v>
      </c>
      <c r="CN15" s="46" t="s">
        <v>2</v>
      </c>
      <c r="CO15" s="47" t="s">
        <v>3</v>
      </c>
      <c r="CP15" s="48" t="s">
        <v>4</v>
      </c>
      <c r="CR15" s="2" t="s">
        <v>5</v>
      </c>
      <c r="CS15" s="2" t="s">
        <v>6</v>
      </c>
      <c r="CT15" s="2" t="s">
        <v>7</v>
      </c>
      <c r="CU15" s="2" t="s">
        <v>8</v>
      </c>
      <c r="CV15" s="2" t="s">
        <v>9</v>
      </c>
      <c r="CW15" s="2" t="s">
        <v>10</v>
      </c>
      <c r="CY15" s="2" t="s">
        <v>12</v>
      </c>
      <c r="CZ15" s="2" t="s">
        <v>11</v>
      </c>
      <c r="DA15" s="2" t="s">
        <v>13</v>
      </c>
      <c r="DC15" s="2" t="s">
        <v>14</v>
      </c>
      <c r="DD15" s="2" t="s">
        <v>15</v>
      </c>
      <c r="DE15" s="87" t="s">
        <v>122</v>
      </c>
      <c r="DJ15" s="2" t="s">
        <v>53</v>
      </c>
      <c r="DK15" s="2" t="s">
        <v>54</v>
      </c>
      <c r="DL15" s="2" t="s">
        <v>57</v>
      </c>
      <c r="DM15" s="2" t="s">
        <v>51</v>
      </c>
      <c r="DN15" s="2" t="s">
        <v>55</v>
      </c>
      <c r="DO15" s="2" t="s">
        <v>56</v>
      </c>
      <c r="DP15" s="80" t="s">
        <v>59</v>
      </c>
      <c r="DQ15" s="2" t="s">
        <v>36</v>
      </c>
    </row>
    <row r="16" spans="1:126" ht="15.6" thickBot="1" x14ac:dyDescent="0.3">
      <c r="A16" s="2" t="s">
        <v>19</v>
      </c>
      <c r="B16" s="3" t="s">
        <v>21</v>
      </c>
      <c r="C16" s="25">
        <v>1</v>
      </c>
      <c r="D16" s="69">
        <v>1130</v>
      </c>
      <c r="E16">
        <f t="shared" ref="E16:E30" si="0">C16*10*1000</f>
        <v>10000</v>
      </c>
      <c r="F16" s="3">
        <v>4067</v>
      </c>
      <c r="G16" s="94">
        <v>61.71</v>
      </c>
      <c r="H16" s="96">
        <v>0.45</v>
      </c>
      <c r="I16" s="96">
        <v>18.559999999999999</v>
      </c>
      <c r="J16" s="96">
        <v>3.17</v>
      </c>
      <c r="K16" s="96">
        <v>0.27</v>
      </c>
      <c r="L16" s="96">
        <v>0.23</v>
      </c>
      <c r="M16" s="96">
        <v>1.64</v>
      </c>
      <c r="N16" s="96">
        <v>6.11</v>
      </c>
      <c r="O16" s="96">
        <v>7.09</v>
      </c>
      <c r="P16" s="4">
        <v>0</v>
      </c>
      <c r="Q16" s="96">
        <v>0.02</v>
      </c>
      <c r="R16" s="97">
        <v>2</v>
      </c>
      <c r="S16" s="2">
        <f t="shared" ref="S16:S30" si="1">SUM(G16:Q16)</f>
        <v>99.25</v>
      </c>
      <c r="U16" s="90">
        <v>65.5</v>
      </c>
      <c r="V16" s="90"/>
      <c r="W16" s="90">
        <v>19.600000000000001</v>
      </c>
      <c r="X16" s="90">
        <v>7.0000000000000007E-2</v>
      </c>
      <c r="Y16" s="90"/>
      <c r="Z16" s="90">
        <v>0</v>
      </c>
      <c r="AA16" s="90">
        <v>0.75</v>
      </c>
      <c r="AB16" s="90">
        <v>4.8099999999999996</v>
      </c>
      <c r="AC16" s="90">
        <v>9.36</v>
      </c>
      <c r="AD16" s="25">
        <v>0</v>
      </c>
      <c r="AF16" s="55">
        <f t="shared" ref="AF16:AF30" si="2">10^4/(6.12+0.257*LN(CN16/(BH16^2*BJ16^2*BN16))-3.166*BN16-3.137*CR16+1.216*CO16^2-2.475*10^-2*C16*10+0.2166*R16)-273.15</f>
        <v>1157.8702405098693</v>
      </c>
      <c r="AG16" s="55">
        <f t="shared" ref="AG16:AG30" si="3">-273.15+(10^4/(8.759-6.396*BN16+0.2147*R16+1.221*BH16^3-1.751*10^-2*DA16-8.043*BJ16))</f>
        <v>1055.6689743533898</v>
      </c>
      <c r="AH16" s="55">
        <f t="shared" ref="AH16:AH30" si="4">-273.15+(10^4/(6.4706+0.3128*CS16-8.103*BH16+4.872*BP16+8.661*BH16^2+1.5346*CO16^2-3.341*10^-2*C16*10+0.18047*R16))</f>
        <v>1159.2256296962146</v>
      </c>
      <c r="AI16" s="85">
        <f t="shared" ref="AI16:AI30" si="5">25.95-0.0032*DQ16*CS16-18.9*BP16+14.5*BM16-40.3*BN16+5.7*CN16^2+0.108*C16*10</f>
        <v>5.3027928319225834</v>
      </c>
      <c r="AJ16" s="55">
        <f t="shared" ref="AJ16:AJ30" si="6">24.757-2.26*10^-3*(DQ16+273.15)*CS16-3.847*AN16+1.927*AM16/(BN16/(BN16+BO16))</f>
        <v>16.53244481925973</v>
      </c>
      <c r="AK16" s="55">
        <f>-42.2+(4.94*(10^-2)*CY16)+(1.16*(10^-2)*CY16)*CT16-19.6*LN(CO16)-382.3*BH16^2+514.2*BH16^3-139.8*BN16+287.2*BO16+163.9*BP16</f>
        <v>50.747352907005023</v>
      </c>
      <c r="AL16" s="55">
        <f>-273.15+10^4/(10.86-9.7654*BH16+4.241*BN16-55.56*BN16*BJ16+37.5*BP16*BJ16+11.206*BH16^3-3.151*10^-2*C16*10+0.1709*R16)</f>
        <v>993.68592931085993</v>
      </c>
      <c r="AM16" s="86">
        <f t="shared" ref="AM16:AM30" si="7">EXP(-3.485+22.93*BN16+0.0805*R16+1.0925*BN16/(BN16+BO16)+13.11*BJ16/(BJ16+BH16)+5.59258*BH16^3-38.786*DA16/(CY16)-125.04*BN16*BJ16+8.958*BH16*BP16-2589.27/(CY16))</f>
        <v>0.65017057739817841</v>
      </c>
      <c r="AN16" s="86">
        <f t="shared" ref="AN16:AN30" si="8">EXP(-2.748-0.1553*R16+1.017*DD16-1.997*BH16^3+54.556*DA16/CY16-67.878*BP16*BJ16-99.03*BN16*BJ16+4175.307/CY16)</f>
        <v>0.23022316301299273</v>
      </c>
      <c r="AO16" s="86">
        <f t="shared" ref="AO16:AO30" si="9">EXP(19.42-12.5*BM16-161.4*BO16-16.65*BN16/(BN16+BO16)-528.1*BP16*BJ16-19.38*BH16^3+168.2*BH16*BO16-1951.2*BN16*BP16-10190/CY16)</f>
        <v>8.3665739630746992E-6</v>
      </c>
      <c r="AP16" s="56">
        <f t="shared" ref="AP16:AP30" si="10">SUM(AM16:AO16)</f>
        <v>0.88040210698513421</v>
      </c>
      <c r="AQ16" s="56">
        <f t="shared" ref="AQ16:AQ30" si="11">CO16*BJ16*BN16/(CN16*BO16*BH16)</f>
        <v>0.61019099132522736</v>
      </c>
      <c r="AR16" s="3">
        <f t="shared" ref="AR16:AR30" si="12">(CI16/CJ16)/(BN16/BO16)</f>
        <v>0.58091628213579438</v>
      </c>
      <c r="AS16" s="99">
        <f>10^4/(17.3-1.03*LN(CO16/(BO16*BJ16*BH16^3))-200*BN16-2.42*BO16-29.8*BP16+13500*(BN16-0.0037)^2-550*(BP16-0.056)*(BO16-0.089)-0.078*C16/10)-273.15</f>
        <v>932.17793933434007</v>
      </c>
      <c r="AT16" s="99">
        <f>10^4/(14.6+0.055*R16-0.06*C16/10-99.6*BO16*BJ16-2313*BN16*BJ16+395*BP16*BJ16-151*BP16*BH16+15037*BN16^2)-273.15</f>
        <v>898.81387182291826</v>
      </c>
      <c r="AU16" s="54">
        <f t="shared" ref="AU16:AU30" si="13">CI16*BO16/(CJ16*BN16)</f>
        <v>0.58091628213579438</v>
      </c>
      <c r="AV16" s="4">
        <f t="shared" ref="AV16:AV30" si="14">BC16/(BC16+BD16)</f>
        <v>0.12917009301674418</v>
      </c>
      <c r="AW16" s="2">
        <f t="shared" ref="AW16:AW30" si="15">G16/AW$10</f>
        <v>1.0270569849361648</v>
      </c>
      <c r="AX16" s="2">
        <f t="shared" ref="AX16:AX30" si="16">H16/AX$10</f>
        <v>5.6335348052299235E-3</v>
      </c>
      <c r="AY16" s="2">
        <f t="shared" ref="AY16:AY30" si="17">I16*2/AY$10</f>
        <v>0.36406076833299006</v>
      </c>
      <c r="AZ16" s="2">
        <f t="shared" ref="AZ16:AZ30" si="18">J16/AZ$10</f>
        <v>4.4121904507393547E-2</v>
      </c>
      <c r="BA16" s="2">
        <f t="shared" ref="BA16:BA30" si="19">K16/BA$10</f>
        <v>3.8061674008810576E-3</v>
      </c>
      <c r="BB16" s="2">
        <f t="shared" ref="BB16:BB30" si="20">L16/BB$10</f>
        <v>5.7065729796250539E-3</v>
      </c>
      <c r="BC16" s="2">
        <f t="shared" ref="BC16:BC30" si="21">M16/BC$10</f>
        <v>2.924529311273347E-2</v>
      </c>
      <c r="BD16" s="2">
        <f t="shared" ref="BD16:BD30" si="22">N16*2/BD$10</f>
        <v>0.1971638735117919</v>
      </c>
      <c r="BE16" s="2">
        <f t="shared" ref="BE16:BE30" si="23">O16*2/BE$10</f>
        <v>0.15053717779948192</v>
      </c>
      <c r="BF16" s="2">
        <f t="shared" ref="BF16:BF30" si="24">Q16*2/BF$10</f>
        <v>2.8181517151975878E-4</v>
      </c>
      <c r="BG16" s="2">
        <f t="shared" ref="BG16:BG23" si="25">SUM(AW16:BF16)</f>
        <v>1.8276140925578117</v>
      </c>
      <c r="BH16" s="2">
        <f t="shared" ref="BH16:BQ20" si="26">AW16/$BG16</f>
        <v>0.56196600207802161</v>
      </c>
      <c r="BI16" s="2">
        <f t="shared" si="26"/>
        <v>3.0824531437846315E-3</v>
      </c>
      <c r="BJ16" s="2">
        <f t="shared" si="26"/>
        <v>0.19920002248585963</v>
      </c>
      <c r="BK16" s="2">
        <f t="shared" si="26"/>
        <v>2.4141805804114454E-2</v>
      </c>
      <c r="BL16" s="2">
        <f t="shared" si="26"/>
        <v>2.0825881220658512E-3</v>
      </c>
      <c r="BM16" s="2">
        <f t="shared" si="26"/>
        <v>3.1224168181142112E-3</v>
      </c>
      <c r="BN16" s="2">
        <f t="shared" si="26"/>
        <v>1.600189735449218E-2</v>
      </c>
      <c r="BO16" s="2">
        <f t="shared" si="26"/>
        <v>0.10788047340773892</v>
      </c>
      <c r="BP16" s="2">
        <f t="shared" si="26"/>
        <v>8.2368142384369403E-2</v>
      </c>
      <c r="BQ16" s="2">
        <f t="shared" si="26"/>
        <v>1.5419840143897571E-4</v>
      </c>
      <c r="BR16" s="2">
        <f t="shared" ref="BR16:BR23" si="27">SUM(BH16:BQ16)</f>
        <v>0.99999999999999978</v>
      </c>
      <c r="BS16" s="2">
        <f t="shared" ref="BS16:BS30" si="28">U16/AW$10</f>
        <v>1.0901350269537966</v>
      </c>
      <c r="BT16" s="2">
        <f t="shared" ref="BT16:BT30" si="29">V16/AX$10</f>
        <v>0</v>
      </c>
      <c r="BU16" s="2">
        <f t="shared" ref="BU16:BU30" si="30">W16*2/AY$10</f>
        <v>0.38446072517923524</v>
      </c>
      <c r="BV16" s="2">
        <f t="shared" ref="BV16:BV30" si="31">X16/AZ$10</f>
        <v>9.7430073044717626E-4</v>
      </c>
      <c r="BW16" s="2">
        <f t="shared" ref="BW16:BW30" si="32">Y16/BA$10</f>
        <v>0</v>
      </c>
      <c r="BX16" s="2">
        <f t="shared" ref="BX16:BX30" si="33">Z16/BB$10</f>
        <v>0</v>
      </c>
      <c r="BY16" s="2">
        <f t="shared" ref="BY16:BY30" si="34">AA16/BC$10</f>
        <v>1.337437185033543E-2</v>
      </c>
      <c r="BZ16" s="2">
        <f t="shared" ref="BZ16:BZ30" si="35">AB16*2/BD$10</f>
        <v>0.15521411319013403</v>
      </c>
      <c r="CA16" s="2">
        <f t="shared" ref="CA16:CA30" si="36">AC16*2/BE$10</f>
        <v>0.19873455348422436</v>
      </c>
      <c r="CB16" s="2">
        <f t="shared" ref="CB16:CB23" si="37">SUM(BS16:CA16)</f>
        <v>1.8428930913881729</v>
      </c>
      <c r="CC16" s="2">
        <f t="shared" ref="CC16:CK23" si="38">BS16/$CB16</f>
        <v>0.59153459961838817</v>
      </c>
      <c r="CD16" s="2">
        <f t="shared" si="38"/>
        <v>0</v>
      </c>
      <c r="CE16" s="2">
        <f t="shared" si="38"/>
        <v>0.20861802943199345</v>
      </c>
      <c r="CF16" s="2">
        <f t="shared" si="38"/>
        <v>5.2868000591031414E-4</v>
      </c>
      <c r="CG16" s="2">
        <f t="shared" si="38"/>
        <v>0</v>
      </c>
      <c r="CH16" s="2">
        <f t="shared" si="38"/>
        <v>0</v>
      </c>
      <c r="CI16" s="2">
        <f t="shared" si="38"/>
        <v>7.2572695143488138E-3</v>
      </c>
      <c r="CJ16" s="2">
        <f t="shared" si="38"/>
        <v>8.4223069648179022E-2</v>
      </c>
      <c r="CK16" s="2">
        <f t="shared" si="38"/>
        <v>0.10783835178118015</v>
      </c>
      <c r="CL16" s="2">
        <f t="shared" ref="CL16:CL23" si="39">SUM(CC16:CK16)</f>
        <v>1</v>
      </c>
      <c r="CN16" s="2">
        <f t="shared" ref="CN16:CN23" si="40">CI16/(CI16+CJ16+CK16)</f>
        <v>3.6410381183962462E-2</v>
      </c>
      <c r="CO16" s="2">
        <f t="shared" ref="CO16:CO23" si="41">CJ16/(CI16+CJ16+CK16)</f>
        <v>0.4225548003020223</v>
      </c>
      <c r="CP16" s="2">
        <f t="shared" ref="CP16:CP23" si="42">1-CN16-CO16</f>
        <v>0.54103481851401525</v>
      </c>
      <c r="CR16" s="2">
        <f t="shared" ref="CR16:CR23" si="43">BJ16/(BJ16+BH16)</f>
        <v>0.26170377559875135</v>
      </c>
      <c r="CS16" s="2">
        <f t="shared" ref="CS16:CS23" si="44">LN(CN16/(BH16^2*BJ16^2*BN16))</f>
        <v>5.201666124262788</v>
      </c>
      <c r="CT16" s="2">
        <f t="shared" ref="CT16:CT23" si="45">LN((CO16*BJ16*BN16)/(BO16*BH16*CN16))</f>
        <v>-0.49398327028736355</v>
      </c>
      <c r="CU16" s="2" t="e">
        <f t="shared" ref="CU16:CU23" si="46">(CF16/CH16)/(BK16/BM16)</f>
        <v>#DIV/0!</v>
      </c>
      <c r="CV16" s="2">
        <f t="shared" ref="CV16:CV23" si="47">BM16+BK16+BN16+BL16</f>
        <v>4.5348708098786703E-2</v>
      </c>
      <c r="CW16" s="2">
        <f t="shared" ref="CW16:CW23" si="48">(7/2)*LN(1-BJ16)+7*LN(1-BI16)</f>
        <v>-0.79911477252564056</v>
      </c>
      <c r="CY16" s="2">
        <v>1449.359937485091</v>
      </c>
      <c r="CZ16" s="60">
        <f t="shared" ref="CZ16:CZ30" si="49">AH16</f>
        <v>1159.2256296962146</v>
      </c>
      <c r="DA16" s="2">
        <f t="shared" ref="DA16:DA30" si="50">10*C16</f>
        <v>10</v>
      </c>
      <c r="DC16" s="2">
        <f t="shared" ref="DC16:DC30" si="51">10^4/(8.588-0.0529*DA16+0.29484*R16+0.50575*CS16-15.9387*BH16+7.4446*BP16+16.46*BH16^2+2.58716*CO16^2)</f>
        <v>1163.3696365153974</v>
      </c>
      <c r="DD16" s="2">
        <f t="shared" ref="DD16:DD30" si="52">L16/40.3/(L16/40.3+J16/71.85)</f>
        <v>0.11454048303084702</v>
      </c>
      <c r="DE16" s="87">
        <f t="shared" ref="DE16:DE30" si="53">L16/40.3/(L16/40.3+J16/71.85)</f>
        <v>0.11454048303084702</v>
      </c>
      <c r="DF16" s="2">
        <f t="shared" ref="DF16:DF26" si="54">CN16/(BN16/(BN16+BO16))</f>
        <v>0.2818793447740463</v>
      </c>
      <c r="DG16" s="2">
        <f t="shared" ref="DG16:DG23" si="55">E16</f>
        <v>10000</v>
      </c>
      <c r="DH16" s="2">
        <f t="shared" ref="DH16:DH26" si="56">CO16*BJ16*BN16/(BO16*BH16*CN16)</f>
        <v>0.61019099132522736</v>
      </c>
      <c r="DJ16" s="2">
        <f t="shared" ref="DJ16:DJ30" si="57">BO16*BH16/(BN16*BJ16)</f>
        <v>19.019190242069094</v>
      </c>
      <c r="DK16" s="2">
        <f t="shared" ref="DK16:DK30" si="58">BN16+BJ16-BH16-BO16</f>
        <v>-0.45464455564540873</v>
      </c>
      <c r="DL16" s="2">
        <f t="shared" ref="DL16:DL30" si="59">CO16/CN16</f>
        <v>11.605338548011229</v>
      </c>
      <c r="DM16">
        <f t="shared" ref="DM16:DM30" si="60">-10.34*10^-3</f>
        <v>-1.034E-2</v>
      </c>
      <c r="DN16">
        <f t="shared" ref="DN16:DN30" si="61">17.24+LN(DJ16/DL16)</f>
        <v>17.733983270287361</v>
      </c>
      <c r="DO16">
        <f t="shared" ref="DO16:DO30" si="62">1.29*10^4*DK16</f>
        <v>-5864.9147678257723</v>
      </c>
      <c r="DP16">
        <v>1449.359937485091</v>
      </c>
      <c r="DQ16" s="2">
        <f t="shared" ref="DQ16:DQ30" si="63">DP16-273.15</f>
        <v>1176.2099374850909</v>
      </c>
    </row>
    <row r="17" spans="1:121" ht="15.6" thickBot="1" x14ac:dyDescent="0.3">
      <c r="A17" s="2" t="s">
        <v>19</v>
      </c>
      <c r="B17" s="3" t="s">
        <v>22</v>
      </c>
      <c r="C17" s="25">
        <v>1</v>
      </c>
      <c r="D17" s="69">
        <v>1160</v>
      </c>
      <c r="E17">
        <f t="shared" si="0"/>
        <v>10000</v>
      </c>
      <c r="F17" s="3">
        <v>4066</v>
      </c>
      <c r="G17" s="94">
        <v>61.71</v>
      </c>
      <c r="H17" s="96">
        <v>0.45</v>
      </c>
      <c r="I17" s="96">
        <v>18.559999999999999</v>
      </c>
      <c r="J17" s="96">
        <v>3.17</v>
      </c>
      <c r="K17" s="96">
        <v>0.27</v>
      </c>
      <c r="L17" s="96">
        <v>0.23</v>
      </c>
      <c r="M17" s="96">
        <v>1.64</v>
      </c>
      <c r="N17" s="96">
        <v>6.11</v>
      </c>
      <c r="O17" s="96">
        <v>7.09</v>
      </c>
      <c r="P17" s="4">
        <v>0</v>
      </c>
      <c r="Q17" s="96">
        <v>0.02</v>
      </c>
      <c r="R17" s="97">
        <v>3</v>
      </c>
      <c r="S17" s="2">
        <f t="shared" si="1"/>
        <v>99.25</v>
      </c>
      <c r="U17" s="90">
        <v>65.400000000000006</v>
      </c>
      <c r="V17" s="90"/>
      <c r="W17" s="90">
        <v>19.399999999999999</v>
      </c>
      <c r="X17" s="90">
        <v>0.05</v>
      </c>
      <c r="Y17" s="90"/>
      <c r="Z17" s="90">
        <v>0</v>
      </c>
      <c r="AA17" s="90">
        <v>0.59</v>
      </c>
      <c r="AB17" s="90">
        <v>3.13</v>
      </c>
      <c r="AC17" s="90">
        <v>11.5</v>
      </c>
      <c r="AD17" s="25">
        <v>0</v>
      </c>
      <c r="AF17" s="55">
        <f t="shared" si="2"/>
        <v>1148.8903327969165</v>
      </c>
      <c r="AG17" s="55">
        <f t="shared" si="3"/>
        <v>1018.8096957764034</v>
      </c>
      <c r="AH17" s="55">
        <f t="shared" si="4"/>
        <v>1166.4000477469008</v>
      </c>
      <c r="AI17" s="85">
        <f t="shared" si="5"/>
        <v>6.1447366078081593</v>
      </c>
      <c r="AJ17" s="55">
        <f t="shared" si="6"/>
        <v>18.132718468914184</v>
      </c>
      <c r="AK17" s="55">
        <f t="shared" ref="AK17:AK30" si="64">-42.2+(4.94*(10^-2)*CY17)+(1.16*(10^-2)*CY17)*CT17-19.6*LN(CO17)-382.3*BH17^2+514.2*BH17^3-139.8*BN17+287.2*BO17+163.9*BP17</f>
        <v>55.186657911945758</v>
      </c>
      <c r="AL17" s="55">
        <f t="shared" ref="AL17:AL30" si="65">-273.15+10^4/(10.86-9.7654*BH17+4.241*BN17-55.56*BN17*BJ17+37.5*BP17*BJ17+11.206*BH17^3-3.151*10^-2*C17*10+0.1709*R17)</f>
        <v>966.83986838307248</v>
      </c>
      <c r="AM17" s="86">
        <f t="shared" si="7"/>
        <v>0.70077136358894587</v>
      </c>
      <c r="AN17" s="86">
        <f t="shared" si="8"/>
        <v>0.19885077902623732</v>
      </c>
      <c r="AO17" s="86">
        <f t="shared" si="9"/>
        <v>8.2090534436808032E-6</v>
      </c>
      <c r="AP17" s="56">
        <f t="shared" si="10"/>
        <v>0.89963035166862682</v>
      </c>
      <c r="AQ17" s="56">
        <f t="shared" si="11"/>
        <v>0.50474764866132382</v>
      </c>
      <c r="AR17" s="3">
        <f t="shared" si="12"/>
        <v>0.70227148757110569</v>
      </c>
      <c r="AS17" s="99">
        <f t="shared" ref="AS17:AS30" si="66">10^4/(17.3-1.03*LN(CO17/(BO17*BJ17*BH17^3))-200*BN17-2.42*BO17-29.8*BP17+13500*(BN17-0.0037)^2-550*(BP17-0.056)*(BO17-0.089)-0.078*C17/10)-273.15</f>
        <v>875.49391175341418</v>
      </c>
      <c r="AT17" s="99">
        <f t="shared" ref="AT16:AT30" si="67">10^4/(14.6+0.055*R17-0.06*C17/10-99.6*BO17*BJ17-2313*BN17*BJ17+395*BP17*BJ17-151*BP17*BH17+15037*BN17^2)-273.15</f>
        <v>891.30800689407704</v>
      </c>
      <c r="AU17" s="54">
        <f t="shared" si="13"/>
        <v>0.7022714875711058</v>
      </c>
      <c r="AV17" s="4">
        <f t="shared" si="14"/>
        <v>0.12917009301674418</v>
      </c>
      <c r="AW17" s="2">
        <f t="shared" si="15"/>
        <v>1.0270569849361648</v>
      </c>
      <c r="AX17" s="2">
        <f t="shared" si="16"/>
        <v>5.6335348052299235E-3</v>
      </c>
      <c r="AY17" s="2">
        <f t="shared" si="17"/>
        <v>0.36406076833299006</v>
      </c>
      <c r="AZ17" s="2">
        <f t="shared" si="18"/>
        <v>4.4121904507393547E-2</v>
      </c>
      <c r="BA17" s="2">
        <f t="shared" si="19"/>
        <v>3.8061674008810576E-3</v>
      </c>
      <c r="BB17" s="2">
        <f t="shared" si="20"/>
        <v>5.7065729796250539E-3</v>
      </c>
      <c r="BC17" s="2">
        <f t="shared" si="21"/>
        <v>2.924529311273347E-2</v>
      </c>
      <c r="BD17" s="2">
        <f t="shared" si="22"/>
        <v>0.1971638735117919</v>
      </c>
      <c r="BE17" s="2">
        <f t="shared" si="23"/>
        <v>0.15053717779948192</v>
      </c>
      <c r="BF17" s="2">
        <f t="shared" si="24"/>
        <v>2.8181517151975878E-4</v>
      </c>
      <c r="BG17" s="2">
        <f t="shared" si="25"/>
        <v>1.8276140925578117</v>
      </c>
      <c r="BH17" s="2">
        <f t="shared" si="26"/>
        <v>0.56196600207802161</v>
      </c>
      <c r="BI17" s="2">
        <f t="shared" si="26"/>
        <v>3.0824531437846315E-3</v>
      </c>
      <c r="BJ17" s="2">
        <f t="shared" si="26"/>
        <v>0.19920002248585963</v>
      </c>
      <c r="BK17" s="2">
        <f t="shared" si="26"/>
        <v>2.4141805804114454E-2</v>
      </c>
      <c r="BL17" s="2">
        <f t="shared" si="26"/>
        <v>2.0825881220658512E-3</v>
      </c>
      <c r="BM17" s="2">
        <f t="shared" si="26"/>
        <v>3.1224168181142112E-3</v>
      </c>
      <c r="BN17" s="2">
        <f t="shared" si="26"/>
        <v>1.600189735449218E-2</v>
      </c>
      <c r="BO17" s="2">
        <f t="shared" si="26"/>
        <v>0.10788047340773892</v>
      </c>
      <c r="BP17" s="2">
        <f t="shared" si="26"/>
        <v>8.2368142384369403E-2</v>
      </c>
      <c r="BQ17" s="2">
        <f t="shared" si="26"/>
        <v>1.5419840143897571E-4</v>
      </c>
      <c r="BR17" s="2">
        <f t="shared" si="27"/>
        <v>0.99999999999999978</v>
      </c>
      <c r="BS17" s="2">
        <f t="shared" si="28"/>
        <v>1.088470698668371</v>
      </c>
      <c r="BT17" s="2">
        <f t="shared" si="29"/>
        <v>0</v>
      </c>
      <c r="BU17" s="2">
        <f t="shared" si="30"/>
        <v>0.38053765655495725</v>
      </c>
      <c r="BV17" s="2">
        <f t="shared" si="31"/>
        <v>6.9592909317655444E-4</v>
      </c>
      <c r="BW17" s="2">
        <f t="shared" si="32"/>
        <v>0</v>
      </c>
      <c r="BX17" s="2">
        <f t="shared" si="33"/>
        <v>0</v>
      </c>
      <c r="BY17" s="2">
        <f t="shared" si="34"/>
        <v>1.0521172522263872E-2</v>
      </c>
      <c r="BZ17" s="2">
        <f t="shared" si="35"/>
        <v>0.10100211523599159</v>
      </c>
      <c r="CA17" s="2">
        <f t="shared" si="36"/>
        <v>0.24417172703724149</v>
      </c>
      <c r="CB17" s="2">
        <f t="shared" si="37"/>
        <v>1.8253992991120016</v>
      </c>
      <c r="CC17" s="2">
        <f t="shared" si="38"/>
        <v>0.59629183554407916</v>
      </c>
      <c r="CD17" s="2">
        <f t="shared" si="38"/>
        <v>0</v>
      </c>
      <c r="CE17" s="2">
        <f t="shared" si="38"/>
        <v>0.20846817282118857</v>
      </c>
      <c r="CF17" s="2">
        <f t="shared" si="38"/>
        <v>3.8124759526044611E-4</v>
      </c>
      <c r="CG17" s="2">
        <f t="shared" si="38"/>
        <v>0</v>
      </c>
      <c r="CH17" s="2">
        <f t="shared" si="38"/>
        <v>0</v>
      </c>
      <c r="CI17" s="2">
        <f t="shared" si="38"/>
        <v>5.7637649622096854E-3</v>
      </c>
      <c r="CJ17" s="2">
        <f t="shared" si="38"/>
        <v>5.5331518580688563E-2</v>
      </c>
      <c r="CK17" s="2">
        <f t="shared" si="38"/>
        <v>0.13376346049657367</v>
      </c>
      <c r="CL17" s="2">
        <f t="shared" si="39"/>
        <v>1</v>
      </c>
      <c r="CN17" s="2">
        <f t="shared" si="40"/>
        <v>2.9579195897116824E-2</v>
      </c>
      <c r="CO17" s="2">
        <f t="shared" si="41"/>
        <v>0.28395707287059302</v>
      </c>
      <c r="CP17" s="2">
        <f t="shared" si="42"/>
        <v>0.68646373123229021</v>
      </c>
      <c r="CR17" s="2">
        <f t="shared" si="43"/>
        <v>0.26170377559875135</v>
      </c>
      <c r="CS17" s="2">
        <f t="shared" si="44"/>
        <v>4.9938834658271691</v>
      </c>
      <c r="CT17" s="2">
        <f t="shared" si="45"/>
        <v>-0.68369668022238084</v>
      </c>
      <c r="CU17" s="2" t="e">
        <f t="shared" si="46"/>
        <v>#DIV/0!</v>
      </c>
      <c r="CV17" s="2">
        <f t="shared" si="47"/>
        <v>4.5348708098786703E-2</v>
      </c>
      <c r="CW17" s="2">
        <f t="shared" si="48"/>
        <v>-0.79911477252564056</v>
      </c>
      <c r="CY17" s="2">
        <v>1445.4522838919643</v>
      </c>
      <c r="CZ17" s="60">
        <f t="shared" si="49"/>
        <v>1166.4000477469008</v>
      </c>
      <c r="DA17" s="2">
        <f t="shared" si="50"/>
        <v>10</v>
      </c>
      <c r="DC17" s="2">
        <f t="shared" si="51"/>
        <v>1172.0393033677863</v>
      </c>
      <c r="DD17" s="2">
        <f t="shared" si="52"/>
        <v>0.11454048303084702</v>
      </c>
      <c r="DE17" s="87">
        <f t="shared" si="53"/>
        <v>0.11454048303084702</v>
      </c>
      <c r="DF17" s="2">
        <f t="shared" si="54"/>
        <v>0.22899415186828506</v>
      </c>
      <c r="DG17" s="2">
        <f t="shared" si="55"/>
        <v>10000</v>
      </c>
      <c r="DH17" s="2">
        <f t="shared" si="56"/>
        <v>0.50474764866132382</v>
      </c>
      <c r="DJ17" s="2">
        <f t="shared" si="57"/>
        <v>19.019190242069094</v>
      </c>
      <c r="DK17" s="2">
        <f t="shared" si="58"/>
        <v>-0.45464455564540873</v>
      </c>
      <c r="DL17" s="2">
        <f t="shared" si="59"/>
        <v>9.5998915541267706</v>
      </c>
      <c r="DM17">
        <f t="shared" si="60"/>
        <v>-1.034E-2</v>
      </c>
      <c r="DN17">
        <f t="shared" si="61"/>
        <v>17.923696680222378</v>
      </c>
      <c r="DO17">
        <f t="shared" si="62"/>
        <v>-5864.9147678257723</v>
      </c>
      <c r="DP17">
        <v>1445.4522838919643</v>
      </c>
      <c r="DQ17" s="2">
        <f t="shared" si="63"/>
        <v>1172.3022838919642</v>
      </c>
    </row>
    <row r="18" spans="1:121" ht="15.6" thickBot="1" x14ac:dyDescent="0.3">
      <c r="A18" s="2" t="s">
        <v>19</v>
      </c>
      <c r="B18" s="3" t="s">
        <v>23</v>
      </c>
      <c r="C18" s="25">
        <v>0.7</v>
      </c>
      <c r="D18" s="69">
        <v>1095</v>
      </c>
      <c r="E18">
        <f t="shared" si="0"/>
        <v>7000</v>
      </c>
      <c r="F18" s="3">
        <v>4062</v>
      </c>
      <c r="G18" s="94">
        <f t="shared" ref="G18:G24" si="68">61.71+1</f>
        <v>62.71</v>
      </c>
      <c r="H18" s="96">
        <v>0.45</v>
      </c>
      <c r="I18" s="96">
        <v>18.559999999999999</v>
      </c>
      <c r="J18" s="96">
        <v>3.17</v>
      </c>
      <c r="K18" s="96">
        <v>0.27</v>
      </c>
      <c r="L18" s="96">
        <v>0.23</v>
      </c>
      <c r="M18" s="96">
        <v>1.64</v>
      </c>
      <c r="N18" s="96">
        <v>6.11</v>
      </c>
      <c r="O18" s="96">
        <f t="shared" ref="O18:O30" si="69">7.09-1</f>
        <v>6.09</v>
      </c>
      <c r="P18" s="4">
        <v>0</v>
      </c>
      <c r="Q18" s="96">
        <v>0.02</v>
      </c>
      <c r="R18" s="97">
        <v>5</v>
      </c>
      <c r="S18" s="2">
        <f t="shared" si="1"/>
        <v>99.25</v>
      </c>
      <c r="U18" s="90">
        <v>64.599999999999994</v>
      </c>
      <c r="V18" s="90"/>
      <c r="W18" s="90">
        <v>18.8</v>
      </c>
      <c r="X18" s="90">
        <v>0.09</v>
      </c>
      <c r="Y18" s="90"/>
      <c r="Z18" s="90">
        <v>0</v>
      </c>
      <c r="AA18" s="90">
        <v>0.39</v>
      </c>
      <c r="AB18" s="90">
        <v>1.1499999999999999</v>
      </c>
      <c r="AC18" s="90">
        <v>14.8</v>
      </c>
      <c r="AD18" s="25">
        <v>0</v>
      </c>
      <c r="AF18" s="55">
        <f t="shared" si="2"/>
        <v>1088.4295066087393</v>
      </c>
      <c r="AG18" s="55">
        <f t="shared" si="3"/>
        <v>941.88043760272569</v>
      </c>
      <c r="AH18" s="55">
        <f t="shared" si="4"/>
        <v>1131.9017250119418</v>
      </c>
      <c r="AI18" s="85">
        <f>25.95-0.0032*DQ18*CS18-18.9*BP18+14.5*BM18-40.3*BN18+5.7*CN18^2+0.108*C18*10</f>
        <v>8.4928082235777289</v>
      </c>
      <c r="AJ18" s="55">
        <f t="shared" si="6"/>
        <v>21.811265730582143</v>
      </c>
      <c r="AK18" s="55">
        <f t="shared" si="64"/>
        <v>62.001853216546969</v>
      </c>
      <c r="AL18" s="55">
        <f t="shared" si="65"/>
        <v>913.48913778411713</v>
      </c>
      <c r="AM18" s="86">
        <f t="shared" si="7"/>
        <v>0.80304348694851946</v>
      </c>
      <c r="AN18" s="86">
        <f t="shared" si="8"/>
        <v>0.16567646529488672</v>
      </c>
      <c r="AO18" s="86">
        <f t="shared" si="9"/>
        <v>2.9067441437186773E-5</v>
      </c>
      <c r="AP18" s="56">
        <f t="shared" si="10"/>
        <v>0.96874901968484339</v>
      </c>
      <c r="AQ18" s="56">
        <f t="shared" si="11"/>
        <v>0.27607937146241712</v>
      </c>
      <c r="AR18" s="3">
        <f t="shared" si="12"/>
        <v>1.2634676564156946</v>
      </c>
      <c r="AS18" s="99">
        <f t="shared" si="66"/>
        <v>700.38427236730445</v>
      </c>
      <c r="AT18" s="99">
        <f t="shared" si="67"/>
        <v>883.89941994590583</v>
      </c>
      <c r="AU18" s="54">
        <f t="shared" si="13"/>
        <v>1.2634676564156946</v>
      </c>
      <c r="AV18" s="4">
        <f t="shared" si="14"/>
        <v>0.12917009301674418</v>
      </c>
      <c r="AW18" s="2">
        <f t="shared" si="15"/>
        <v>1.0437002677904212</v>
      </c>
      <c r="AX18" s="2">
        <f t="shared" si="16"/>
        <v>5.6335348052299235E-3</v>
      </c>
      <c r="AY18" s="2">
        <f t="shared" si="17"/>
        <v>0.36406076833299006</v>
      </c>
      <c r="AZ18" s="2">
        <f t="shared" si="18"/>
        <v>4.4121904507393547E-2</v>
      </c>
      <c r="BA18" s="2">
        <f t="shared" si="19"/>
        <v>3.8061674008810576E-3</v>
      </c>
      <c r="BB18" s="2">
        <f t="shared" si="20"/>
        <v>5.7065729796250539E-3</v>
      </c>
      <c r="BC18" s="2">
        <f t="shared" si="21"/>
        <v>2.924529311273347E-2</v>
      </c>
      <c r="BD18" s="2">
        <f t="shared" si="22"/>
        <v>0.1971638735117919</v>
      </c>
      <c r="BE18" s="2">
        <f t="shared" si="23"/>
        <v>0.12930485370928702</v>
      </c>
      <c r="BF18" s="2">
        <f t="shared" si="24"/>
        <v>2.8181517151975878E-4</v>
      </c>
      <c r="BG18" s="2">
        <f t="shared" si="25"/>
        <v>1.8230250513218729</v>
      </c>
      <c r="BH18" s="2">
        <f t="shared" si="26"/>
        <v>0.57251010732608176</v>
      </c>
      <c r="BI18" s="2">
        <f t="shared" si="26"/>
        <v>3.090212502096477E-3</v>
      </c>
      <c r="BJ18" s="2">
        <f t="shared" si="26"/>
        <v>0.19970146217629325</v>
      </c>
      <c r="BK18" s="2">
        <f t="shared" si="26"/>
        <v>2.4202577180933865E-2</v>
      </c>
      <c r="BL18" s="2">
        <f t="shared" si="26"/>
        <v>2.0878305529159957E-3</v>
      </c>
      <c r="BM18" s="2">
        <f t="shared" si="26"/>
        <v>3.1302767756741607E-3</v>
      </c>
      <c r="BN18" s="2">
        <f t="shared" si="26"/>
        <v>1.6042178406450176E-2</v>
      </c>
      <c r="BO18" s="2">
        <f t="shared" si="26"/>
        <v>0.10815203738907958</v>
      </c>
      <c r="BP18" s="2">
        <f t="shared" si="26"/>
        <v>7.0928731130451686E-2</v>
      </c>
      <c r="BQ18" s="2">
        <f t="shared" si="26"/>
        <v>1.5458656002308635E-4</v>
      </c>
      <c r="BR18" s="2">
        <f t="shared" si="27"/>
        <v>1</v>
      </c>
      <c r="BS18" s="2">
        <f t="shared" si="28"/>
        <v>1.0751560723849658</v>
      </c>
      <c r="BT18" s="2">
        <f t="shared" si="29"/>
        <v>0</v>
      </c>
      <c r="BU18" s="2">
        <f t="shared" si="30"/>
        <v>0.36876845068212355</v>
      </c>
      <c r="BV18" s="2">
        <f t="shared" si="31"/>
        <v>1.2526723677177979E-3</v>
      </c>
      <c r="BW18" s="2">
        <f t="shared" si="32"/>
        <v>0</v>
      </c>
      <c r="BX18" s="2">
        <f t="shared" si="33"/>
        <v>0</v>
      </c>
      <c r="BY18" s="2">
        <f t="shared" si="34"/>
        <v>6.9546733621744239E-3</v>
      </c>
      <c r="BZ18" s="2">
        <f t="shared" si="35"/>
        <v>3.7109403361466557E-2</v>
      </c>
      <c r="CA18" s="2">
        <f t="shared" si="36"/>
        <v>0.31423839653488472</v>
      </c>
      <c r="CB18" s="2">
        <f t="shared" si="37"/>
        <v>1.8034796686933328</v>
      </c>
      <c r="CC18" s="2">
        <f t="shared" si="38"/>
        <v>0.5961564696562085</v>
      </c>
      <c r="CD18" s="2">
        <f t="shared" si="38"/>
        <v>0</v>
      </c>
      <c r="CE18" s="2">
        <f t="shared" si="38"/>
        <v>0.20447607870695084</v>
      </c>
      <c r="CF18" s="2">
        <f t="shared" si="38"/>
        <v>6.9458635407040165E-4</v>
      </c>
      <c r="CG18" s="2">
        <f t="shared" si="38"/>
        <v>0</v>
      </c>
      <c r="CH18" s="2">
        <f t="shared" si="38"/>
        <v>0</v>
      </c>
      <c r="CI18" s="2">
        <f t="shared" si="38"/>
        <v>3.8562527113007393E-3</v>
      </c>
      <c r="CJ18" s="2">
        <f t="shared" si="38"/>
        <v>2.0576557643343589E-2</v>
      </c>
      <c r="CK18" s="2">
        <f t="shared" si="38"/>
        <v>0.17424005492812597</v>
      </c>
      <c r="CL18" s="2">
        <f t="shared" si="39"/>
        <v>1</v>
      </c>
      <c r="CN18" s="2">
        <f t="shared" si="40"/>
        <v>1.941006239484265E-2</v>
      </c>
      <c r="CO18" s="2">
        <f t="shared" si="41"/>
        <v>0.10357004523016798</v>
      </c>
      <c r="CP18" s="2">
        <f t="shared" si="42"/>
        <v>0.87701989237498934</v>
      </c>
      <c r="CR18" s="2">
        <f t="shared" si="43"/>
        <v>0.2586097775056439</v>
      </c>
      <c r="CS18" s="2">
        <f t="shared" si="44"/>
        <v>4.5278834190838024</v>
      </c>
      <c r="CT18" s="2">
        <f t="shared" si="45"/>
        <v>-1.287066876845165</v>
      </c>
      <c r="CU18" s="2" t="e">
        <f t="shared" si="46"/>
        <v>#DIV/0!</v>
      </c>
      <c r="CV18" s="2">
        <f t="shared" si="47"/>
        <v>4.5462862915974199E-2</v>
      </c>
      <c r="CW18" s="2">
        <f t="shared" si="48"/>
        <v>-0.80136154973835805</v>
      </c>
      <c r="CY18" s="2">
        <v>1396.3069169073092</v>
      </c>
      <c r="CZ18" s="60">
        <f t="shared" si="49"/>
        <v>1131.9017250119418</v>
      </c>
      <c r="DA18" s="2">
        <f t="shared" si="50"/>
        <v>7</v>
      </c>
      <c r="DC18" s="2">
        <f t="shared" si="51"/>
        <v>1135.3758053103347</v>
      </c>
      <c r="DD18" s="2">
        <f t="shared" si="52"/>
        <v>0.11454048303084702</v>
      </c>
      <c r="DE18" s="87">
        <f t="shared" si="53"/>
        <v>0.11454048303084702</v>
      </c>
      <c r="DF18" s="2">
        <f t="shared" si="54"/>
        <v>0.15026746471667049</v>
      </c>
      <c r="DG18" s="2">
        <f t="shared" si="55"/>
        <v>7000</v>
      </c>
      <c r="DH18" s="2">
        <f t="shared" si="56"/>
        <v>0.27607937146241712</v>
      </c>
      <c r="DJ18" s="2">
        <f t="shared" si="57"/>
        <v>19.327392968403057</v>
      </c>
      <c r="DK18" s="2">
        <f t="shared" si="58"/>
        <v>-0.46491850413241792</v>
      </c>
      <c r="DL18" s="2">
        <f t="shared" si="59"/>
        <v>5.3358945027238578</v>
      </c>
      <c r="DM18">
        <f t="shared" si="60"/>
        <v>-1.034E-2</v>
      </c>
      <c r="DN18">
        <f t="shared" si="61"/>
        <v>18.527066876845161</v>
      </c>
      <c r="DO18">
        <f t="shared" si="62"/>
        <v>-5997.4487033081914</v>
      </c>
      <c r="DP18">
        <v>1396.3069169073092</v>
      </c>
      <c r="DQ18" s="2">
        <f t="shared" si="63"/>
        <v>1123.1569169073091</v>
      </c>
    </row>
    <row r="19" spans="1:121" ht="15.6" thickBot="1" x14ac:dyDescent="0.3">
      <c r="A19" s="2" t="s">
        <v>19</v>
      </c>
      <c r="B19" s="3" t="s">
        <v>24</v>
      </c>
      <c r="C19" s="25">
        <v>0.7</v>
      </c>
      <c r="D19" s="69">
        <v>1120</v>
      </c>
      <c r="E19">
        <f t="shared" si="0"/>
        <v>7000</v>
      </c>
      <c r="F19" s="3">
        <v>4061</v>
      </c>
      <c r="G19" s="94">
        <f t="shared" si="68"/>
        <v>62.71</v>
      </c>
      <c r="H19" s="96">
        <v>0.45</v>
      </c>
      <c r="I19" s="96">
        <v>18.559999999999999</v>
      </c>
      <c r="J19" s="96">
        <v>3.17</v>
      </c>
      <c r="K19" s="96">
        <v>0.27</v>
      </c>
      <c r="L19" s="96">
        <v>0.23</v>
      </c>
      <c r="M19" s="96">
        <v>1.64</v>
      </c>
      <c r="N19" s="96">
        <v>6.11</v>
      </c>
      <c r="O19" s="96">
        <f t="shared" si="69"/>
        <v>6.09</v>
      </c>
      <c r="P19" s="4">
        <v>0</v>
      </c>
      <c r="Q19" s="96">
        <v>0.02</v>
      </c>
      <c r="R19" s="97">
        <v>5</v>
      </c>
      <c r="S19" s="2">
        <f t="shared" si="1"/>
        <v>99.25</v>
      </c>
      <c r="U19" s="90">
        <v>61.8</v>
      </c>
      <c r="V19" s="90"/>
      <c r="W19" s="90">
        <v>19.2</v>
      </c>
      <c r="X19" s="90">
        <v>0.51</v>
      </c>
      <c r="Y19" s="90"/>
      <c r="Z19" s="90">
        <v>0.03</v>
      </c>
      <c r="AA19" s="90">
        <v>0.66</v>
      </c>
      <c r="AB19" s="90">
        <v>1.71</v>
      </c>
      <c r="AC19" s="90">
        <v>12.9</v>
      </c>
      <c r="AD19" s="25">
        <v>0</v>
      </c>
      <c r="AF19" s="55">
        <f t="shared" si="2"/>
        <v>1058.1811220826576</v>
      </c>
      <c r="AG19" s="55">
        <f t="shared" si="3"/>
        <v>941.88043760272569</v>
      </c>
      <c r="AH19" s="55">
        <f t="shared" si="4"/>
        <v>1092.7613697430811</v>
      </c>
      <c r="AI19" s="85">
        <f t="shared" si="5"/>
        <v>6.3333786340455527</v>
      </c>
      <c r="AJ19" s="55">
        <f t="shared" si="6"/>
        <v>20.036642127988372</v>
      </c>
      <c r="AK19" s="55">
        <f t="shared" si="64"/>
        <v>51.340919240322798</v>
      </c>
      <c r="AL19" s="55">
        <f t="shared" si="65"/>
        <v>913.48913778411713</v>
      </c>
      <c r="AM19" s="86">
        <f t="shared" si="7"/>
        <v>0.8098068232290071</v>
      </c>
      <c r="AN19" s="86">
        <f t="shared" si="8"/>
        <v>0.16347770888179483</v>
      </c>
      <c r="AO19" s="86">
        <f t="shared" si="9"/>
        <v>2.9948896884276155E-5</v>
      </c>
      <c r="AP19" s="56">
        <f t="shared" si="10"/>
        <v>0.97331448100768614</v>
      </c>
      <c r="AQ19" s="56">
        <f t="shared" si="11"/>
        <v>0.24257883113081166</v>
      </c>
      <c r="AR19" s="3">
        <f t="shared" si="12"/>
        <v>1.4379546427043219</v>
      </c>
      <c r="AS19" s="99">
        <f t="shared" si="66"/>
        <v>746.03358271731224</v>
      </c>
      <c r="AT19" s="99">
        <f t="shared" si="67"/>
        <v>883.89941994590583</v>
      </c>
      <c r="AU19" s="54">
        <f t="shared" si="13"/>
        <v>1.4379546427043219</v>
      </c>
      <c r="AV19" s="4">
        <f t="shared" si="14"/>
        <v>0.12917009301674418</v>
      </c>
      <c r="AW19" s="2">
        <f t="shared" si="15"/>
        <v>1.0437002677904212</v>
      </c>
      <c r="AX19" s="2">
        <f t="shared" si="16"/>
        <v>5.6335348052299235E-3</v>
      </c>
      <c r="AY19" s="2">
        <f t="shared" si="17"/>
        <v>0.36406076833299006</v>
      </c>
      <c r="AZ19" s="2">
        <f t="shared" si="18"/>
        <v>4.4121904507393547E-2</v>
      </c>
      <c r="BA19" s="2">
        <f t="shared" si="19"/>
        <v>3.8061674008810576E-3</v>
      </c>
      <c r="BB19" s="2">
        <f t="shared" si="20"/>
        <v>5.7065729796250539E-3</v>
      </c>
      <c r="BC19" s="2">
        <f t="shared" si="21"/>
        <v>2.924529311273347E-2</v>
      </c>
      <c r="BD19" s="2">
        <f t="shared" si="22"/>
        <v>0.1971638735117919</v>
      </c>
      <c r="BE19" s="2">
        <f t="shared" si="23"/>
        <v>0.12930485370928702</v>
      </c>
      <c r="BF19" s="2">
        <f t="shared" si="24"/>
        <v>2.8181517151975878E-4</v>
      </c>
      <c r="BG19" s="2">
        <f>SUM(AW19:BF19)</f>
        <v>1.8230250513218729</v>
      </c>
      <c r="BH19" s="2">
        <f t="shared" si="26"/>
        <v>0.57251010732608176</v>
      </c>
      <c r="BI19" s="2">
        <f t="shared" si="26"/>
        <v>3.090212502096477E-3</v>
      </c>
      <c r="BJ19" s="2">
        <f t="shared" si="26"/>
        <v>0.19970146217629325</v>
      </c>
      <c r="BK19" s="2">
        <f t="shared" si="26"/>
        <v>2.4202577180933865E-2</v>
      </c>
      <c r="BL19" s="2">
        <f t="shared" si="26"/>
        <v>2.0878305529159957E-3</v>
      </c>
      <c r="BM19" s="2">
        <f t="shared" si="26"/>
        <v>3.1302767756741607E-3</v>
      </c>
      <c r="BN19" s="2">
        <f t="shared" si="26"/>
        <v>1.6042178406450176E-2</v>
      </c>
      <c r="BO19" s="2">
        <f t="shared" si="26"/>
        <v>0.10815203738907958</v>
      </c>
      <c r="BP19" s="2">
        <f t="shared" si="26"/>
        <v>7.0928731130451686E-2</v>
      </c>
      <c r="BQ19" s="2">
        <f t="shared" si="26"/>
        <v>1.5458656002308635E-4</v>
      </c>
      <c r="BR19" s="2">
        <f t="shared" si="27"/>
        <v>1</v>
      </c>
      <c r="BS19" s="2">
        <f t="shared" si="28"/>
        <v>1.0285548803930478</v>
      </c>
      <c r="BT19" s="2">
        <f t="shared" si="29"/>
        <v>0</v>
      </c>
      <c r="BU19" s="2">
        <f t="shared" si="30"/>
        <v>0.37661458793067937</v>
      </c>
      <c r="BV19" s="2">
        <f t="shared" si="31"/>
        <v>7.0984767504008554E-3</v>
      </c>
      <c r="BW19" s="2">
        <f t="shared" si="32"/>
        <v>0</v>
      </c>
      <c r="BX19" s="2">
        <f t="shared" si="33"/>
        <v>7.4433560603805041E-4</v>
      </c>
      <c r="BY19" s="2">
        <f t="shared" si="34"/>
        <v>1.1769447228295178E-2</v>
      </c>
      <c r="BZ19" s="2">
        <f t="shared" si="35"/>
        <v>5.5180069346180714E-2</v>
      </c>
      <c r="CA19" s="2">
        <f t="shared" si="36"/>
        <v>0.27389698076351437</v>
      </c>
      <c r="CB19" s="2">
        <f t="shared" si="37"/>
        <v>1.7538587780181565</v>
      </c>
      <c r="CC19" s="2">
        <f t="shared" si="38"/>
        <v>0.58645250876772692</v>
      </c>
      <c r="CD19" s="2">
        <f t="shared" si="38"/>
        <v>0</v>
      </c>
      <c r="CE19" s="2">
        <f t="shared" si="38"/>
        <v>0.21473484219536207</v>
      </c>
      <c r="CF19" s="2">
        <f t="shared" si="38"/>
        <v>4.0473479617452813E-3</v>
      </c>
      <c r="CG19" s="2">
        <f t="shared" si="38"/>
        <v>0</v>
      </c>
      <c r="CH19" s="2">
        <f t="shared" si="38"/>
        <v>4.2439882581603436E-4</v>
      </c>
      <c r="CI19" s="2">
        <f t="shared" si="38"/>
        <v>6.7106014325706087E-3</v>
      </c>
      <c r="CJ19" s="2">
        <f t="shared" si="38"/>
        <v>3.1462093777318637E-2</v>
      </c>
      <c r="CK19" s="2">
        <f t="shared" si="38"/>
        <v>0.15616820703946033</v>
      </c>
      <c r="CL19" s="2">
        <f t="shared" si="39"/>
        <v>1</v>
      </c>
      <c r="CN19" s="2">
        <f t="shared" si="40"/>
        <v>3.4530051856816818E-2</v>
      </c>
      <c r="CO19" s="2">
        <f t="shared" si="41"/>
        <v>0.16189126124849992</v>
      </c>
      <c r="CP19" s="2">
        <f t="shared" si="42"/>
        <v>0.80357868689468326</v>
      </c>
      <c r="CR19" s="2">
        <f t="shared" si="43"/>
        <v>0.2586097775056439</v>
      </c>
      <c r="CS19" s="2">
        <f t="shared" si="44"/>
        <v>5.1039218205270513</v>
      </c>
      <c r="CT19" s="2">
        <f t="shared" si="45"/>
        <v>-1.4164285446025342</v>
      </c>
      <c r="CU19" s="2">
        <f t="shared" si="46"/>
        <v>1.2334384858044165</v>
      </c>
      <c r="CV19" s="2">
        <f t="shared" si="47"/>
        <v>4.5462862915974199E-2</v>
      </c>
      <c r="CW19" s="2">
        <f t="shared" si="48"/>
        <v>-0.80136154973835805</v>
      </c>
      <c r="CY19" s="2">
        <v>1402.0462236381372</v>
      </c>
      <c r="CZ19" s="60">
        <f t="shared" si="49"/>
        <v>1092.7613697430811</v>
      </c>
      <c r="DA19" s="2">
        <f t="shared" si="50"/>
        <v>7</v>
      </c>
      <c r="DC19" s="2">
        <f t="shared" si="51"/>
        <v>1094.2065536089478</v>
      </c>
      <c r="DD19" s="2">
        <f t="shared" si="52"/>
        <v>0.11454048303084702</v>
      </c>
      <c r="DE19" s="87">
        <f t="shared" si="53"/>
        <v>0.11454048303084702</v>
      </c>
      <c r="DF19" s="2">
        <f t="shared" si="54"/>
        <v>0.26732234258235554</v>
      </c>
      <c r="DG19" s="2">
        <f t="shared" si="55"/>
        <v>7000</v>
      </c>
      <c r="DH19" s="2">
        <f t="shared" si="56"/>
        <v>0.24257883113081161</v>
      </c>
      <c r="DJ19" s="2">
        <f t="shared" si="57"/>
        <v>19.327392968403057</v>
      </c>
      <c r="DK19" s="2">
        <f t="shared" si="58"/>
        <v>-0.46491850413241792</v>
      </c>
      <c r="DL19" s="2">
        <f t="shared" si="59"/>
        <v>4.6884163950810818</v>
      </c>
      <c r="DM19">
        <f t="shared" si="60"/>
        <v>-1.034E-2</v>
      </c>
      <c r="DN19">
        <f t="shared" si="61"/>
        <v>18.656428544602534</v>
      </c>
      <c r="DO19">
        <f t="shared" si="62"/>
        <v>-5997.4487033081914</v>
      </c>
      <c r="DP19">
        <v>1402.0462236381372</v>
      </c>
      <c r="DQ19" s="2">
        <f t="shared" si="63"/>
        <v>1128.8962236381371</v>
      </c>
    </row>
    <row r="20" spans="1:121" ht="15.6" thickBot="1" x14ac:dyDescent="0.3">
      <c r="A20" s="2" t="s">
        <v>19</v>
      </c>
      <c r="B20" s="3" t="s">
        <v>25</v>
      </c>
      <c r="C20" s="25">
        <v>0.5</v>
      </c>
      <c r="D20" s="69">
        <v>1130</v>
      </c>
      <c r="E20">
        <f t="shared" si="0"/>
        <v>5000</v>
      </c>
      <c r="F20" s="3">
        <v>4055</v>
      </c>
      <c r="G20" s="94">
        <f t="shared" si="68"/>
        <v>62.71</v>
      </c>
      <c r="H20" s="96">
        <v>0.45</v>
      </c>
      <c r="I20" s="96">
        <v>18.559999999999999</v>
      </c>
      <c r="J20" s="96">
        <v>3.17</v>
      </c>
      <c r="K20" s="96">
        <v>0.27</v>
      </c>
      <c r="L20" s="96">
        <v>0.23</v>
      </c>
      <c r="M20" s="96">
        <v>1.64</v>
      </c>
      <c r="N20" s="96">
        <v>6.11</v>
      </c>
      <c r="O20" s="96">
        <f t="shared" si="69"/>
        <v>6.09</v>
      </c>
      <c r="P20" s="4">
        <v>0</v>
      </c>
      <c r="Q20" s="96">
        <v>0.02</v>
      </c>
      <c r="R20" s="97">
        <v>5</v>
      </c>
      <c r="S20" s="2">
        <f t="shared" si="1"/>
        <v>99.25</v>
      </c>
      <c r="U20" s="90">
        <v>65.099999999999994</v>
      </c>
      <c r="V20" s="90"/>
      <c r="W20" s="90">
        <v>19.2</v>
      </c>
      <c r="X20" s="90">
        <v>0.05</v>
      </c>
      <c r="Y20" s="90"/>
      <c r="Z20" s="90">
        <v>0</v>
      </c>
      <c r="AA20" s="90">
        <v>0.36</v>
      </c>
      <c r="AB20" s="90">
        <v>2.87</v>
      </c>
      <c r="AC20" s="90">
        <v>12.6</v>
      </c>
      <c r="AD20" s="25">
        <v>0</v>
      </c>
      <c r="AF20" s="55">
        <f t="shared" si="2"/>
        <v>1072.3714261156879</v>
      </c>
      <c r="AG20" s="55">
        <f t="shared" si="3"/>
        <v>936.73234395658926</v>
      </c>
      <c r="AH20" s="55">
        <f t="shared" si="4"/>
        <v>1109.3392171485461</v>
      </c>
      <c r="AI20" s="85">
        <f t="shared" si="5"/>
        <v>8.5723008523167827</v>
      </c>
      <c r="AJ20" s="55">
        <f t="shared" si="6"/>
        <v>22.916999540973976</v>
      </c>
      <c r="AK20" s="55">
        <f t="shared" si="64"/>
        <v>60.872149355562406</v>
      </c>
      <c r="AL20" s="55">
        <f t="shared" si="65"/>
        <v>904.68108157092786</v>
      </c>
      <c r="AM20" s="86">
        <f t="shared" si="7"/>
        <v>0.85522403428784122</v>
      </c>
      <c r="AN20" s="86">
        <f t="shared" si="8"/>
        <v>0.15142157389962616</v>
      </c>
      <c r="AO20" s="86">
        <f t="shared" si="9"/>
        <v>2.9865681461637445E-5</v>
      </c>
      <c r="AP20" s="56">
        <f t="shared" si="10"/>
        <v>1.006675473868929</v>
      </c>
      <c r="AQ20" s="56">
        <f t="shared" si="11"/>
        <v>0.74641459052628889</v>
      </c>
      <c r="AR20" s="3">
        <f t="shared" si="12"/>
        <v>0.46732387184499025</v>
      </c>
      <c r="AS20" s="99">
        <f t="shared" si="66"/>
        <v>795.80951026866057</v>
      </c>
      <c r="AT20" s="99">
        <f t="shared" si="67"/>
        <v>883.73879064540677</v>
      </c>
      <c r="AU20" s="54">
        <f t="shared" si="13"/>
        <v>0.46732387184499025</v>
      </c>
      <c r="AV20" s="4">
        <f t="shared" si="14"/>
        <v>0.12917009301674418</v>
      </c>
      <c r="AW20" s="2">
        <f t="shared" si="15"/>
        <v>1.0437002677904212</v>
      </c>
      <c r="AX20" s="2">
        <f t="shared" si="16"/>
        <v>5.6335348052299235E-3</v>
      </c>
      <c r="AY20" s="2">
        <f t="shared" si="17"/>
        <v>0.36406076833299006</v>
      </c>
      <c r="AZ20" s="2">
        <f t="shared" si="18"/>
        <v>4.4121904507393547E-2</v>
      </c>
      <c r="BA20" s="2">
        <f t="shared" si="19"/>
        <v>3.8061674008810576E-3</v>
      </c>
      <c r="BB20" s="2">
        <f t="shared" si="20"/>
        <v>5.7065729796250539E-3</v>
      </c>
      <c r="BC20" s="2">
        <f t="shared" si="21"/>
        <v>2.924529311273347E-2</v>
      </c>
      <c r="BD20" s="2">
        <f t="shared" si="22"/>
        <v>0.1971638735117919</v>
      </c>
      <c r="BE20" s="2">
        <f t="shared" si="23"/>
        <v>0.12930485370928702</v>
      </c>
      <c r="BF20" s="2">
        <f t="shared" si="24"/>
        <v>2.8181517151975878E-4</v>
      </c>
      <c r="BG20" s="2">
        <f t="shared" si="25"/>
        <v>1.8230250513218729</v>
      </c>
      <c r="BH20" s="2">
        <f t="shared" si="26"/>
        <v>0.57251010732608176</v>
      </c>
      <c r="BI20" s="2">
        <f t="shared" si="26"/>
        <v>3.090212502096477E-3</v>
      </c>
      <c r="BJ20" s="2">
        <f t="shared" si="26"/>
        <v>0.19970146217629325</v>
      </c>
      <c r="BK20" s="2">
        <f t="shared" si="26"/>
        <v>2.4202577180933865E-2</v>
      </c>
      <c r="BL20" s="2">
        <f t="shared" si="26"/>
        <v>2.0878305529159957E-3</v>
      </c>
      <c r="BM20" s="2">
        <f t="shared" si="26"/>
        <v>3.1302767756741607E-3</v>
      </c>
      <c r="BN20" s="2">
        <f t="shared" si="26"/>
        <v>1.6042178406450176E-2</v>
      </c>
      <c r="BO20" s="2">
        <f t="shared" si="26"/>
        <v>0.10815203738907958</v>
      </c>
      <c r="BP20" s="2">
        <f t="shared" si="26"/>
        <v>7.0928731130451686E-2</v>
      </c>
      <c r="BQ20" s="2">
        <f t="shared" si="26"/>
        <v>1.5458656002308635E-4</v>
      </c>
      <c r="BR20" s="2">
        <f t="shared" si="27"/>
        <v>1</v>
      </c>
      <c r="BS20" s="2">
        <f t="shared" si="28"/>
        <v>1.0834777138120939</v>
      </c>
      <c r="BT20" s="2">
        <f t="shared" si="29"/>
        <v>0</v>
      </c>
      <c r="BU20" s="2">
        <f t="shared" si="30"/>
        <v>0.37661458793067937</v>
      </c>
      <c r="BV20" s="2">
        <f t="shared" si="31"/>
        <v>6.9592909317655444E-4</v>
      </c>
      <c r="BW20" s="2">
        <f t="shared" si="32"/>
        <v>0</v>
      </c>
      <c r="BX20" s="2">
        <f t="shared" si="33"/>
        <v>0</v>
      </c>
      <c r="BY20" s="2">
        <f t="shared" si="34"/>
        <v>6.4196984881610061E-3</v>
      </c>
      <c r="BZ20" s="2">
        <f t="shared" si="35"/>
        <v>9.2612163171660031E-2</v>
      </c>
      <c r="CA20" s="2">
        <f t="shared" si="36"/>
        <v>0.26752728353645588</v>
      </c>
      <c r="CB20" s="2">
        <f t="shared" si="37"/>
        <v>1.827347376032227</v>
      </c>
      <c r="CC20" s="2">
        <f t="shared" si="38"/>
        <v>0.59292378013242386</v>
      </c>
      <c r="CD20" s="2">
        <f t="shared" si="38"/>
        <v>0</v>
      </c>
      <c r="CE20" s="2">
        <f t="shared" si="38"/>
        <v>0.2060990662587831</v>
      </c>
      <c r="CF20" s="2">
        <f t="shared" si="38"/>
        <v>3.8084115932442234E-4</v>
      </c>
      <c r="CG20" s="2">
        <f t="shared" si="38"/>
        <v>0</v>
      </c>
      <c r="CH20" s="2">
        <f t="shared" si="38"/>
        <v>0</v>
      </c>
      <c r="CI20" s="2">
        <f t="shared" si="38"/>
        <v>3.5131243092379545E-3</v>
      </c>
      <c r="CJ20" s="2">
        <f t="shared" si="38"/>
        <v>5.068120292089813E-2</v>
      </c>
      <c r="CK20" s="2">
        <f t="shared" si="38"/>
        <v>0.14640198521933237</v>
      </c>
      <c r="CL20" s="2">
        <f t="shared" si="39"/>
        <v>1</v>
      </c>
      <c r="CN20" s="2">
        <f t="shared" si="40"/>
        <v>1.7513404241281522E-2</v>
      </c>
      <c r="CO20" s="2">
        <f t="shared" si="41"/>
        <v>0.25265271480832957</v>
      </c>
      <c r="CP20" s="2">
        <f t="shared" si="42"/>
        <v>0.72983388095038881</v>
      </c>
      <c r="CR20" s="2">
        <f t="shared" si="43"/>
        <v>0.2586097775056439</v>
      </c>
      <c r="CS20" s="2">
        <f t="shared" si="44"/>
        <v>4.4250583517150863</v>
      </c>
      <c r="CT20" s="2">
        <f t="shared" si="45"/>
        <v>-0.29247408177525708</v>
      </c>
      <c r="CU20" s="2" t="e">
        <f t="shared" si="46"/>
        <v>#DIV/0!</v>
      </c>
      <c r="CV20" s="2">
        <f t="shared" si="47"/>
        <v>4.5462862915974199E-2</v>
      </c>
      <c r="CW20" s="2">
        <f t="shared" si="48"/>
        <v>-0.80136154973835805</v>
      </c>
      <c r="CY20" s="2">
        <v>1401.5096722771564</v>
      </c>
      <c r="CZ20" s="60">
        <f t="shared" si="49"/>
        <v>1109.3392171485461</v>
      </c>
      <c r="DA20" s="2">
        <f t="shared" si="50"/>
        <v>5</v>
      </c>
      <c r="DC20" s="2">
        <f t="shared" si="51"/>
        <v>1111.253349522719</v>
      </c>
      <c r="DD20" s="2">
        <f t="shared" si="52"/>
        <v>0.11454048303084702</v>
      </c>
      <c r="DE20" s="87">
        <f t="shared" si="53"/>
        <v>0.11454048303084702</v>
      </c>
      <c r="DF20" s="2">
        <f t="shared" si="54"/>
        <v>0.13558404915765818</v>
      </c>
      <c r="DG20" s="2">
        <f t="shared" si="55"/>
        <v>5000</v>
      </c>
      <c r="DH20" s="2">
        <f t="shared" si="56"/>
        <v>0.74641459052628889</v>
      </c>
      <c r="DJ20" s="2">
        <f t="shared" si="57"/>
        <v>19.327392968403057</v>
      </c>
      <c r="DK20" s="2">
        <f t="shared" si="58"/>
        <v>-0.46491850413241792</v>
      </c>
      <c r="DL20" s="2">
        <f t="shared" si="59"/>
        <v>14.426248108451245</v>
      </c>
      <c r="DM20">
        <f t="shared" si="60"/>
        <v>-1.034E-2</v>
      </c>
      <c r="DN20">
        <f t="shared" si="61"/>
        <v>17.532474081775256</v>
      </c>
      <c r="DO20">
        <f t="shared" si="62"/>
        <v>-5997.4487033081914</v>
      </c>
      <c r="DP20">
        <v>1401.5096722771564</v>
      </c>
      <c r="DQ20" s="2">
        <f t="shared" si="63"/>
        <v>1128.3596722771563</v>
      </c>
    </row>
    <row r="21" spans="1:121" ht="15.6" thickBot="1" x14ac:dyDescent="0.3">
      <c r="A21" s="2" t="s">
        <v>19</v>
      </c>
      <c r="B21" s="3" t="s">
        <v>26</v>
      </c>
      <c r="C21" s="25">
        <v>0.5</v>
      </c>
      <c r="D21" s="69">
        <v>1135</v>
      </c>
      <c r="E21">
        <f t="shared" si="0"/>
        <v>5000</v>
      </c>
      <c r="F21" s="3">
        <v>4054</v>
      </c>
      <c r="G21" s="94">
        <f t="shared" si="68"/>
        <v>62.71</v>
      </c>
      <c r="H21" s="96">
        <v>0.45</v>
      </c>
      <c r="I21" s="96">
        <v>18.559999999999999</v>
      </c>
      <c r="J21" s="96">
        <v>3.17</v>
      </c>
      <c r="K21" s="96">
        <v>0.27</v>
      </c>
      <c r="L21" s="96">
        <v>0.23</v>
      </c>
      <c r="M21" s="96">
        <v>1.64</v>
      </c>
      <c r="N21" s="96">
        <v>6.11</v>
      </c>
      <c r="O21" s="96">
        <f t="shared" si="69"/>
        <v>6.09</v>
      </c>
      <c r="P21" s="4">
        <v>0</v>
      </c>
      <c r="Q21" s="96">
        <v>0.02</v>
      </c>
      <c r="R21" s="97">
        <v>5</v>
      </c>
      <c r="S21" s="2">
        <f t="shared" si="1"/>
        <v>99.25</v>
      </c>
      <c r="U21" s="90">
        <v>65</v>
      </c>
      <c r="V21" s="90"/>
      <c r="W21" s="90">
        <v>19.2</v>
      </c>
      <c r="X21" s="90">
        <v>0</v>
      </c>
      <c r="Y21" s="90"/>
      <c r="Z21" s="90">
        <v>0</v>
      </c>
      <c r="AA21" s="90">
        <v>0.35</v>
      </c>
      <c r="AB21" s="90">
        <v>2.5099999999999998</v>
      </c>
      <c r="AC21" s="90">
        <v>12.8</v>
      </c>
      <c r="AD21" s="25">
        <v>0</v>
      </c>
      <c r="AF21" s="55">
        <f t="shared" si="2"/>
        <v>1075.5691428458967</v>
      </c>
      <c r="AG21" s="55">
        <f t="shared" si="3"/>
        <v>936.73234395658926</v>
      </c>
      <c r="AH21" s="55">
        <f t="shared" si="4"/>
        <v>1113.5862267120692</v>
      </c>
      <c r="AI21" s="85">
        <f t="shared" si="5"/>
        <v>8.4774832410274961</v>
      </c>
      <c r="AJ21" s="55">
        <f t="shared" si="6"/>
        <v>23.020954773926459</v>
      </c>
      <c r="AK21" s="55">
        <f t="shared" si="64"/>
        <v>61.754755176699156</v>
      </c>
      <c r="AL21" s="55">
        <f t="shared" si="65"/>
        <v>904.68108157092786</v>
      </c>
      <c r="AM21" s="86">
        <f t="shared" si="7"/>
        <v>0.86562790164893899</v>
      </c>
      <c r="AN21" s="86">
        <f t="shared" si="8"/>
        <v>0.14852347215135459</v>
      </c>
      <c r="AO21" s="86">
        <f t="shared" si="9"/>
        <v>3.1217559493062377E-5</v>
      </c>
      <c r="AP21" s="56">
        <f t="shared" si="10"/>
        <v>1.0141825913597866</v>
      </c>
      <c r="AQ21" s="56">
        <f t="shared" si="11"/>
        <v>0.6714387496262364</v>
      </c>
      <c r="AR21" s="3">
        <f t="shared" si="12"/>
        <v>0.51950733650762815</v>
      </c>
      <c r="AS21" s="99">
        <f t="shared" si="66"/>
        <v>782.648002746923</v>
      </c>
      <c r="AT21" s="99">
        <f t="shared" si="67"/>
        <v>883.73879064540677</v>
      </c>
      <c r="AU21" s="54">
        <f t="shared" si="13"/>
        <v>0.51950733650762815</v>
      </c>
      <c r="AV21" s="4">
        <f t="shared" si="14"/>
        <v>0.12917009301674418</v>
      </c>
      <c r="AW21" s="2">
        <f t="shared" si="15"/>
        <v>1.0437002677904212</v>
      </c>
      <c r="AX21" s="2">
        <f t="shared" si="16"/>
        <v>5.6335348052299235E-3</v>
      </c>
      <c r="AY21" s="2">
        <f t="shared" si="17"/>
        <v>0.36406076833299006</v>
      </c>
      <c r="AZ21" s="2">
        <f t="shared" si="18"/>
        <v>4.4121904507393547E-2</v>
      </c>
      <c r="BA21" s="2">
        <f t="shared" si="19"/>
        <v>3.8061674008810576E-3</v>
      </c>
      <c r="BB21" s="2">
        <f t="shared" si="20"/>
        <v>5.7065729796250539E-3</v>
      </c>
      <c r="BC21" s="2">
        <f t="shared" si="21"/>
        <v>2.924529311273347E-2</v>
      </c>
      <c r="BD21" s="2">
        <f t="shared" si="22"/>
        <v>0.1971638735117919</v>
      </c>
      <c r="BE21" s="2">
        <f t="shared" si="23"/>
        <v>0.12930485370928702</v>
      </c>
      <c r="BF21" s="2">
        <f t="shared" si="24"/>
        <v>2.8181517151975878E-4</v>
      </c>
      <c r="BG21" s="2">
        <f t="shared" si="25"/>
        <v>1.8230250513218729</v>
      </c>
      <c r="BH21" s="2">
        <f t="shared" ref="BH21:BQ23" si="70">AW21/$BG21</f>
        <v>0.57251010732608176</v>
      </c>
      <c r="BI21" s="2">
        <f t="shared" si="70"/>
        <v>3.090212502096477E-3</v>
      </c>
      <c r="BJ21" s="2">
        <f t="shared" si="70"/>
        <v>0.19970146217629325</v>
      </c>
      <c r="BK21" s="2">
        <f t="shared" si="70"/>
        <v>2.4202577180933865E-2</v>
      </c>
      <c r="BL21" s="2">
        <f t="shared" si="70"/>
        <v>2.0878305529159957E-3</v>
      </c>
      <c r="BM21" s="2">
        <f t="shared" si="70"/>
        <v>3.1302767756741607E-3</v>
      </c>
      <c r="BN21" s="2">
        <f t="shared" si="70"/>
        <v>1.6042178406450176E-2</v>
      </c>
      <c r="BO21" s="2">
        <f t="shared" si="70"/>
        <v>0.10815203738907958</v>
      </c>
      <c r="BP21" s="2">
        <f t="shared" si="70"/>
        <v>7.0928731130451686E-2</v>
      </c>
      <c r="BQ21" s="2">
        <f t="shared" si="70"/>
        <v>1.5458656002308635E-4</v>
      </c>
      <c r="BR21" s="2">
        <f t="shared" si="27"/>
        <v>1</v>
      </c>
      <c r="BS21" s="2">
        <f t="shared" si="28"/>
        <v>1.0818133855266683</v>
      </c>
      <c r="BT21" s="2">
        <f t="shared" si="29"/>
        <v>0</v>
      </c>
      <c r="BU21" s="2">
        <f t="shared" si="30"/>
        <v>0.37661458793067937</v>
      </c>
      <c r="BV21" s="2">
        <f t="shared" si="31"/>
        <v>0</v>
      </c>
      <c r="BW21" s="2">
        <f t="shared" si="32"/>
        <v>0</v>
      </c>
      <c r="BX21" s="2">
        <f t="shared" si="33"/>
        <v>0</v>
      </c>
      <c r="BY21" s="2">
        <f t="shared" si="34"/>
        <v>6.2413735301565338E-3</v>
      </c>
      <c r="BZ21" s="2">
        <f t="shared" si="35"/>
        <v>8.099530646720092E-2</v>
      </c>
      <c r="CA21" s="2">
        <f t="shared" si="36"/>
        <v>0.27177374835449492</v>
      </c>
      <c r="CB21" s="2">
        <f t="shared" si="37"/>
        <v>1.8174384018091998</v>
      </c>
      <c r="CC21" s="2">
        <f t="shared" si="38"/>
        <v>0.59524074348256251</v>
      </c>
      <c r="CD21" s="2">
        <f t="shared" si="38"/>
        <v>0</v>
      </c>
      <c r="CE21" s="2">
        <f t="shared" si="38"/>
        <v>0.20722275239467375</v>
      </c>
      <c r="CF21" s="2">
        <f t="shared" si="38"/>
        <v>0</v>
      </c>
      <c r="CG21" s="2">
        <f t="shared" si="38"/>
        <v>0</v>
      </c>
      <c r="CH21" s="2">
        <f t="shared" si="38"/>
        <v>0</v>
      </c>
      <c r="CI21" s="2">
        <f t="shared" si="38"/>
        <v>3.4341595973450614E-3</v>
      </c>
      <c r="CJ21" s="2">
        <f t="shared" si="38"/>
        <v>4.4565640511707451E-2</v>
      </c>
      <c r="CK21" s="2">
        <f t="shared" si="38"/>
        <v>0.14953670401371136</v>
      </c>
      <c r="CL21" s="2">
        <f t="shared" si="39"/>
        <v>1.0000000000000002</v>
      </c>
      <c r="CN21" s="2">
        <f t="shared" si="40"/>
        <v>1.7384936584737876E-2</v>
      </c>
      <c r="CO21" s="2">
        <f t="shared" si="41"/>
        <v>0.22560711352880403</v>
      </c>
      <c r="CP21" s="2">
        <f t="shared" si="42"/>
        <v>0.75700794988645814</v>
      </c>
      <c r="CR21" s="2">
        <f t="shared" si="43"/>
        <v>0.2586097775056439</v>
      </c>
      <c r="CS21" s="2">
        <f t="shared" si="44"/>
        <v>4.4176959250893519</v>
      </c>
      <c r="CT21" s="2">
        <f t="shared" si="45"/>
        <v>-0.39833248143639827</v>
      </c>
      <c r="CU21" s="2" t="e">
        <f t="shared" si="46"/>
        <v>#DIV/0!</v>
      </c>
      <c r="CV21" s="2">
        <f t="shared" si="47"/>
        <v>4.5462862915974199E-2</v>
      </c>
      <c r="CW21" s="2">
        <f t="shared" si="48"/>
        <v>-0.80136154973835805</v>
      </c>
      <c r="CY21" s="2">
        <v>1410.095592080866</v>
      </c>
      <c r="CZ21" s="60">
        <f t="shared" si="49"/>
        <v>1113.5862267120692</v>
      </c>
      <c r="DA21" s="2">
        <f t="shared" si="50"/>
        <v>5</v>
      </c>
      <c r="DC21" s="2">
        <f t="shared" si="51"/>
        <v>1115.8646936903838</v>
      </c>
      <c r="DD21" s="2">
        <f t="shared" si="52"/>
        <v>0.11454048303084702</v>
      </c>
      <c r="DE21" s="87">
        <f t="shared" si="53"/>
        <v>0.11454048303084702</v>
      </c>
      <c r="DF21" s="2">
        <f t="shared" si="54"/>
        <v>0.13458948723126093</v>
      </c>
      <c r="DG21" s="2">
        <f t="shared" si="55"/>
        <v>5000</v>
      </c>
      <c r="DH21" s="2">
        <f t="shared" si="56"/>
        <v>0.6714387496262364</v>
      </c>
      <c r="DJ21" s="2">
        <f t="shared" si="57"/>
        <v>19.327392968403057</v>
      </c>
      <c r="DK21" s="2">
        <f t="shared" si="58"/>
        <v>-0.46491850413241792</v>
      </c>
      <c r="DL21" s="2">
        <f t="shared" si="59"/>
        <v>12.977160568239464</v>
      </c>
      <c r="DM21">
        <f t="shared" si="60"/>
        <v>-1.034E-2</v>
      </c>
      <c r="DN21">
        <f t="shared" si="61"/>
        <v>17.638332481436397</v>
      </c>
      <c r="DO21">
        <f t="shared" si="62"/>
        <v>-5997.4487033081914</v>
      </c>
      <c r="DP21">
        <v>1410.095592080866</v>
      </c>
      <c r="DQ21" s="2">
        <f t="shared" si="63"/>
        <v>1136.9455920808659</v>
      </c>
    </row>
    <row r="22" spans="1:121" ht="15.6" thickBot="1" x14ac:dyDescent="0.3">
      <c r="A22" s="2" t="s">
        <v>19</v>
      </c>
      <c r="B22" s="3" t="s">
        <v>35</v>
      </c>
      <c r="C22" s="25">
        <v>0.5</v>
      </c>
      <c r="D22" s="69">
        <v>1150</v>
      </c>
      <c r="E22">
        <f t="shared" si="0"/>
        <v>5000</v>
      </c>
      <c r="F22" s="3">
        <v>4053</v>
      </c>
      <c r="G22" s="94">
        <f t="shared" si="68"/>
        <v>62.71</v>
      </c>
      <c r="H22" s="96">
        <v>0.45</v>
      </c>
      <c r="I22" s="96">
        <v>18.559999999999999</v>
      </c>
      <c r="J22" s="96">
        <v>3.17</v>
      </c>
      <c r="K22" s="96">
        <v>0.27</v>
      </c>
      <c r="L22" s="96">
        <v>0.23</v>
      </c>
      <c r="M22" s="96">
        <v>1.64</v>
      </c>
      <c r="N22" s="96">
        <v>6.11</v>
      </c>
      <c r="O22" s="96">
        <f t="shared" si="69"/>
        <v>6.09</v>
      </c>
      <c r="P22" s="4">
        <v>0</v>
      </c>
      <c r="Q22" s="96">
        <v>0.02</v>
      </c>
      <c r="R22" s="97">
        <v>0</v>
      </c>
      <c r="S22" s="2">
        <f t="shared" si="1"/>
        <v>99.25</v>
      </c>
      <c r="U22" s="90">
        <v>64.900000000000006</v>
      </c>
      <c r="V22" s="90"/>
      <c r="W22" s="90">
        <v>19.3</v>
      </c>
      <c r="X22" s="90">
        <v>0.06</v>
      </c>
      <c r="Y22" s="90"/>
      <c r="Z22" s="90">
        <v>0.03</v>
      </c>
      <c r="AA22" s="90">
        <v>0.28999999999999998</v>
      </c>
      <c r="AB22" s="90">
        <v>2.2999999999999998</v>
      </c>
      <c r="AC22" s="90">
        <v>13.3</v>
      </c>
      <c r="AD22" s="25">
        <v>0</v>
      </c>
      <c r="AF22" s="55">
        <f t="shared" si="2"/>
        <v>1321.6391001104635</v>
      </c>
      <c r="AG22" s="55">
        <f t="shared" si="3"/>
        <v>1117.3289605457908</v>
      </c>
      <c r="AH22" s="55">
        <f t="shared" si="4"/>
        <v>1330.9368550114909</v>
      </c>
      <c r="AI22" s="85">
        <f t="shared" si="5"/>
        <v>9.0791040439620403</v>
      </c>
      <c r="AJ22" s="55">
        <f t="shared" si="6"/>
        <v>18.738011731585463</v>
      </c>
      <c r="AK22" s="55">
        <f t="shared" si="64"/>
        <v>65.638678317868667</v>
      </c>
      <c r="AL22" s="55">
        <f t="shared" si="65"/>
        <v>1036.4907466319778</v>
      </c>
      <c r="AM22" s="86">
        <f t="shared" si="7"/>
        <v>0.58539220708036066</v>
      </c>
      <c r="AN22" s="86">
        <f t="shared" si="8"/>
        <v>0.31707565904892665</v>
      </c>
      <c r="AO22" s="86">
        <f t="shared" si="9"/>
        <v>3.2539393577098722E-5</v>
      </c>
      <c r="AP22" s="56">
        <f t="shared" si="10"/>
        <v>0.90250040552286437</v>
      </c>
      <c r="AQ22" s="56">
        <f t="shared" si="11"/>
        <v>0.74255830945063939</v>
      </c>
      <c r="AR22" s="3">
        <f t="shared" si="12"/>
        <v>0.46975079533404035</v>
      </c>
      <c r="AS22" s="99">
        <f t="shared" si="66"/>
        <v>771.84548108173237</v>
      </c>
      <c r="AT22" s="99">
        <f t="shared" si="67"/>
        <v>921.75399415564914</v>
      </c>
      <c r="AU22" s="54">
        <f t="shared" si="13"/>
        <v>0.46975079533404029</v>
      </c>
      <c r="AV22" s="4">
        <f t="shared" si="14"/>
        <v>0.12917009301674418</v>
      </c>
      <c r="AW22" s="2">
        <f t="shared" si="15"/>
        <v>1.0437002677904212</v>
      </c>
      <c r="AX22" s="2">
        <f t="shared" si="16"/>
        <v>5.6335348052299235E-3</v>
      </c>
      <c r="AY22" s="2">
        <f t="shared" si="17"/>
        <v>0.36406076833299006</v>
      </c>
      <c r="AZ22" s="2">
        <f t="shared" si="18"/>
        <v>4.4121904507393547E-2</v>
      </c>
      <c r="BA22" s="2">
        <f t="shared" si="19"/>
        <v>3.8061674008810576E-3</v>
      </c>
      <c r="BB22" s="2">
        <f t="shared" si="20"/>
        <v>5.7065729796250539E-3</v>
      </c>
      <c r="BC22" s="2">
        <f t="shared" si="21"/>
        <v>2.924529311273347E-2</v>
      </c>
      <c r="BD22" s="2">
        <f t="shared" si="22"/>
        <v>0.1971638735117919</v>
      </c>
      <c r="BE22" s="2">
        <f t="shared" si="23"/>
        <v>0.12930485370928702</v>
      </c>
      <c r="BF22" s="2">
        <f t="shared" si="24"/>
        <v>2.8181517151975878E-4</v>
      </c>
      <c r="BG22" s="2">
        <f t="shared" si="25"/>
        <v>1.8230250513218729</v>
      </c>
      <c r="BH22" s="2">
        <f t="shared" si="70"/>
        <v>0.57251010732608176</v>
      </c>
      <c r="BI22" s="2">
        <f t="shared" si="70"/>
        <v>3.090212502096477E-3</v>
      </c>
      <c r="BJ22" s="2">
        <f t="shared" si="70"/>
        <v>0.19970146217629325</v>
      </c>
      <c r="BK22" s="2">
        <f t="shared" si="70"/>
        <v>2.4202577180933865E-2</v>
      </c>
      <c r="BL22" s="2">
        <f t="shared" si="70"/>
        <v>2.0878305529159957E-3</v>
      </c>
      <c r="BM22" s="2">
        <f t="shared" si="70"/>
        <v>3.1302767756741607E-3</v>
      </c>
      <c r="BN22" s="2">
        <f t="shared" si="70"/>
        <v>1.6042178406450176E-2</v>
      </c>
      <c r="BO22" s="2">
        <f t="shared" si="70"/>
        <v>0.10815203738907958</v>
      </c>
      <c r="BP22" s="2">
        <f t="shared" si="70"/>
        <v>7.0928731130451686E-2</v>
      </c>
      <c r="BQ22" s="2">
        <f t="shared" si="70"/>
        <v>1.5458656002308635E-4</v>
      </c>
      <c r="BR22" s="2">
        <f t="shared" si="27"/>
        <v>1</v>
      </c>
      <c r="BS22" s="2">
        <f t="shared" si="28"/>
        <v>1.0801490572412429</v>
      </c>
      <c r="BT22" s="2">
        <f t="shared" si="29"/>
        <v>0</v>
      </c>
      <c r="BU22" s="2">
        <f t="shared" si="30"/>
        <v>0.37857612224281834</v>
      </c>
      <c r="BV22" s="2">
        <f t="shared" si="31"/>
        <v>8.3511491181186524E-4</v>
      </c>
      <c r="BW22" s="2">
        <f t="shared" si="32"/>
        <v>0</v>
      </c>
      <c r="BX22" s="2">
        <f t="shared" si="33"/>
        <v>7.4433560603805041E-4</v>
      </c>
      <c r="BY22" s="2">
        <f t="shared" si="34"/>
        <v>5.1714237821296992E-3</v>
      </c>
      <c r="BZ22" s="2">
        <f t="shared" si="35"/>
        <v>7.4218806722933114E-2</v>
      </c>
      <c r="CA22" s="2">
        <f t="shared" si="36"/>
        <v>0.28238991039959238</v>
      </c>
      <c r="CB22" s="2">
        <f t="shared" si="37"/>
        <v>1.8220847709065662</v>
      </c>
      <c r="CC22" s="2">
        <f t="shared" si="38"/>
        <v>0.59280944250679501</v>
      </c>
      <c r="CD22" s="2">
        <f t="shared" si="38"/>
        <v>0</v>
      </c>
      <c r="CE22" s="2">
        <f t="shared" si="38"/>
        <v>0.20777086131643607</v>
      </c>
      <c r="CF22" s="2">
        <f t="shared" si="38"/>
        <v>4.5832934073443762E-4</v>
      </c>
      <c r="CG22" s="2">
        <f t="shared" si="38"/>
        <v>0</v>
      </c>
      <c r="CH22" s="2">
        <f t="shared" si="38"/>
        <v>4.0850767095084779E-4</v>
      </c>
      <c r="CI22" s="2">
        <f t="shared" si="38"/>
        <v>2.8381905522193085E-3</v>
      </c>
      <c r="CJ22" s="2">
        <f t="shared" si="38"/>
        <v>4.0732905465208427E-2</v>
      </c>
      <c r="CK22" s="2">
        <f t="shared" si="38"/>
        <v>0.15498176314765594</v>
      </c>
      <c r="CL22" s="2">
        <f t="shared" si="39"/>
        <v>1</v>
      </c>
      <c r="CN22" s="2">
        <f t="shared" si="40"/>
        <v>1.4294382685567571E-2</v>
      </c>
      <c r="CO22" s="2">
        <f t="shared" si="41"/>
        <v>0.2051489242536754</v>
      </c>
      <c r="CP22" s="2">
        <f t="shared" si="42"/>
        <v>0.78055669306075703</v>
      </c>
      <c r="CR22" s="2">
        <f t="shared" si="43"/>
        <v>0.2586097775056439</v>
      </c>
      <c r="CS22" s="2">
        <f t="shared" si="44"/>
        <v>4.2219584482371566</v>
      </c>
      <c r="CT22" s="2">
        <f t="shared" si="45"/>
        <v>-0.29765388014204691</v>
      </c>
      <c r="CU22" s="2">
        <f t="shared" si="46"/>
        <v>0.14511041009463724</v>
      </c>
      <c r="CV22" s="2">
        <f t="shared" si="47"/>
        <v>4.5462862915974199E-2</v>
      </c>
      <c r="CW22" s="2">
        <f t="shared" si="48"/>
        <v>-0.80136154973835805</v>
      </c>
      <c r="CY22" s="2">
        <v>1418.2344605248122</v>
      </c>
      <c r="CZ22" s="60">
        <f t="shared" si="49"/>
        <v>1330.9368550114909</v>
      </c>
      <c r="DA22" s="2">
        <f t="shared" si="50"/>
        <v>5</v>
      </c>
      <c r="DC22" s="2">
        <f t="shared" si="51"/>
        <v>1357.6503976138335</v>
      </c>
      <c r="DD22" s="2">
        <f t="shared" si="52"/>
        <v>0.11454048303084702</v>
      </c>
      <c r="DE22" s="87">
        <f t="shared" si="53"/>
        <v>0.11454048303084702</v>
      </c>
      <c r="DF22" s="2">
        <f t="shared" si="54"/>
        <v>0.11066325301565437</v>
      </c>
      <c r="DG22" s="2">
        <f t="shared" si="55"/>
        <v>5000</v>
      </c>
      <c r="DH22" s="2">
        <f t="shared" si="56"/>
        <v>0.74255830945063939</v>
      </c>
      <c r="DJ22" s="2">
        <f t="shared" si="57"/>
        <v>19.327392968403057</v>
      </c>
      <c r="DK22" s="2">
        <f t="shared" si="58"/>
        <v>-0.46491850413241792</v>
      </c>
      <c r="DL22" s="2">
        <f t="shared" si="59"/>
        <v>14.35171624870555</v>
      </c>
      <c r="DM22">
        <f t="shared" si="60"/>
        <v>-1.034E-2</v>
      </c>
      <c r="DN22">
        <f t="shared" si="61"/>
        <v>17.537653880142045</v>
      </c>
      <c r="DO22">
        <f t="shared" si="62"/>
        <v>-5997.4487033081914</v>
      </c>
      <c r="DP22">
        <v>1418.2344605248122</v>
      </c>
      <c r="DQ22" s="2">
        <f t="shared" si="63"/>
        <v>1145.0844605248121</v>
      </c>
    </row>
    <row r="23" spans="1:121" ht="15.6" thickBot="1" x14ac:dyDescent="0.3">
      <c r="A23" s="2" t="s">
        <v>19</v>
      </c>
      <c r="B23" s="3" t="s">
        <v>48</v>
      </c>
      <c r="C23" s="25">
        <v>1E-4</v>
      </c>
      <c r="D23" s="69">
        <v>1090</v>
      </c>
      <c r="E23">
        <f t="shared" si="0"/>
        <v>1</v>
      </c>
      <c r="F23" s="3">
        <v>4049</v>
      </c>
      <c r="G23" s="94">
        <f t="shared" si="68"/>
        <v>62.71</v>
      </c>
      <c r="H23" s="96">
        <v>0.45</v>
      </c>
      <c r="I23" s="96">
        <v>18.559999999999999</v>
      </c>
      <c r="J23" s="96">
        <v>3.17</v>
      </c>
      <c r="K23" s="96">
        <v>0.27</v>
      </c>
      <c r="L23" s="96">
        <v>0.23</v>
      </c>
      <c r="M23" s="96">
        <v>1.64</v>
      </c>
      <c r="N23" s="96">
        <v>6.11</v>
      </c>
      <c r="O23" s="96">
        <f t="shared" si="69"/>
        <v>6.09</v>
      </c>
      <c r="P23" s="4">
        <v>0</v>
      </c>
      <c r="Q23" s="96">
        <v>0.02</v>
      </c>
      <c r="R23" s="97">
        <v>1</v>
      </c>
      <c r="S23" s="2">
        <f t="shared" si="1"/>
        <v>99.25</v>
      </c>
      <c r="U23" s="90">
        <v>64.900000000000006</v>
      </c>
      <c r="V23" s="90"/>
      <c r="W23" s="90">
        <v>18.600000000000001</v>
      </c>
      <c r="X23" s="90">
        <v>0</v>
      </c>
      <c r="Y23" s="90"/>
      <c r="Z23" s="90">
        <v>0</v>
      </c>
      <c r="AA23" s="90">
        <v>0.17</v>
      </c>
      <c r="AB23" s="90">
        <v>3.02</v>
      </c>
      <c r="AC23" s="90">
        <v>12.1</v>
      </c>
      <c r="AD23" s="25">
        <v>0</v>
      </c>
      <c r="AF23" s="55">
        <f t="shared" si="2"/>
        <v>1261.5677228946588</v>
      </c>
      <c r="AG23" s="55">
        <f t="shared" si="3"/>
        <v>1061.2510348084224</v>
      </c>
      <c r="AH23" s="55">
        <f t="shared" si="4"/>
        <v>1272.9634386050775</v>
      </c>
      <c r="AI23" s="55">
        <f t="shared" si="5"/>
        <v>11.083126249525673</v>
      </c>
      <c r="AJ23" s="55">
        <f t="shared" si="6"/>
        <v>22.480815101305232</v>
      </c>
      <c r="AK23" s="55">
        <f t="shared" si="64"/>
        <v>70.375243081368168</v>
      </c>
      <c r="AL23" s="55">
        <f t="shared" si="65"/>
        <v>982.48461645402438</v>
      </c>
      <c r="AM23" s="86">
        <f t="shared" si="7"/>
        <v>0.67725991011448328</v>
      </c>
      <c r="AN23" s="56">
        <f t="shared" si="8"/>
        <v>0.25132351241741258</v>
      </c>
      <c r="AO23" s="56">
        <f t="shared" si="9"/>
        <v>2.4564575847724665E-5</v>
      </c>
      <c r="AP23" s="56">
        <f t="shared" si="10"/>
        <v>0.92860798710774362</v>
      </c>
      <c r="AQ23" s="56">
        <f t="shared" si="11"/>
        <v>1.6632546481249872</v>
      </c>
      <c r="AR23" s="3">
        <f t="shared" si="12"/>
        <v>0.20971975448231306</v>
      </c>
      <c r="AS23" s="99">
        <f t="shared" si="66"/>
        <v>804.40833796155823</v>
      </c>
      <c r="AT23" s="99">
        <f t="shared" si="67"/>
        <v>913.52986189454089</v>
      </c>
      <c r="AU23" s="54">
        <f t="shared" si="13"/>
        <v>0.20971975448231306</v>
      </c>
      <c r="AV23" s="4">
        <f t="shared" si="14"/>
        <v>0.12917009301674418</v>
      </c>
      <c r="AW23" s="2">
        <f t="shared" si="15"/>
        <v>1.0437002677904212</v>
      </c>
      <c r="AX23" s="2">
        <f t="shared" si="16"/>
        <v>5.6335348052299235E-3</v>
      </c>
      <c r="AY23" s="2">
        <f t="shared" si="17"/>
        <v>0.36406076833299006</v>
      </c>
      <c r="AZ23" s="2">
        <f t="shared" si="18"/>
        <v>4.4121904507393547E-2</v>
      </c>
      <c r="BA23" s="2">
        <f t="shared" si="19"/>
        <v>3.8061674008810576E-3</v>
      </c>
      <c r="BB23" s="2">
        <f t="shared" si="20"/>
        <v>5.7065729796250539E-3</v>
      </c>
      <c r="BC23" s="2">
        <f t="shared" si="21"/>
        <v>2.924529311273347E-2</v>
      </c>
      <c r="BD23" s="2">
        <f t="shared" si="22"/>
        <v>0.1971638735117919</v>
      </c>
      <c r="BE23" s="2">
        <f t="shared" si="23"/>
        <v>0.12930485370928702</v>
      </c>
      <c r="BF23" s="2">
        <f t="shared" si="24"/>
        <v>2.8181517151975878E-4</v>
      </c>
      <c r="BG23" s="2">
        <f t="shared" si="25"/>
        <v>1.8230250513218729</v>
      </c>
      <c r="BH23" s="2">
        <f t="shared" si="70"/>
        <v>0.57251010732608176</v>
      </c>
      <c r="BI23" s="2">
        <f t="shared" si="70"/>
        <v>3.090212502096477E-3</v>
      </c>
      <c r="BJ23" s="2">
        <f t="shared" si="70"/>
        <v>0.19970146217629325</v>
      </c>
      <c r="BK23" s="2">
        <f t="shared" si="70"/>
        <v>2.4202577180933865E-2</v>
      </c>
      <c r="BL23" s="2">
        <f t="shared" si="70"/>
        <v>2.0878305529159957E-3</v>
      </c>
      <c r="BM23" s="2">
        <f t="shared" si="70"/>
        <v>3.1302767756741607E-3</v>
      </c>
      <c r="BN23" s="2">
        <f t="shared" si="70"/>
        <v>1.6042178406450176E-2</v>
      </c>
      <c r="BO23" s="2">
        <f t="shared" si="70"/>
        <v>0.10815203738907958</v>
      </c>
      <c r="BP23" s="2">
        <f t="shared" si="70"/>
        <v>7.0928731130451686E-2</v>
      </c>
      <c r="BQ23" s="2">
        <f t="shared" si="70"/>
        <v>1.5458656002308635E-4</v>
      </c>
      <c r="BR23" s="2">
        <f t="shared" si="27"/>
        <v>1</v>
      </c>
      <c r="BS23" s="2">
        <f t="shared" si="28"/>
        <v>1.0801490572412429</v>
      </c>
      <c r="BT23" s="2">
        <f t="shared" si="29"/>
        <v>0</v>
      </c>
      <c r="BU23" s="2">
        <f t="shared" si="30"/>
        <v>0.36484538205784567</v>
      </c>
      <c r="BV23" s="2">
        <f t="shared" si="31"/>
        <v>0</v>
      </c>
      <c r="BW23" s="2">
        <f t="shared" si="32"/>
        <v>0</v>
      </c>
      <c r="BX23" s="2">
        <f t="shared" si="33"/>
        <v>0</v>
      </c>
      <c r="BY23" s="2">
        <f t="shared" si="34"/>
        <v>3.0315242860760312E-3</v>
      </c>
      <c r="BZ23" s="2">
        <f t="shared" si="35"/>
        <v>9.7452520131851322E-2</v>
      </c>
      <c r="CA23" s="2">
        <f t="shared" si="36"/>
        <v>0.25691112149135842</v>
      </c>
      <c r="CB23" s="2">
        <f t="shared" si="37"/>
        <v>1.8023896052083743</v>
      </c>
      <c r="CC23" s="2">
        <f t="shared" si="38"/>
        <v>0.59928722076510577</v>
      </c>
      <c r="CD23" s="2">
        <f t="shared" si="38"/>
        <v>0</v>
      </c>
      <c r="CE23" s="2">
        <f t="shared" si="38"/>
        <v>0.20242315035747549</v>
      </c>
      <c r="CF23" s="2">
        <f t="shared" si="38"/>
        <v>0</v>
      </c>
      <c r="CG23" s="2">
        <f t="shared" si="38"/>
        <v>0</v>
      </c>
      <c r="CH23" s="2">
        <f t="shared" si="38"/>
        <v>0</v>
      </c>
      <c r="CI23" s="2">
        <f t="shared" si="38"/>
        <v>1.681947275614451E-3</v>
      </c>
      <c r="CJ23" s="2">
        <f t="shared" si="38"/>
        <v>5.4068509855051475E-2</v>
      </c>
      <c r="CK23" s="2">
        <f t="shared" si="38"/>
        <v>0.14253917174675279</v>
      </c>
      <c r="CL23" s="2">
        <f t="shared" si="39"/>
        <v>1</v>
      </c>
      <c r="CN23" s="2">
        <f t="shared" si="40"/>
        <v>8.4822755740504175E-3</v>
      </c>
      <c r="CO23" s="2">
        <f t="shared" si="41"/>
        <v>0.27267442155775207</v>
      </c>
      <c r="CP23" s="2">
        <f t="shared" si="42"/>
        <v>0.71884330286819753</v>
      </c>
      <c r="CR23" s="2">
        <f t="shared" si="43"/>
        <v>0.2586097775056439</v>
      </c>
      <c r="CS23" s="2">
        <f t="shared" si="44"/>
        <v>3.7000705671380194</v>
      </c>
      <c r="CT23" s="2">
        <f t="shared" si="45"/>
        <v>0.50877631423988523</v>
      </c>
      <c r="CU23" s="2" t="e">
        <f t="shared" si="46"/>
        <v>#DIV/0!</v>
      </c>
      <c r="CV23" s="2">
        <f t="shared" si="47"/>
        <v>4.5462862915974199E-2</v>
      </c>
      <c r="CW23" s="2">
        <f t="shared" si="48"/>
        <v>-0.80136154973835805</v>
      </c>
      <c r="CY23" s="2">
        <v>1364.8291847557166</v>
      </c>
      <c r="CZ23" s="60">
        <f t="shared" si="49"/>
        <v>1272.9634386050775</v>
      </c>
      <c r="DA23" s="2">
        <f t="shared" si="50"/>
        <v>1E-3</v>
      </c>
      <c r="DC23" s="2">
        <f t="shared" si="51"/>
        <v>1291.2415859176658</v>
      </c>
      <c r="DD23" s="2">
        <f t="shared" si="52"/>
        <v>0.11454048303084702</v>
      </c>
      <c r="DE23" s="87">
        <f t="shared" si="53"/>
        <v>0.11454048303084702</v>
      </c>
      <c r="DF23" s="2">
        <f t="shared" si="54"/>
        <v>6.5667488316748901E-2</v>
      </c>
      <c r="DG23" s="2">
        <f t="shared" si="55"/>
        <v>1</v>
      </c>
      <c r="DH23" s="2">
        <f t="shared" si="56"/>
        <v>1.663254648124987</v>
      </c>
      <c r="DJ23" s="2">
        <f t="shared" si="57"/>
        <v>19.327392968403057</v>
      </c>
      <c r="DK23" s="2">
        <f t="shared" si="58"/>
        <v>-0.46491850413241792</v>
      </c>
      <c r="DL23" s="2">
        <f t="shared" si="59"/>
        <v>32.14637619083458</v>
      </c>
      <c r="DM23">
        <f t="shared" si="60"/>
        <v>-1.034E-2</v>
      </c>
      <c r="DN23">
        <f t="shared" si="61"/>
        <v>16.731223685760114</v>
      </c>
      <c r="DO23">
        <f t="shared" si="62"/>
        <v>-5997.4487033081914</v>
      </c>
      <c r="DP23">
        <v>1364.8291847557166</v>
      </c>
      <c r="DQ23" s="2">
        <f t="shared" si="63"/>
        <v>1091.6791847557165</v>
      </c>
    </row>
    <row r="24" spans="1:121" ht="15.6" thickBot="1" x14ac:dyDescent="0.3">
      <c r="A24" s="2" t="s">
        <v>113</v>
      </c>
      <c r="B24" s="3">
        <v>130</v>
      </c>
      <c r="C24" s="25">
        <v>1E-4</v>
      </c>
      <c r="D24" s="69">
        <v>1109</v>
      </c>
      <c r="E24">
        <f t="shared" si="0"/>
        <v>1</v>
      </c>
      <c r="F24" s="3">
        <v>4727</v>
      </c>
      <c r="G24" s="94">
        <f t="shared" si="68"/>
        <v>62.71</v>
      </c>
      <c r="H24" s="96">
        <v>0.45</v>
      </c>
      <c r="I24" s="96">
        <v>18.559999999999999</v>
      </c>
      <c r="J24" s="96">
        <v>3.17</v>
      </c>
      <c r="K24" s="96">
        <v>0.27</v>
      </c>
      <c r="L24" s="96">
        <v>0.23</v>
      </c>
      <c r="M24" s="96">
        <v>1.64</v>
      </c>
      <c r="N24" s="96">
        <v>6.11</v>
      </c>
      <c r="O24" s="96">
        <f t="shared" si="69"/>
        <v>6.09</v>
      </c>
      <c r="P24" s="4">
        <v>0</v>
      </c>
      <c r="Q24" s="96">
        <v>0.02</v>
      </c>
      <c r="R24" s="97">
        <v>5</v>
      </c>
      <c r="S24" s="2">
        <f t="shared" si="1"/>
        <v>99.25</v>
      </c>
      <c r="U24" s="90">
        <v>66</v>
      </c>
      <c r="V24" s="90"/>
      <c r="W24" s="90">
        <v>18.899999999999999</v>
      </c>
      <c r="X24" s="90">
        <v>0.05</v>
      </c>
      <c r="Y24" s="90"/>
      <c r="Z24" s="90">
        <v>0</v>
      </c>
      <c r="AA24" s="90">
        <v>0.18</v>
      </c>
      <c r="AB24" s="90">
        <v>3.73</v>
      </c>
      <c r="AC24" s="90">
        <v>11.3</v>
      </c>
      <c r="AD24" s="25">
        <v>0</v>
      </c>
      <c r="AF24" s="55">
        <f t="shared" si="2"/>
        <v>1071.7477129837453</v>
      </c>
      <c r="AG24" s="55">
        <f t="shared" si="3"/>
        <v>924.05347854058971</v>
      </c>
      <c r="AH24" s="55">
        <f t="shared" si="4"/>
        <v>1104.933761034184</v>
      </c>
      <c r="AI24" s="55">
        <f t="shared" si="5"/>
        <v>10.832230272650598</v>
      </c>
      <c r="AJ24" s="55">
        <f t="shared" si="6"/>
        <v>26.753583713115511</v>
      </c>
      <c r="AK24" s="55">
        <f t="shared" si="64"/>
        <v>69.53321238615942</v>
      </c>
      <c r="AL24" s="55">
        <f t="shared" si="65"/>
        <v>883.22680269387286</v>
      </c>
      <c r="AM24" s="86">
        <f t="shared" si="7"/>
        <v>0.94651962888105967</v>
      </c>
      <c r="AN24" s="56">
        <f t="shared" si="8"/>
        <v>0.13229082863691216</v>
      </c>
      <c r="AO24" s="56">
        <f t="shared" si="9"/>
        <v>2.5827224880412545E-5</v>
      </c>
      <c r="AP24" s="56">
        <f t="shared" si="10"/>
        <v>1.0788362847428521</v>
      </c>
      <c r="AQ24" s="56">
        <f t="shared" si="11"/>
        <v>1.9401577858279144</v>
      </c>
      <c r="AR24" s="3">
        <f t="shared" si="12"/>
        <v>0.17978813836395738</v>
      </c>
      <c r="AS24" s="99">
        <f t="shared" si="66"/>
        <v>828.14786325769126</v>
      </c>
      <c r="AT24" s="99">
        <f t="shared" si="67"/>
        <v>883.33749269600537</v>
      </c>
      <c r="AU24" s="54">
        <f t="shared" si="13"/>
        <v>0.17978813836395735</v>
      </c>
      <c r="AV24" s="4">
        <f t="shared" si="14"/>
        <v>0.12917009301674418</v>
      </c>
      <c r="AW24" s="2">
        <f t="shared" si="15"/>
        <v>1.0437002677904212</v>
      </c>
      <c r="AX24" s="2">
        <f t="shared" si="16"/>
        <v>5.6335348052299235E-3</v>
      </c>
      <c r="AY24" s="2">
        <f t="shared" si="17"/>
        <v>0.36406076833299006</v>
      </c>
      <c r="AZ24" s="2">
        <f t="shared" si="18"/>
        <v>4.4121904507393547E-2</v>
      </c>
      <c r="BA24" s="2">
        <f t="shared" si="19"/>
        <v>3.8061674008810576E-3</v>
      </c>
      <c r="BB24" s="2">
        <f t="shared" si="20"/>
        <v>5.7065729796250539E-3</v>
      </c>
      <c r="BC24" s="2">
        <f t="shared" si="21"/>
        <v>2.924529311273347E-2</v>
      </c>
      <c r="BD24" s="2">
        <f t="shared" si="22"/>
        <v>0.1971638735117919</v>
      </c>
      <c r="BE24" s="2">
        <f t="shared" si="23"/>
        <v>0.12930485370928702</v>
      </c>
      <c r="BF24" s="2">
        <f t="shared" si="24"/>
        <v>2.8181517151975878E-4</v>
      </c>
      <c r="BG24" s="2">
        <f t="shared" ref="BG24:BG30" si="71">SUM(AW24:BF24)</f>
        <v>1.8230250513218729</v>
      </c>
      <c r="BH24" s="2">
        <f t="shared" ref="BH24:BL26" si="72">AW24/$BG24</f>
        <v>0.57251010732608176</v>
      </c>
      <c r="BI24" s="2">
        <f t="shared" si="72"/>
        <v>3.090212502096477E-3</v>
      </c>
      <c r="BJ24" s="2">
        <f t="shared" si="72"/>
        <v>0.19970146217629325</v>
      </c>
      <c r="BK24" s="2">
        <f t="shared" si="72"/>
        <v>2.4202577180933865E-2</v>
      </c>
      <c r="BL24" s="2">
        <f t="shared" si="72"/>
        <v>2.0878305529159957E-3</v>
      </c>
      <c r="BM24" s="2">
        <f t="shared" ref="BM24:BQ26" si="73">BB24/$BG24</f>
        <v>3.1302767756741607E-3</v>
      </c>
      <c r="BN24" s="2">
        <f t="shared" si="73"/>
        <v>1.6042178406450176E-2</v>
      </c>
      <c r="BO24" s="2">
        <f t="shared" si="73"/>
        <v>0.10815203738907958</v>
      </c>
      <c r="BP24" s="2">
        <f t="shared" si="73"/>
        <v>7.0928731130451686E-2</v>
      </c>
      <c r="BQ24" s="2">
        <f t="shared" si="73"/>
        <v>1.5458656002308635E-4</v>
      </c>
      <c r="BR24" s="2">
        <f t="shared" ref="BR24:BR30" si="74">SUM(BH24:BQ24)</f>
        <v>1</v>
      </c>
      <c r="BS24" s="2">
        <f t="shared" si="28"/>
        <v>1.0984566683809249</v>
      </c>
      <c r="BT24" s="2">
        <f t="shared" si="29"/>
        <v>0</v>
      </c>
      <c r="BU24" s="2">
        <f t="shared" si="30"/>
        <v>0.37072998499426246</v>
      </c>
      <c r="BV24" s="2">
        <f t="shared" si="31"/>
        <v>6.9592909317655444E-4</v>
      </c>
      <c r="BW24" s="2">
        <f t="shared" si="32"/>
        <v>0</v>
      </c>
      <c r="BX24" s="2">
        <f t="shared" si="33"/>
        <v>0</v>
      </c>
      <c r="BY24" s="2">
        <f t="shared" si="34"/>
        <v>3.2098492440805031E-3</v>
      </c>
      <c r="BZ24" s="2">
        <f t="shared" si="35"/>
        <v>0.12036354307675676</v>
      </c>
      <c r="CA24" s="2">
        <f t="shared" si="36"/>
        <v>0.23992526221920255</v>
      </c>
      <c r="CB24" s="2">
        <f t="shared" ref="CB24:CB30" si="75">SUM(BS24:CA24)</f>
        <v>1.8333812370084035</v>
      </c>
      <c r="CC24" s="2">
        <f t="shared" ref="CC24:CH26" si="76">BS24/$CB24</f>
        <v>0.5991425275919795</v>
      </c>
      <c r="CD24" s="2">
        <f t="shared" si="76"/>
        <v>0</v>
      </c>
      <c r="CE24" s="2">
        <f t="shared" si="76"/>
        <v>0.2022110718222449</v>
      </c>
      <c r="CF24" s="2">
        <f t="shared" si="76"/>
        <v>3.795877688331358E-4</v>
      </c>
      <c r="CG24" s="2">
        <f t="shared" si="76"/>
        <v>0</v>
      </c>
      <c r="CH24" s="2">
        <f t="shared" si="76"/>
        <v>0</v>
      </c>
      <c r="CI24" s="2">
        <f t="shared" ref="CI24:CK26" si="77">BY24/$CB24</f>
        <v>1.7507811137623148E-3</v>
      </c>
      <c r="CJ24" s="2">
        <f t="shared" si="77"/>
        <v>6.5651126261747086E-2</v>
      </c>
      <c r="CK24" s="2">
        <f t="shared" si="77"/>
        <v>0.1308649054414332</v>
      </c>
      <c r="CL24" s="2">
        <f t="shared" ref="CL24:CL30" si="78">SUM(CC24:CK24)</f>
        <v>1.0000000000000002</v>
      </c>
      <c r="CN24" s="2">
        <f t="shared" ref="CN24:CN30" si="79">CI24/(CI24+CJ24+CK24)</f>
        <v>8.8304295050064194E-3</v>
      </c>
      <c r="CO24" s="2">
        <f t="shared" ref="CO24:CO30" si="80">CJ24/(CI24+CJ24+CK24)</f>
        <v>0.33112514055674058</v>
      </c>
      <c r="CP24" s="2">
        <f t="shared" ref="CP24:CP30" si="81">1-CN24-CO24</f>
        <v>0.66004442993825296</v>
      </c>
      <c r="CR24" s="2">
        <f t="shared" ref="CR24:CR30" si="82">BJ24/(BJ24+BH24)</f>
        <v>0.2586097775056439</v>
      </c>
      <c r="CS24" s="2">
        <f t="shared" ref="CS24:CS30" si="83">LN(CN24/(BH24^2*BJ24^2*BN24))</f>
        <v>3.7402954623325302</v>
      </c>
      <c r="CT24" s="2">
        <f t="shared" ref="CT24:CT30" si="84">LN((CO24*BJ24*BN24)/(BO24*BH24*CN24))</f>
        <v>0.66276930266888257</v>
      </c>
      <c r="CU24" s="2" t="e">
        <f t="shared" ref="CU24:CU30" si="85">(CF24/CH24)/(BK24/BM24)</f>
        <v>#DIV/0!</v>
      </c>
      <c r="CV24" s="2">
        <f t="shared" ref="CV24:CV30" si="86">BM24+BK24+BN24+BL24</f>
        <v>4.5462862915974199E-2</v>
      </c>
      <c r="CW24" s="2">
        <f t="shared" ref="CW24:CW30" si="87">(7/2)*LN(1-BJ24)+7*LN(1-BI24)</f>
        <v>-0.80136154973835805</v>
      </c>
      <c r="CY24" s="2">
        <v>1374.0538700213933</v>
      </c>
      <c r="CZ24" s="60">
        <f t="shared" si="49"/>
        <v>1104.933761034184</v>
      </c>
      <c r="DA24" s="2">
        <f t="shared" si="50"/>
        <v>1E-3</v>
      </c>
      <c r="DC24" s="2">
        <f t="shared" si="51"/>
        <v>1106.7461919159425</v>
      </c>
      <c r="DD24" s="2">
        <f t="shared" si="52"/>
        <v>0.11454048303084702</v>
      </c>
      <c r="DE24" s="87">
        <f t="shared" si="53"/>
        <v>0.11454048303084702</v>
      </c>
      <c r="DF24" s="2">
        <f t="shared" si="54"/>
        <v>6.8362802091206515E-2</v>
      </c>
      <c r="DG24" s="2">
        <f t="shared" ref="DG24:DG30" si="88">E24</f>
        <v>1</v>
      </c>
      <c r="DH24" s="2">
        <f t="shared" si="56"/>
        <v>1.9401577858279144</v>
      </c>
      <c r="DJ24" s="2">
        <f t="shared" si="57"/>
        <v>19.327392968403057</v>
      </c>
      <c r="DK24" s="2">
        <f t="shared" si="58"/>
        <v>-0.46491850413241792</v>
      </c>
      <c r="DL24" s="2">
        <f t="shared" si="59"/>
        <v>37.498191947402887</v>
      </c>
      <c r="DM24">
        <f t="shared" si="60"/>
        <v>-1.034E-2</v>
      </c>
      <c r="DN24">
        <f t="shared" si="61"/>
        <v>16.577230697331114</v>
      </c>
      <c r="DO24">
        <f t="shared" si="62"/>
        <v>-5997.4487033081914</v>
      </c>
      <c r="DP24">
        <v>1374.0538700213933</v>
      </c>
      <c r="DQ24" s="2">
        <f t="shared" si="63"/>
        <v>1100.9038700213932</v>
      </c>
    </row>
    <row r="25" spans="1:121" ht="15.6" thickBot="1" x14ac:dyDescent="0.3">
      <c r="A25" s="2" t="s">
        <v>113</v>
      </c>
      <c r="B25" s="3">
        <v>129</v>
      </c>
      <c r="C25" s="25">
        <v>1E-4</v>
      </c>
      <c r="D25" s="69">
        <v>1116</v>
      </c>
      <c r="E25">
        <f t="shared" si="0"/>
        <v>1</v>
      </c>
      <c r="F25" s="3">
        <v>4726</v>
      </c>
      <c r="G25" s="94">
        <f t="shared" ref="G25:G30" si="89">61.71+2</f>
        <v>63.71</v>
      </c>
      <c r="H25" s="96">
        <v>0.45</v>
      </c>
      <c r="I25" s="96">
        <v>18.559999999999999</v>
      </c>
      <c r="J25" s="96">
        <v>3.17</v>
      </c>
      <c r="K25" s="96">
        <v>0.27</v>
      </c>
      <c r="L25" s="96">
        <v>0.23</v>
      </c>
      <c r="M25" s="96">
        <v>1.64</v>
      </c>
      <c r="N25" s="96">
        <f t="shared" ref="N25:N30" si="90">6.11-1</f>
        <v>5.1100000000000003</v>
      </c>
      <c r="O25" s="96">
        <f t="shared" si="69"/>
        <v>6.09</v>
      </c>
      <c r="P25" s="4">
        <v>0</v>
      </c>
      <c r="Q25" s="96">
        <v>0.02</v>
      </c>
      <c r="R25" s="97">
        <v>5</v>
      </c>
      <c r="S25" s="2">
        <f t="shared" si="1"/>
        <v>99.25</v>
      </c>
      <c r="U25" s="90">
        <v>66</v>
      </c>
      <c r="V25" s="90"/>
      <c r="W25" s="90">
        <v>19.2</v>
      </c>
      <c r="X25" s="90">
        <v>0</v>
      </c>
      <c r="Y25" s="90"/>
      <c r="Z25" s="90">
        <v>0</v>
      </c>
      <c r="AA25" s="90">
        <v>0.18</v>
      </c>
      <c r="AB25" s="90">
        <v>4.3099999999999996</v>
      </c>
      <c r="AC25" s="90">
        <v>10.4</v>
      </c>
      <c r="AD25" s="25">
        <v>0</v>
      </c>
      <c r="AF25" s="55">
        <f t="shared" si="2"/>
        <v>1065.4113654726684</v>
      </c>
      <c r="AG25" s="55">
        <f t="shared" si="3"/>
        <v>923.67395219817547</v>
      </c>
      <c r="AH25" s="55">
        <f t="shared" si="4"/>
        <v>1092.8359460232191</v>
      </c>
      <c r="AI25" s="55">
        <f t="shared" si="5"/>
        <v>10.984049478184065</v>
      </c>
      <c r="AJ25" s="55">
        <f t="shared" si="6"/>
        <v>25.981765389779206</v>
      </c>
      <c r="AK25" s="55">
        <f t="shared" si="64"/>
        <v>68.333071149590367</v>
      </c>
      <c r="AL25" s="55">
        <f t="shared" si="65"/>
        <v>879.44712266819931</v>
      </c>
      <c r="AM25" s="56">
        <f t="shared" si="7"/>
        <v>1.0280453553764537</v>
      </c>
      <c r="AN25" s="56">
        <f t="shared" si="8"/>
        <v>0.12363159453418281</v>
      </c>
      <c r="AO25" s="56">
        <f t="shared" si="9"/>
        <v>4.5098632586378558E-5</v>
      </c>
      <c r="AP25" s="56">
        <f t="shared" si="10"/>
        <v>1.1517220485432229</v>
      </c>
      <c r="AQ25" s="56">
        <f t="shared" si="11"/>
        <v>2.6384872208774404</v>
      </c>
      <c r="AR25" s="3">
        <f t="shared" si="12"/>
        <v>0.1301284590572124</v>
      </c>
      <c r="AS25" s="99">
        <f t="shared" si="66"/>
        <v>835.63050527804228</v>
      </c>
      <c r="AT25" s="99">
        <f t="shared" si="67"/>
        <v>863.5458113922881</v>
      </c>
      <c r="AU25" s="54">
        <f t="shared" si="13"/>
        <v>0.1301284590572124</v>
      </c>
      <c r="AV25" s="4">
        <f t="shared" si="14"/>
        <v>0.15064013084520111</v>
      </c>
      <c r="AW25" s="2">
        <f t="shared" si="15"/>
        <v>1.0603435506446777</v>
      </c>
      <c r="AX25" s="2">
        <f t="shared" si="16"/>
        <v>5.6335348052299235E-3</v>
      </c>
      <c r="AY25" s="2">
        <f t="shared" si="17"/>
        <v>0.36406076833299006</v>
      </c>
      <c r="AZ25" s="2">
        <f t="shared" si="18"/>
        <v>4.4121904507393547E-2</v>
      </c>
      <c r="BA25" s="2">
        <f t="shared" si="19"/>
        <v>3.8061674008810576E-3</v>
      </c>
      <c r="BB25" s="2">
        <f t="shared" si="20"/>
        <v>5.7065729796250539E-3</v>
      </c>
      <c r="BC25" s="2">
        <f t="shared" si="21"/>
        <v>2.924529311273347E-2</v>
      </c>
      <c r="BD25" s="2">
        <f t="shared" si="22"/>
        <v>0.16489482711051665</v>
      </c>
      <c r="BE25" s="2">
        <f t="shared" si="23"/>
        <v>0.12930485370928702</v>
      </c>
      <c r="BF25" s="2">
        <f t="shared" si="24"/>
        <v>2.8181517151975878E-4</v>
      </c>
      <c r="BG25" s="2">
        <f t="shared" si="71"/>
        <v>1.8073992877748544</v>
      </c>
      <c r="BH25" s="2">
        <f t="shared" si="72"/>
        <v>0.58666812464560592</v>
      </c>
      <c r="BI25" s="2">
        <f t="shared" si="72"/>
        <v>3.1169287513472155E-3</v>
      </c>
      <c r="BJ25" s="2">
        <f t="shared" si="72"/>
        <v>0.20142796934549898</v>
      </c>
      <c r="BK25" s="2">
        <f t="shared" si="72"/>
        <v>2.4411819129193858E-2</v>
      </c>
      <c r="BL25" s="2">
        <f t="shared" si="72"/>
        <v>2.1058807683646645E-3</v>
      </c>
      <c r="BM25" s="2">
        <f t="shared" si="73"/>
        <v>3.1573393982303678E-3</v>
      </c>
      <c r="BN25" s="2">
        <f t="shared" si="73"/>
        <v>1.6180870110189243E-2</v>
      </c>
      <c r="BO25" s="2">
        <f t="shared" si="73"/>
        <v>9.1233203546032052E-2</v>
      </c>
      <c r="BP25" s="2">
        <f t="shared" si="73"/>
        <v>7.1541941276561119E-2</v>
      </c>
      <c r="BQ25" s="2">
        <f t="shared" si="73"/>
        <v>1.5592302897646387E-4</v>
      </c>
      <c r="BR25" s="2">
        <f t="shared" si="74"/>
        <v>0.99999999999999989</v>
      </c>
      <c r="BS25" s="2">
        <f t="shared" si="28"/>
        <v>1.0984566683809249</v>
      </c>
      <c r="BT25" s="2">
        <f t="shared" si="29"/>
        <v>0</v>
      </c>
      <c r="BU25" s="2">
        <f t="shared" si="30"/>
        <v>0.37661458793067937</v>
      </c>
      <c r="BV25" s="2">
        <f t="shared" si="31"/>
        <v>0</v>
      </c>
      <c r="BW25" s="2">
        <f t="shared" si="32"/>
        <v>0</v>
      </c>
      <c r="BX25" s="2">
        <f t="shared" si="33"/>
        <v>0</v>
      </c>
      <c r="BY25" s="2">
        <f t="shared" si="34"/>
        <v>3.2098492440805031E-3</v>
      </c>
      <c r="BZ25" s="2">
        <f t="shared" si="35"/>
        <v>0.1390795899894964</v>
      </c>
      <c r="CA25" s="2">
        <f t="shared" si="36"/>
        <v>0.2208161705380271</v>
      </c>
      <c r="CB25" s="2">
        <f t="shared" si="75"/>
        <v>1.8381768660832081</v>
      </c>
      <c r="CC25" s="2">
        <f t="shared" si="76"/>
        <v>0.59757942157193999</v>
      </c>
      <c r="CD25" s="2">
        <f t="shared" si="76"/>
        <v>0</v>
      </c>
      <c r="CE25" s="2">
        <f t="shared" si="76"/>
        <v>0.20488484806860327</v>
      </c>
      <c r="CF25" s="2">
        <f t="shared" si="76"/>
        <v>0</v>
      </c>
      <c r="CG25" s="2">
        <f t="shared" si="76"/>
        <v>0</v>
      </c>
      <c r="CH25" s="2">
        <f t="shared" si="76"/>
        <v>0</v>
      </c>
      <c r="CI25" s="2">
        <f t="shared" si="77"/>
        <v>1.7462134919149852E-3</v>
      </c>
      <c r="CJ25" s="2">
        <f t="shared" si="77"/>
        <v>7.5661701850185697E-2</v>
      </c>
      <c r="CK25" s="2">
        <f t="shared" si="77"/>
        <v>0.12012781501735617</v>
      </c>
      <c r="CL25" s="2">
        <f t="shared" si="78"/>
        <v>1.0000000000000002</v>
      </c>
      <c r="CN25" s="2">
        <f t="shared" si="79"/>
        <v>8.839988030202894E-3</v>
      </c>
      <c r="CO25" s="2">
        <f t="shared" si="80"/>
        <v>0.38302792974467798</v>
      </c>
      <c r="CP25" s="2">
        <f t="shared" si="81"/>
        <v>0.60813208222511905</v>
      </c>
      <c r="CR25" s="2">
        <f t="shared" si="82"/>
        <v>0.25558808231800784</v>
      </c>
      <c r="CS25" s="2">
        <f t="shared" si="83"/>
        <v>3.6666946918467613</v>
      </c>
      <c r="CT25" s="2">
        <f t="shared" si="84"/>
        <v>0.97020573052323811</v>
      </c>
      <c r="CU25" s="2" t="e">
        <f t="shared" si="85"/>
        <v>#DIV/0!</v>
      </c>
      <c r="CV25" s="2">
        <f t="shared" si="86"/>
        <v>4.585590940597814E-2</v>
      </c>
      <c r="CW25" s="2">
        <f t="shared" si="87"/>
        <v>-0.80910795322375617</v>
      </c>
      <c r="CY25" s="2">
        <v>1381.7824596680525</v>
      </c>
      <c r="CZ25" s="60">
        <f t="shared" si="49"/>
        <v>1092.8359460232191</v>
      </c>
      <c r="DA25" s="2">
        <f t="shared" si="50"/>
        <v>1E-3</v>
      </c>
      <c r="DC25" s="2">
        <f t="shared" si="51"/>
        <v>1093.7078514533307</v>
      </c>
      <c r="DD25" s="2">
        <f t="shared" si="52"/>
        <v>0.11454048303084702</v>
      </c>
      <c r="DE25" s="87">
        <f t="shared" si="53"/>
        <v>0.11454048303084702</v>
      </c>
      <c r="DF25" s="2">
        <f t="shared" si="54"/>
        <v>5.8682822303752054E-2</v>
      </c>
      <c r="DG25" s="2">
        <f t="shared" si="88"/>
        <v>1</v>
      </c>
      <c r="DH25" s="2">
        <f t="shared" si="56"/>
        <v>2.6384872208774404</v>
      </c>
      <c r="DJ25" s="2">
        <f t="shared" si="57"/>
        <v>16.421913911637681</v>
      </c>
      <c r="DK25" s="2">
        <f t="shared" si="58"/>
        <v>-0.46029248873594975</v>
      </c>
      <c r="DL25" s="2">
        <f t="shared" si="59"/>
        <v>43.329009998205478</v>
      </c>
      <c r="DM25">
        <f t="shared" si="60"/>
        <v>-1.034E-2</v>
      </c>
      <c r="DN25">
        <f t="shared" si="61"/>
        <v>16.269794269476762</v>
      </c>
      <c r="DO25">
        <f t="shared" si="62"/>
        <v>-5937.7731046937515</v>
      </c>
      <c r="DP25">
        <v>1381.7824596680525</v>
      </c>
      <c r="DQ25" s="2">
        <f t="shared" si="63"/>
        <v>1108.6324596680524</v>
      </c>
    </row>
    <row r="26" spans="1:121" ht="15.6" thickBot="1" x14ac:dyDescent="0.3">
      <c r="A26" s="2" t="s">
        <v>113</v>
      </c>
      <c r="B26" s="3">
        <v>128</v>
      </c>
      <c r="C26" s="25">
        <v>1E-4</v>
      </c>
      <c r="D26" s="69">
        <v>1121</v>
      </c>
      <c r="E26">
        <f t="shared" si="0"/>
        <v>1</v>
      </c>
      <c r="F26" s="3">
        <v>4725</v>
      </c>
      <c r="G26" s="94">
        <f t="shared" si="89"/>
        <v>63.71</v>
      </c>
      <c r="H26" s="96">
        <v>0.45</v>
      </c>
      <c r="I26" s="96">
        <v>18.559999999999999</v>
      </c>
      <c r="J26" s="96">
        <v>3.17</v>
      </c>
      <c r="K26" s="96">
        <v>0.27</v>
      </c>
      <c r="L26" s="96">
        <v>0.23</v>
      </c>
      <c r="M26" s="96">
        <v>1.64</v>
      </c>
      <c r="N26" s="96">
        <f t="shared" si="90"/>
        <v>5.1100000000000003</v>
      </c>
      <c r="O26" s="96">
        <f t="shared" si="69"/>
        <v>6.09</v>
      </c>
      <c r="P26" s="4">
        <v>0</v>
      </c>
      <c r="Q26" s="96">
        <v>0.02</v>
      </c>
      <c r="R26" s="97">
        <v>5</v>
      </c>
      <c r="S26" s="2">
        <f t="shared" si="1"/>
        <v>99.25</v>
      </c>
      <c r="U26" s="90">
        <v>65.5</v>
      </c>
      <c r="V26" s="90"/>
      <c r="W26" s="90">
        <v>18.899999999999999</v>
      </c>
      <c r="X26" s="90">
        <v>0.11</v>
      </c>
      <c r="Y26" s="90"/>
      <c r="Z26" s="90">
        <v>0.04</v>
      </c>
      <c r="AA26" s="90">
        <v>0.17</v>
      </c>
      <c r="AB26" s="90">
        <v>2.58</v>
      </c>
      <c r="AC26" s="90">
        <v>12.5</v>
      </c>
      <c r="AD26" s="25">
        <v>0</v>
      </c>
      <c r="AF26" s="55">
        <f t="shared" si="2"/>
        <v>1086.6595365659637</v>
      </c>
      <c r="AG26" s="55">
        <f t="shared" si="3"/>
        <v>923.67395219817547</v>
      </c>
      <c r="AH26" s="55">
        <f t="shared" si="4"/>
        <v>1120.8329930182431</v>
      </c>
      <c r="AI26" s="55">
        <f t="shared" si="5"/>
        <v>11.04535014478893</v>
      </c>
      <c r="AJ26" s="55">
        <f t="shared" si="6"/>
        <v>26.086182555673393</v>
      </c>
      <c r="AK26" s="55">
        <f t="shared" si="64"/>
        <v>70.589392018235813</v>
      </c>
      <c r="AL26" s="55">
        <f t="shared" si="65"/>
        <v>879.44712266819931</v>
      </c>
      <c r="AM26" s="56">
        <f t="shared" si="7"/>
        <v>1.0314102100095255</v>
      </c>
      <c r="AN26" s="56">
        <f t="shared" si="8"/>
        <v>0.12298185355154513</v>
      </c>
      <c r="AO26" s="56">
        <f t="shared" si="9"/>
        <v>4.5682337623363946E-5</v>
      </c>
      <c r="AP26" s="56">
        <f t="shared" si="10"/>
        <v>1.1544377458986941</v>
      </c>
      <c r="AQ26" s="56">
        <f t="shared" si="11"/>
        <v>1.6723262800265906</v>
      </c>
      <c r="AR26" s="3">
        <f t="shared" si="12"/>
        <v>0.20530818680279833</v>
      </c>
      <c r="AS26" s="99">
        <f t="shared" si="66"/>
        <v>777.87099626462316</v>
      </c>
      <c r="AT26" s="99">
        <f t="shared" si="67"/>
        <v>863.5458113922881</v>
      </c>
      <c r="AU26" s="54">
        <f t="shared" si="13"/>
        <v>0.20530818680279836</v>
      </c>
      <c r="AV26" s="4">
        <f t="shared" si="14"/>
        <v>0.15064013084520111</v>
      </c>
      <c r="AW26" s="2">
        <f t="shared" si="15"/>
        <v>1.0603435506446777</v>
      </c>
      <c r="AX26" s="2">
        <f t="shared" si="16"/>
        <v>5.6335348052299235E-3</v>
      </c>
      <c r="AY26" s="2">
        <f t="shared" si="17"/>
        <v>0.36406076833299006</v>
      </c>
      <c r="AZ26" s="2">
        <f t="shared" si="18"/>
        <v>4.4121904507393547E-2</v>
      </c>
      <c r="BA26" s="2">
        <f t="shared" si="19"/>
        <v>3.8061674008810576E-3</v>
      </c>
      <c r="BB26" s="2">
        <f t="shared" si="20"/>
        <v>5.7065729796250539E-3</v>
      </c>
      <c r="BC26" s="2">
        <f t="shared" si="21"/>
        <v>2.924529311273347E-2</v>
      </c>
      <c r="BD26" s="2">
        <f t="shared" si="22"/>
        <v>0.16489482711051665</v>
      </c>
      <c r="BE26" s="2">
        <f t="shared" si="23"/>
        <v>0.12930485370928702</v>
      </c>
      <c r="BF26" s="2">
        <f t="shared" si="24"/>
        <v>2.8181517151975878E-4</v>
      </c>
      <c r="BG26" s="2">
        <f t="shared" si="71"/>
        <v>1.8073992877748544</v>
      </c>
      <c r="BH26" s="2">
        <f t="shared" si="72"/>
        <v>0.58666812464560592</v>
      </c>
      <c r="BI26" s="2">
        <f t="shared" si="72"/>
        <v>3.1169287513472155E-3</v>
      </c>
      <c r="BJ26" s="2">
        <f t="shared" si="72"/>
        <v>0.20142796934549898</v>
      </c>
      <c r="BK26" s="2">
        <f t="shared" si="72"/>
        <v>2.4411819129193858E-2</v>
      </c>
      <c r="BL26" s="2">
        <f t="shared" si="72"/>
        <v>2.1058807683646645E-3</v>
      </c>
      <c r="BM26" s="2">
        <f t="shared" si="73"/>
        <v>3.1573393982303678E-3</v>
      </c>
      <c r="BN26" s="2">
        <f t="shared" si="73"/>
        <v>1.6180870110189243E-2</v>
      </c>
      <c r="BO26" s="2">
        <f t="shared" si="73"/>
        <v>9.1233203546032052E-2</v>
      </c>
      <c r="BP26" s="2">
        <f t="shared" si="73"/>
        <v>7.1541941276561119E-2</v>
      </c>
      <c r="BQ26" s="2">
        <f t="shared" si="73"/>
        <v>1.5592302897646387E-4</v>
      </c>
      <c r="BR26" s="2">
        <f t="shared" si="74"/>
        <v>0.99999999999999989</v>
      </c>
      <c r="BS26" s="2">
        <f t="shared" si="28"/>
        <v>1.0901350269537966</v>
      </c>
      <c r="BT26" s="2">
        <f t="shared" si="29"/>
        <v>0</v>
      </c>
      <c r="BU26" s="2">
        <f t="shared" si="30"/>
        <v>0.37072998499426246</v>
      </c>
      <c r="BV26" s="2">
        <f t="shared" si="31"/>
        <v>1.5310440049884197E-3</v>
      </c>
      <c r="BW26" s="2">
        <f t="shared" si="32"/>
        <v>0</v>
      </c>
      <c r="BX26" s="2">
        <f t="shared" si="33"/>
        <v>9.9244747471740062E-4</v>
      </c>
      <c r="BY26" s="2">
        <f t="shared" si="34"/>
        <v>3.0315242860760312E-3</v>
      </c>
      <c r="BZ26" s="2">
        <f t="shared" si="35"/>
        <v>8.3254139715290207E-2</v>
      </c>
      <c r="CA26" s="2">
        <f t="shared" si="36"/>
        <v>0.26540405112743642</v>
      </c>
      <c r="CB26" s="2">
        <f t="shared" si="75"/>
        <v>1.8150782185565677</v>
      </c>
      <c r="CC26" s="2">
        <f t="shared" si="76"/>
        <v>0.60059947599433006</v>
      </c>
      <c r="CD26" s="2">
        <f t="shared" si="76"/>
        <v>0</v>
      </c>
      <c r="CE26" s="2">
        <f t="shared" si="76"/>
        <v>0.20425014261318375</v>
      </c>
      <c r="CF26" s="2">
        <f t="shared" si="76"/>
        <v>8.4351406420709251E-4</v>
      </c>
      <c r="CG26" s="2">
        <f t="shared" si="76"/>
        <v>0</v>
      </c>
      <c r="CH26" s="2">
        <f t="shared" si="76"/>
        <v>5.467794525718235E-4</v>
      </c>
      <c r="CI26" s="2">
        <f t="shared" si="77"/>
        <v>1.6701893367916873E-3</v>
      </c>
      <c r="CJ26" s="2">
        <f t="shared" si="77"/>
        <v>4.5868072716721629E-2</v>
      </c>
      <c r="CK26" s="2">
        <f t="shared" si="77"/>
        <v>0.1462218258221939</v>
      </c>
      <c r="CL26" s="2">
        <f t="shared" si="78"/>
        <v>1</v>
      </c>
      <c r="CN26" s="2">
        <f t="shared" si="79"/>
        <v>8.6198832540945007E-3</v>
      </c>
      <c r="CO26" s="2">
        <f t="shared" si="80"/>
        <v>0.23672611433859889</v>
      </c>
      <c r="CP26" s="2">
        <f t="shared" si="81"/>
        <v>0.75465400240730662</v>
      </c>
      <c r="CR26" s="2">
        <f t="shared" si="82"/>
        <v>0.25558808231800784</v>
      </c>
      <c r="CS26" s="2">
        <f t="shared" si="83"/>
        <v>3.6414807102229321</v>
      </c>
      <c r="CT26" s="2">
        <f t="shared" si="84"/>
        <v>0.51421563918105606</v>
      </c>
      <c r="CU26" s="2">
        <f t="shared" si="85"/>
        <v>0.19952681388012625</v>
      </c>
      <c r="CV26" s="2">
        <f t="shared" si="86"/>
        <v>4.585590940597814E-2</v>
      </c>
      <c r="CW26" s="2">
        <f t="shared" si="87"/>
        <v>-0.80910795322375617</v>
      </c>
      <c r="CY26" s="2">
        <v>1384.1962400792236</v>
      </c>
      <c r="CZ26" s="60">
        <f t="shared" si="49"/>
        <v>1120.8329930182431</v>
      </c>
      <c r="DA26" s="2">
        <f t="shared" si="50"/>
        <v>1E-3</v>
      </c>
      <c r="DC26" s="2">
        <f t="shared" si="51"/>
        <v>1124.1162920781378</v>
      </c>
      <c r="DD26" s="2">
        <f t="shared" si="52"/>
        <v>0.11454048303084702</v>
      </c>
      <c r="DE26" s="87">
        <f t="shared" si="53"/>
        <v>0.11454048303084702</v>
      </c>
      <c r="DF26" s="2">
        <f t="shared" si="54"/>
        <v>5.7221692557824159E-2</v>
      </c>
      <c r="DG26" s="2">
        <f t="shared" si="88"/>
        <v>1</v>
      </c>
      <c r="DH26" s="2">
        <f t="shared" si="56"/>
        <v>1.6723262800265906</v>
      </c>
      <c r="DJ26" s="2">
        <f t="shared" si="57"/>
        <v>16.421913911637681</v>
      </c>
      <c r="DK26" s="2">
        <f t="shared" si="58"/>
        <v>-0.46029248873594975</v>
      </c>
      <c r="DL26" s="2">
        <f t="shared" si="59"/>
        <v>27.462798202765963</v>
      </c>
      <c r="DM26">
        <f t="shared" si="60"/>
        <v>-1.034E-2</v>
      </c>
      <c r="DN26">
        <f t="shared" si="61"/>
        <v>16.725784360818942</v>
      </c>
      <c r="DO26">
        <f t="shared" si="62"/>
        <v>-5937.7731046937515</v>
      </c>
      <c r="DP26">
        <v>1384.1962400792236</v>
      </c>
      <c r="DQ26" s="2">
        <f t="shared" si="63"/>
        <v>1111.0462400792235</v>
      </c>
    </row>
    <row r="27" spans="1:121" ht="15.6" thickBot="1" x14ac:dyDescent="0.3">
      <c r="A27" s="2" t="s">
        <v>112</v>
      </c>
      <c r="B27" s="3" t="s">
        <v>99</v>
      </c>
      <c r="C27" s="70">
        <v>0.68</v>
      </c>
      <c r="D27" s="69">
        <v>1160</v>
      </c>
      <c r="E27">
        <f t="shared" si="0"/>
        <v>6800.0000000000009</v>
      </c>
      <c r="F27" s="3" t="s">
        <v>99</v>
      </c>
      <c r="G27" s="94">
        <f t="shared" si="89"/>
        <v>63.71</v>
      </c>
      <c r="H27" s="96">
        <v>0.45</v>
      </c>
      <c r="I27" s="96">
        <v>18.559999999999999</v>
      </c>
      <c r="J27" s="96">
        <v>3.17</v>
      </c>
      <c r="K27" s="96">
        <v>0.27</v>
      </c>
      <c r="L27" s="96">
        <v>0.23</v>
      </c>
      <c r="M27" s="96">
        <v>1.64</v>
      </c>
      <c r="N27" s="96">
        <f t="shared" si="90"/>
        <v>5.1100000000000003</v>
      </c>
      <c r="O27" s="96">
        <f t="shared" si="69"/>
        <v>6.09</v>
      </c>
      <c r="P27" s="4">
        <v>0</v>
      </c>
      <c r="Q27" s="96">
        <v>0.02</v>
      </c>
      <c r="R27" s="97">
        <v>2</v>
      </c>
      <c r="S27" s="2">
        <f t="shared" si="1"/>
        <v>99.25</v>
      </c>
      <c r="U27" s="90">
        <v>65.3</v>
      </c>
      <c r="V27" s="90"/>
      <c r="W27" s="90">
        <v>18.899999999999999</v>
      </c>
      <c r="X27" s="90">
        <v>0</v>
      </c>
      <c r="Y27" s="90"/>
      <c r="Z27" s="90">
        <v>0</v>
      </c>
      <c r="AA27" s="90">
        <v>0.2</v>
      </c>
      <c r="AB27" s="90">
        <v>3.54</v>
      </c>
      <c r="AC27" s="90">
        <v>10.9</v>
      </c>
      <c r="AD27" s="25"/>
      <c r="AF27" s="55">
        <f t="shared" si="2"/>
        <v>1232.5509698791625</v>
      </c>
      <c r="AG27" s="55">
        <f t="shared" si="3"/>
        <v>1043.9744033184279</v>
      </c>
      <c r="AH27" s="55">
        <f t="shared" si="4"/>
        <v>1256.7565724955384</v>
      </c>
      <c r="AI27" s="55">
        <f t="shared" si="5"/>
        <v>10.173068583433103</v>
      </c>
      <c r="AJ27" s="55">
        <f t="shared" si="6"/>
        <v>20.92257187523639</v>
      </c>
      <c r="AK27" s="55">
        <f t="shared" si="64"/>
        <v>71.426394935380372</v>
      </c>
      <c r="AL27" s="55">
        <f t="shared" si="65"/>
        <v>984.85057621465751</v>
      </c>
      <c r="AM27" s="56">
        <f t="shared" si="7"/>
        <v>0.75172959525088578</v>
      </c>
      <c r="AN27" s="56">
        <f t="shared" si="8"/>
        <v>0.21305078973284811</v>
      </c>
      <c r="AO27" s="56">
        <f t="shared" si="9"/>
        <v>6.9060003935178266E-5</v>
      </c>
      <c r="AP27" s="56">
        <f t="shared" si="10"/>
        <v>0.964849444987669</v>
      </c>
      <c r="AQ27" s="56">
        <f t="shared" si="11"/>
        <v>1.9503991382170582</v>
      </c>
      <c r="AR27" s="3">
        <f t="shared" si="12"/>
        <v>0.17603692986082409</v>
      </c>
      <c r="AS27" s="99">
        <f t="shared" si="66"/>
        <v>816.62552256353581</v>
      </c>
      <c r="AT27" s="99">
        <f t="shared" si="67"/>
        <v>885.82027502761582</v>
      </c>
      <c r="AU27" s="54">
        <f t="shared" si="13"/>
        <v>0.17603692986082412</v>
      </c>
      <c r="AV27" s="4">
        <f t="shared" si="14"/>
        <v>0.15064013084520111</v>
      </c>
      <c r="AW27" s="2">
        <f t="shared" si="15"/>
        <v>1.0603435506446777</v>
      </c>
      <c r="AX27" s="2">
        <f t="shared" si="16"/>
        <v>5.6335348052299235E-3</v>
      </c>
      <c r="AY27" s="2">
        <f t="shared" si="17"/>
        <v>0.36406076833299006</v>
      </c>
      <c r="AZ27" s="2">
        <f t="shared" si="18"/>
        <v>4.4121904507393547E-2</v>
      </c>
      <c r="BA27" s="2">
        <f t="shared" si="19"/>
        <v>3.8061674008810576E-3</v>
      </c>
      <c r="BB27" s="2">
        <f t="shared" si="20"/>
        <v>5.7065729796250539E-3</v>
      </c>
      <c r="BC27" s="2">
        <f t="shared" si="21"/>
        <v>2.924529311273347E-2</v>
      </c>
      <c r="BD27" s="2">
        <f t="shared" si="22"/>
        <v>0.16489482711051665</v>
      </c>
      <c r="BE27" s="2">
        <f t="shared" si="23"/>
        <v>0.12930485370928702</v>
      </c>
      <c r="BF27" s="2">
        <f t="shared" si="24"/>
        <v>2.8181517151975878E-4</v>
      </c>
      <c r="BG27" s="2">
        <f t="shared" si="71"/>
        <v>1.8073992877748544</v>
      </c>
      <c r="BH27" s="2">
        <f t="shared" ref="BH27:BL30" si="91">AW27/$BG27</f>
        <v>0.58666812464560592</v>
      </c>
      <c r="BI27" s="2">
        <f t="shared" si="91"/>
        <v>3.1169287513472155E-3</v>
      </c>
      <c r="BJ27" s="2">
        <f t="shared" si="91"/>
        <v>0.20142796934549898</v>
      </c>
      <c r="BK27" s="2">
        <f t="shared" si="91"/>
        <v>2.4411819129193858E-2</v>
      </c>
      <c r="BL27" s="2">
        <f t="shared" si="91"/>
        <v>2.1058807683646645E-3</v>
      </c>
      <c r="BM27" s="2">
        <f t="shared" ref="BM27:BQ30" si="92">BB27/$BG27</f>
        <v>3.1573393982303678E-3</v>
      </c>
      <c r="BN27" s="2">
        <f t="shared" si="92"/>
        <v>1.6180870110189243E-2</v>
      </c>
      <c r="BO27" s="2">
        <f t="shared" si="92"/>
        <v>9.1233203546032052E-2</v>
      </c>
      <c r="BP27" s="2">
        <f t="shared" si="92"/>
        <v>7.1541941276561119E-2</v>
      </c>
      <c r="BQ27" s="2">
        <f t="shared" si="92"/>
        <v>1.5592302897646387E-4</v>
      </c>
      <c r="BR27" s="2">
        <f t="shared" si="74"/>
        <v>0.99999999999999989</v>
      </c>
      <c r="BS27" s="2">
        <f t="shared" si="28"/>
        <v>1.0868063703829454</v>
      </c>
      <c r="BT27" s="2">
        <f t="shared" si="29"/>
        <v>0</v>
      </c>
      <c r="BU27" s="2">
        <f t="shared" si="30"/>
        <v>0.37072998499426246</v>
      </c>
      <c r="BV27" s="2">
        <f t="shared" si="31"/>
        <v>0</v>
      </c>
      <c r="BW27" s="2">
        <f t="shared" si="32"/>
        <v>0</v>
      </c>
      <c r="BX27" s="2">
        <f t="shared" si="33"/>
        <v>0</v>
      </c>
      <c r="BY27" s="2">
        <f t="shared" si="34"/>
        <v>3.5664991600894481E-3</v>
      </c>
      <c r="BZ27" s="2">
        <f t="shared" si="35"/>
        <v>0.11423242426051446</v>
      </c>
      <c r="CA27" s="2">
        <f t="shared" si="36"/>
        <v>0.23143233258312457</v>
      </c>
      <c r="CB27" s="2">
        <f t="shared" si="75"/>
        <v>1.8067676113809363</v>
      </c>
      <c r="CC27" s="2">
        <f t="shared" ref="CC27:CH29" si="93">BS27/$CB27</f>
        <v>0.60151973255281288</v>
      </c>
      <c r="CD27" s="2">
        <f t="shared" si="93"/>
        <v>0</v>
      </c>
      <c r="CE27" s="2">
        <f t="shared" si="93"/>
        <v>0.20518963405089416</v>
      </c>
      <c r="CF27" s="2">
        <f t="shared" si="93"/>
        <v>0</v>
      </c>
      <c r="CG27" s="2">
        <f t="shared" si="93"/>
        <v>0</v>
      </c>
      <c r="CH27" s="2">
        <f t="shared" si="93"/>
        <v>0</v>
      </c>
      <c r="CI27" s="2">
        <f t="shared" ref="CI27:CK30" si="94">BY27/$CB27</f>
        <v>1.9739667335322256E-3</v>
      </c>
      <c r="CJ27" s="2">
        <f t="shared" si="94"/>
        <v>6.3224746525761058E-2</v>
      </c>
      <c r="CK27" s="2">
        <f t="shared" si="94"/>
        <v>0.12809192013699969</v>
      </c>
      <c r="CL27" s="2">
        <f t="shared" si="78"/>
        <v>1</v>
      </c>
      <c r="CN27" s="2">
        <f t="shared" si="79"/>
        <v>1.0212428294365987E-2</v>
      </c>
      <c r="CO27" s="2">
        <f t="shared" si="80"/>
        <v>0.32709679416350657</v>
      </c>
      <c r="CP27" s="2">
        <f t="shared" si="81"/>
        <v>0.66269077754212746</v>
      </c>
      <c r="CR27" s="2">
        <f t="shared" si="82"/>
        <v>0.25558808231800784</v>
      </c>
      <c r="CS27" s="2">
        <f t="shared" si="83"/>
        <v>3.8110146080495322</v>
      </c>
      <c r="CT27" s="2">
        <f t="shared" si="84"/>
        <v>0.66803403789543803</v>
      </c>
      <c r="CU27" s="2" t="e">
        <f t="shared" si="85"/>
        <v>#DIV/0!</v>
      </c>
      <c r="CV27" s="2">
        <f t="shared" si="86"/>
        <v>4.585590940597814E-2</v>
      </c>
      <c r="CW27" s="2">
        <f t="shared" si="87"/>
        <v>-0.80910795322375617</v>
      </c>
      <c r="CY27" s="2">
        <v>1466.5227836525978</v>
      </c>
      <c r="CZ27" s="60">
        <f t="shared" si="49"/>
        <v>1256.7565724955384</v>
      </c>
      <c r="DA27" s="2">
        <f t="shared" si="50"/>
        <v>6.8000000000000007</v>
      </c>
      <c r="DC27" s="2">
        <f t="shared" si="51"/>
        <v>1270.7683017041466</v>
      </c>
      <c r="DD27" s="2">
        <f t="shared" si="52"/>
        <v>0.11454048303084702</v>
      </c>
      <c r="DE27" s="87">
        <f t="shared" si="53"/>
        <v>0.11454048303084702</v>
      </c>
      <c r="DF27" s="2">
        <f>CN27/(BN27/(BN27+BO27))</f>
        <v>6.7793543706227616E-2</v>
      </c>
      <c r="DG27" s="2">
        <f t="shared" si="88"/>
        <v>6800.0000000000009</v>
      </c>
      <c r="DH27" s="2">
        <f>CO27*BJ27*BN27/(BO27*BH27*CN27)</f>
        <v>1.9503991382170582</v>
      </c>
      <c r="DJ27" s="2">
        <f t="shared" si="57"/>
        <v>16.421913911637681</v>
      </c>
      <c r="DK27" s="2">
        <f t="shared" si="58"/>
        <v>-0.46029248873594975</v>
      </c>
      <c r="DL27" s="2">
        <f t="shared" si="59"/>
        <v>32.029286741132857</v>
      </c>
      <c r="DM27">
        <f t="shared" si="60"/>
        <v>-1.034E-2</v>
      </c>
      <c r="DN27">
        <f t="shared" si="61"/>
        <v>16.57196596210456</v>
      </c>
      <c r="DO27">
        <f t="shared" si="62"/>
        <v>-5937.7731046937515</v>
      </c>
      <c r="DP27">
        <v>1466.5227836525978</v>
      </c>
      <c r="DQ27" s="2">
        <f t="shared" si="63"/>
        <v>1193.3727836525977</v>
      </c>
    </row>
    <row r="28" spans="1:121" ht="15.6" thickBot="1" x14ac:dyDescent="0.3">
      <c r="A28" s="2" t="s">
        <v>112</v>
      </c>
      <c r="B28" s="3" t="s">
        <v>100</v>
      </c>
      <c r="C28" s="70">
        <v>0.68</v>
      </c>
      <c r="D28" s="69">
        <v>1140</v>
      </c>
      <c r="E28">
        <f t="shared" si="0"/>
        <v>6800.0000000000009</v>
      </c>
      <c r="F28" s="3" t="s">
        <v>100</v>
      </c>
      <c r="G28" s="94">
        <f t="shared" si="89"/>
        <v>63.71</v>
      </c>
      <c r="H28" s="96">
        <v>0.45</v>
      </c>
      <c r="I28" s="96">
        <v>18.559999999999999</v>
      </c>
      <c r="J28" s="96">
        <v>3.17</v>
      </c>
      <c r="K28" s="96">
        <v>0.27</v>
      </c>
      <c r="L28" s="96">
        <v>0.23</v>
      </c>
      <c r="M28" s="96">
        <v>1.64</v>
      </c>
      <c r="N28" s="96">
        <f t="shared" si="90"/>
        <v>5.1100000000000003</v>
      </c>
      <c r="O28" s="96">
        <f t="shared" si="69"/>
        <v>6.09</v>
      </c>
      <c r="P28" s="4">
        <v>0</v>
      </c>
      <c r="Q28" s="96">
        <v>0.02</v>
      </c>
      <c r="R28" s="97">
        <v>2</v>
      </c>
      <c r="S28" s="2">
        <f t="shared" si="1"/>
        <v>99.25</v>
      </c>
      <c r="U28" s="90">
        <v>66.400000000000006</v>
      </c>
      <c r="V28" s="90"/>
      <c r="W28" s="90">
        <v>18.8</v>
      </c>
      <c r="X28" s="90">
        <v>0.12</v>
      </c>
      <c r="Y28" s="90"/>
      <c r="Z28" s="90">
        <v>0</v>
      </c>
      <c r="AA28" s="90">
        <v>0.25</v>
      </c>
      <c r="AB28" s="90">
        <v>3.57</v>
      </c>
      <c r="AC28" s="90">
        <v>11.3</v>
      </c>
      <c r="AD28" s="25"/>
      <c r="AF28" s="55">
        <f t="shared" si="2"/>
        <v>1222.5192337740023</v>
      </c>
      <c r="AG28" s="55">
        <f t="shared" si="3"/>
        <v>1043.9744033184279</v>
      </c>
      <c r="AH28" s="55">
        <f t="shared" si="4"/>
        <v>1244.2255793506852</v>
      </c>
      <c r="AI28" s="55">
        <f t="shared" si="5"/>
        <v>9.8610294882486809</v>
      </c>
      <c r="AJ28" s="55">
        <f t="shared" si="6"/>
        <v>20.094370953202187</v>
      </c>
      <c r="AK28" s="55">
        <f t="shared" si="64"/>
        <v>66.354590178850145</v>
      </c>
      <c r="AL28" s="55">
        <f t="shared" si="65"/>
        <v>984.85057621465751</v>
      </c>
      <c r="AM28" s="56">
        <f t="shared" si="7"/>
        <v>0.71839113296368973</v>
      </c>
      <c r="AN28" s="56">
        <f t="shared" si="8"/>
        <v>0.22902149779846881</v>
      </c>
      <c r="AO28" s="56">
        <f t="shared" si="9"/>
        <v>5.8730329987200598E-5</v>
      </c>
      <c r="AP28" s="56">
        <f t="shared" si="10"/>
        <v>0.94747136109214569</v>
      </c>
      <c r="AQ28" s="56">
        <f t="shared" si="11"/>
        <v>1.5735423555785086</v>
      </c>
      <c r="AR28" s="3">
        <f t="shared" si="12"/>
        <v>0.2181970349115257</v>
      </c>
      <c r="AS28" s="99">
        <f t="shared" si="66"/>
        <v>814.09024311199767</v>
      </c>
      <c r="AT28" s="99">
        <f t="shared" si="67"/>
        <v>885.82027502761582</v>
      </c>
      <c r="AU28" s="54">
        <f t="shared" si="13"/>
        <v>0.2181970349115257</v>
      </c>
      <c r="AV28" s="4">
        <f t="shared" si="14"/>
        <v>0.15064013084520111</v>
      </c>
      <c r="AW28" s="2">
        <f t="shared" si="15"/>
        <v>1.0603435506446777</v>
      </c>
      <c r="AX28" s="2">
        <f t="shared" si="16"/>
        <v>5.6335348052299235E-3</v>
      </c>
      <c r="AY28" s="2">
        <f t="shared" si="17"/>
        <v>0.36406076833299006</v>
      </c>
      <c r="AZ28" s="2">
        <f t="shared" si="18"/>
        <v>4.4121904507393547E-2</v>
      </c>
      <c r="BA28" s="2">
        <f t="shared" si="19"/>
        <v>3.8061674008810576E-3</v>
      </c>
      <c r="BB28" s="2">
        <f t="shared" si="20"/>
        <v>5.7065729796250539E-3</v>
      </c>
      <c r="BC28" s="2">
        <f t="shared" si="21"/>
        <v>2.924529311273347E-2</v>
      </c>
      <c r="BD28" s="2">
        <f t="shared" si="22"/>
        <v>0.16489482711051665</v>
      </c>
      <c r="BE28" s="2">
        <f t="shared" si="23"/>
        <v>0.12930485370928702</v>
      </c>
      <c r="BF28" s="2">
        <f t="shared" si="24"/>
        <v>2.8181517151975878E-4</v>
      </c>
      <c r="BG28" s="2">
        <f t="shared" si="71"/>
        <v>1.8073992877748544</v>
      </c>
      <c r="BH28" s="2">
        <f t="shared" si="91"/>
        <v>0.58666812464560592</v>
      </c>
      <c r="BI28" s="2">
        <f t="shared" si="91"/>
        <v>3.1169287513472155E-3</v>
      </c>
      <c r="BJ28" s="2">
        <f t="shared" si="91"/>
        <v>0.20142796934549898</v>
      </c>
      <c r="BK28" s="2">
        <f t="shared" si="91"/>
        <v>2.4411819129193858E-2</v>
      </c>
      <c r="BL28" s="2">
        <f t="shared" si="91"/>
        <v>2.1058807683646645E-3</v>
      </c>
      <c r="BM28" s="2">
        <f t="shared" si="92"/>
        <v>3.1573393982303678E-3</v>
      </c>
      <c r="BN28" s="2">
        <f t="shared" si="92"/>
        <v>1.6180870110189243E-2</v>
      </c>
      <c r="BO28" s="2">
        <f t="shared" si="92"/>
        <v>9.1233203546032052E-2</v>
      </c>
      <c r="BP28" s="2">
        <f t="shared" si="92"/>
        <v>7.1541941276561119E-2</v>
      </c>
      <c r="BQ28" s="2">
        <f t="shared" si="92"/>
        <v>1.5592302897646387E-4</v>
      </c>
      <c r="BR28" s="2">
        <f t="shared" si="74"/>
        <v>0.99999999999999989</v>
      </c>
      <c r="BS28" s="2">
        <f t="shared" si="28"/>
        <v>1.1051139815226274</v>
      </c>
      <c r="BT28" s="2">
        <f t="shared" si="29"/>
        <v>0</v>
      </c>
      <c r="BU28" s="2">
        <f t="shared" si="30"/>
        <v>0.36876845068212355</v>
      </c>
      <c r="BV28" s="2">
        <f t="shared" si="31"/>
        <v>1.6702298236237305E-3</v>
      </c>
      <c r="BW28" s="2">
        <f t="shared" si="32"/>
        <v>0</v>
      </c>
      <c r="BX28" s="2">
        <f t="shared" si="33"/>
        <v>0</v>
      </c>
      <c r="BY28" s="2">
        <f t="shared" si="34"/>
        <v>4.45812395011181E-3</v>
      </c>
      <c r="BZ28" s="2">
        <f t="shared" si="35"/>
        <v>0.11520049565255271</v>
      </c>
      <c r="CA28" s="2">
        <f t="shared" si="36"/>
        <v>0.23992526221920255</v>
      </c>
      <c r="CB28" s="2">
        <f t="shared" si="75"/>
        <v>1.8351365438502418</v>
      </c>
      <c r="CC28" s="2">
        <f t="shared" si="93"/>
        <v>0.60219714180178807</v>
      </c>
      <c r="CD28" s="2">
        <f t="shared" si="93"/>
        <v>0</v>
      </c>
      <c r="CE28" s="2">
        <f t="shared" si="93"/>
        <v>0.20094878057870405</v>
      </c>
      <c r="CF28" s="2">
        <f t="shared" si="93"/>
        <v>9.1013926414405886E-4</v>
      </c>
      <c r="CG28" s="2">
        <f t="shared" si="93"/>
        <v>0</v>
      </c>
      <c r="CH28" s="2">
        <f t="shared" si="93"/>
        <v>0</v>
      </c>
      <c r="CI28" s="2">
        <f t="shared" si="94"/>
        <v>2.4293145733768461E-3</v>
      </c>
      <c r="CJ28" s="2">
        <f t="shared" si="94"/>
        <v>6.2774890532589028E-2</v>
      </c>
      <c r="CK28" s="2">
        <f t="shared" si="94"/>
        <v>0.13073973324939786</v>
      </c>
      <c r="CL28" s="2">
        <f t="shared" si="78"/>
        <v>0.99999999999999978</v>
      </c>
      <c r="CN28" s="2">
        <f t="shared" si="79"/>
        <v>1.2398008296490621E-2</v>
      </c>
      <c r="CO28" s="2">
        <f t="shared" si="80"/>
        <v>0.32037168926726661</v>
      </c>
      <c r="CP28" s="2">
        <f t="shared" si="81"/>
        <v>0.66723030243624271</v>
      </c>
      <c r="CR28" s="2">
        <f t="shared" si="82"/>
        <v>0.25558808231800784</v>
      </c>
      <c r="CS28" s="2">
        <f t="shared" si="83"/>
        <v>4.0049450077068327</v>
      </c>
      <c r="CT28" s="2">
        <f t="shared" si="84"/>
        <v>0.45332935522709317</v>
      </c>
      <c r="CU28" s="2" t="e">
        <f t="shared" si="85"/>
        <v>#DIV/0!</v>
      </c>
      <c r="CV28" s="2">
        <f t="shared" si="86"/>
        <v>4.585590940597814E-2</v>
      </c>
      <c r="CW28" s="2">
        <f t="shared" si="87"/>
        <v>-0.80910795322375617</v>
      </c>
      <c r="CY28" s="2">
        <v>1433.1063398597503</v>
      </c>
      <c r="CZ28" s="60">
        <f t="shared" si="49"/>
        <v>1244.2255793506852</v>
      </c>
      <c r="DA28" s="2">
        <f t="shared" si="50"/>
        <v>6.8000000000000007</v>
      </c>
      <c r="DC28" s="2">
        <f t="shared" si="51"/>
        <v>1256.9019323095524</v>
      </c>
      <c r="DD28" s="2">
        <f t="shared" si="52"/>
        <v>0.11454048303084702</v>
      </c>
      <c r="DE28" s="87">
        <f t="shared" si="53"/>
        <v>0.11454048303084702</v>
      </c>
      <c r="DF28" s="2">
        <f>CN28/(BN28/(BN28+BO28))</f>
        <v>8.2302160964204854E-2</v>
      </c>
      <c r="DG28" s="2">
        <f t="shared" si="88"/>
        <v>6800.0000000000009</v>
      </c>
      <c r="DH28" s="2">
        <f>CO28*BJ28*BN28/(BO28*BH28*CN28)</f>
        <v>1.5735423555785084</v>
      </c>
      <c r="DJ28" s="2">
        <f t="shared" si="57"/>
        <v>16.421913911637681</v>
      </c>
      <c r="DK28" s="2">
        <f t="shared" si="58"/>
        <v>-0.46029248873594975</v>
      </c>
      <c r="DL28" s="2">
        <f t="shared" si="59"/>
        <v>25.840577099625833</v>
      </c>
      <c r="DM28">
        <f t="shared" si="60"/>
        <v>-1.034E-2</v>
      </c>
      <c r="DN28">
        <f t="shared" si="61"/>
        <v>16.786670644772904</v>
      </c>
      <c r="DO28">
        <f t="shared" si="62"/>
        <v>-5937.7731046937515</v>
      </c>
      <c r="DP28">
        <v>1433.1063398597503</v>
      </c>
      <c r="DQ28" s="2">
        <f t="shared" si="63"/>
        <v>1159.9563398597502</v>
      </c>
    </row>
    <row r="29" spans="1:121" ht="15.6" thickBot="1" x14ac:dyDescent="0.3">
      <c r="A29" s="2" t="s">
        <v>112</v>
      </c>
      <c r="B29" s="3" t="s">
        <v>101</v>
      </c>
      <c r="C29" s="70">
        <v>0.43</v>
      </c>
      <c r="D29" s="69">
        <v>1200</v>
      </c>
      <c r="E29">
        <f t="shared" si="0"/>
        <v>4300</v>
      </c>
      <c r="F29" s="3" t="s">
        <v>101</v>
      </c>
      <c r="G29" s="94">
        <f t="shared" si="89"/>
        <v>63.71</v>
      </c>
      <c r="H29" s="96">
        <v>0.45</v>
      </c>
      <c r="I29" s="96">
        <v>18.559999999999999</v>
      </c>
      <c r="J29" s="96">
        <v>3.17</v>
      </c>
      <c r="K29" s="96">
        <v>0.27</v>
      </c>
      <c r="L29" s="96">
        <v>0.23</v>
      </c>
      <c r="M29" s="96">
        <v>1.64</v>
      </c>
      <c r="N29" s="96">
        <f t="shared" si="90"/>
        <v>5.1100000000000003</v>
      </c>
      <c r="O29" s="96">
        <f t="shared" si="69"/>
        <v>6.09</v>
      </c>
      <c r="P29" s="4">
        <v>0</v>
      </c>
      <c r="Q29" s="96">
        <v>0.02</v>
      </c>
      <c r="R29" s="97">
        <v>2</v>
      </c>
      <c r="S29" s="2">
        <f t="shared" si="1"/>
        <v>99.25</v>
      </c>
      <c r="U29" s="90">
        <v>66</v>
      </c>
      <c r="V29" s="90"/>
      <c r="W29" s="90">
        <v>18.7</v>
      </c>
      <c r="X29" s="90">
        <v>0</v>
      </c>
      <c r="Y29" s="90"/>
      <c r="Z29" s="90">
        <v>0</v>
      </c>
      <c r="AA29" s="90">
        <v>0.14000000000000001</v>
      </c>
      <c r="AB29" s="90">
        <v>2.48</v>
      </c>
      <c r="AC29" s="90">
        <v>12.7</v>
      </c>
      <c r="AD29" s="25"/>
      <c r="AF29" s="55">
        <f t="shared" si="2"/>
        <v>1255.3958338925618</v>
      </c>
      <c r="AG29" s="55">
        <f t="shared" si="3"/>
        <v>1036.4237779729765</v>
      </c>
      <c r="AH29" s="55">
        <f t="shared" si="4"/>
        <v>1284.3051720815129</v>
      </c>
      <c r="AI29" s="55">
        <f t="shared" si="5"/>
        <v>10.825514975866378</v>
      </c>
      <c r="AJ29" s="55">
        <f t="shared" si="6"/>
        <v>23.152324827495427</v>
      </c>
      <c r="AK29" s="55">
        <f t="shared" si="64"/>
        <v>81.022909577864482</v>
      </c>
      <c r="AL29" s="55">
        <f t="shared" si="65"/>
        <v>972.50624793730833</v>
      </c>
      <c r="AM29" s="56">
        <f t="shared" si="7"/>
        <v>0.84701798419695418</v>
      </c>
      <c r="AN29" s="56">
        <f t="shared" si="8"/>
        <v>0.17828119464745093</v>
      </c>
      <c r="AO29" s="56">
        <f t="shared" si="9"/>
        <v>8.4080133212780631E-5</v>
      </c>
      <c r="AP29" s="56">
        <f t="shared" si="10"/>
        <v>1.0253832589776177</v>
      </c>
      <c r="AQ29" s="56">
        <f t="shared" si="11"/>
        <v>1.9519733102414469</v>
      </c>
      <c r="AR29" s="3">
        <f t="shared" si="12"/>
        <v>0.1758949645948073</v>
      </c>
      <c r="AS29" s="99">
        <f t="shared" si="66"/>
        <v>773.60437666121732</v>
      </c>
      <c r="AT29" s="99">
        <f t="shared" si="67"/>
        <v>885.61882823348321</v>
      </c>
      <c r="AU29" s="54">
        <f t="shared" si="13"/>
        <v>0.1758949645948073</v>
      </c>
      <c r="AV29" s="4">
        <f t="shared" si="14"/>
        <v>0.15064013084520111</v>
      </c>
      <c r="AW29" s="2">
        <f t="shared" si="15"/>
        <v>1.0603435506446777</v>
      </c>
      <c r="AX29" s="2">
        <f t="shared" si="16"/>
        <v>5.6335348052299235E-3</v>
      </c>
      <c r="AY29" s="2">
        <f t="shared" si="17"/>
        <v>0.36406076833299006</v>
      </c>
      <c r="AZ29" s="2">
        <f t="shared" si="18"/>
        <v>4.4121904507393547E-2</v>
      </c>
      <c r="BA29" s="2">
        <f t="shared" si="19"/>
        <v>3.8061674008810576E-3</v>
      </c>
      <c r="BB29" s="2">
        <f t="shared" si="20"/>
        <v>5.7065729796250539E-3</v>
      </c>
      <c r="BC29" s="2">
        <f t="shared" si="21"/>
        <v>2.924529311273347E-2</v>
      </c>
      <c r="BD29" s="2">
        <f t="shared" si="22"/>
        <v>0.16489482711051665</v>
      </c>
      <c r="BE29" s="2">
        <f t="shared" si="23"/>
        <v>0.12930485370928702</v>
      </c>
      <c r="BF29" s="2">
        <f t="shared" si="24"/>
        <v>2.8181517151975878E-4</v>
      </c>
      <c r="BG29" s="2">
        <f t="shared" si="71"/>
        <v>1.8073992877748544</v>
      </c>
      <c r="BH29" s="2">
        <f t="shared" si="91"/>
        <v>0.58666812464560592</v>
      </c>
      <c r="BI29" s="2">
        <f t="shared" si="91"/>
        <v>3.1169287513472155E-3</v>
      </c>
      <c r="BJ29" s="2">
        <f t="shared" si="91"/>
        <v>0.20142796934549898</v>
      </c>
      <c r="BK29" s="2">
        <f t="shared" si="91"/>
        <v>2.4411819129193858E-2</v>
      </c>
      <c r="BL29" s="2">
        <f t="shared" si="91"/>
        <v>2.1058807683646645E-3</v>
      </c>
      <c r="BM29" s="2">
        <f t="shared" si="92"/>
        <v>3.1573393982303678E-3</v>
      </c>
      <c r="BN29" s="2">
        <f t="shared" si="92"/>
        <v>1.6180870110189243E-2</v>
      </c>
      <c r="BO29" s="2">
        <f t="shared" si="92"/>
        <v>9.1233203546032052E-2</v>
      </c>
      <c r="BP29" s="2">
        <f t="shared" si="92"/>
        <v>7.1541941276561119E-2</v>
      </c>
      <c r="BQ29" s="2">
        <f t="shared" si="92"/>
        <v>1.5592302897646387E-4</v>
      </c>
      <c r="BR29" s="2">
        <f t="shared" si="74"/>
        <v>0.99999999999999989</v>
      </c>
      <c r="BS29" s="2">
        <f t="shared" si="28"/>
        <v>1.0984566683809249</v>
      </c>
      <c r="BT29" s="2">
        <f t="shared" si="29"/>
        <v>0</v>
      </c>
      <c r="BU29" s="2">
        <f t="shared" si="30"/>
        <v>0.36680691636998458</v>
      </c>
      <c r="BV29" s="2">
        <f t="shared" si="31"/>
        <v>0</v>
      </c>
      <c r="BW29" s="2">
        <f t="shared" si="32"/>
        <v>0</v>
      </c>
      <c r="BX29" s="2">
        <f t="shared" si="33"/>
        <v>0</v>
      </c>
      <c r="BY29" s="2">
        <f t="shared" si="34"/>
        <v>2.4965494120626139E-3</v>
      </c>
      <c r="BZ29" s="2">
        <f t="shared" si="35"/>
        <v>8.002723507516267E-2</v>
      </c>
      <c r="CA29" s="2">
        <f t="shared" si="36"/>
        <v>0.2696505159454754</v>
      </c>
      <c r="CB29" s="2">
        <f t="shared" si="75"/>
        <v>1.8174378851836102</v>
      </c>
      <c r="CC29" s="2">
        <f t="shared" si="93"/>
        <v>0.60439846518878482</v>
      </c>
      <c r="CD29" s="2">
        <f t="shared" si="93"/>
        <v>0</v>
      </c>
      <c r="CE29" s="2">
        <f t="shared" si="93"/>
        <v>0.20182638392229135</v>
      </c>
      <c r="CF29" s="2">
        <f t="shared" ref="CF29:CH30" si="95">BV29/$CB29</f>
        <v>0</v>
      </c>
      <c r="CG29" s="2">
        <f t="shared" si="95"/>
        <v>0</v>
      </c>
      <c r="CH29" s="2">
        <f t="shared" si="95"/>
        <v>0</v>
      </c>
      <c r="CI29" s="2">
        <f t="shared" si="94"/>
        <v>1.373664229416234E-3</v>
      </c>
      <c r="CJ29" s="2">
        <f t="shared" si="94"/>
        <v>4.4032995970631351E-2</v>
      </c>
      <c r="CK29" s="2">
        <f t="shared" si="94"/>
        <v>0.14836849068887625</v>
      </c>
      <c r="CL29" s="2">
        <f t="shared" si="78"/>
        <v>1</v>
      </c>
      <c r="CN29" s="2">
        <f t="shared" si="79"/>
        <v>7.0889596685369035E-3</v>
      </c>
      <c r="CO29" s="2">
        <f t="shared" si="80"/>
        <v>0.22723757803121017</v>
      </c>
      <c r="CP29" s="2">
        <f t="shared" si="81"/>
        <v>0.7656734623002529</v>
      </c>
      <c r="CR29" s="2">
        <f t="shared" si="82"/>
        <v>0.25558808231800784</v>
      </c>
      <c r="CS29" s="2">
        <f t="shared" si="83"/>
        <v>3.4459477668020968</v>
      </c>
      <c r="CT29" s="2">
        <f t="shared" si="84"/>
        <v>0.66884081486537839</v>
      </c>
      <c r="CU29" s="2" t="e">
        <f t="shared" si="85"/>
        <v>#DIV/0!</v>
      </c>
      <c r="CV29" s="2">
        <f t="shared" si="86"/>
        <v>4.585590940597814E-2</v>
      </c>
      <c r="CW29" s="2">
        <f t="shared" si="87"/>
        <v>-0.80910795322375617</v>
      </c>
      <c r="CY29" s="2">
        <v>1509.2686653465503</v>
      </c>
      <c r="CZ29" s="60">
        <f t="shared" si="49"/>
        <v>1284.3051720815129</v>
      </c>
      <c r="DA29" s="2">
        <f t="shared" si="50"/>
        <v>4.3</v>
      </c>
      <c r="DC29" s="2">
        <f t="shared" si="51"/>
        <v>1303.1592326338837</v>
      </c>
      <c r="DD29" s="2">
        <f t="shared" si="52"/>
        <v>0.11454048303084702</v>
      </c>
      <c r="DE29" s="87">
        <f t="shared" si="53"/>
        <v>0.11454048303084702</v>
      </c>
      <c r="DF29" s="2">
        <f>CN29/(BN29/(BN29+BO29))</f>
        <v>4.7058905410946379E-2</v>
      </c>
      <c r="DG29" s="2">
        <f t="shared" si="88"/>
        <v>4300</v>
      </c>
      <c r="DH29" s="2">
        <f>CO29*BJ29*BN29/(BO29*BH29*CN29)</f>
        <v>1.9519733102414469</v>
      </c>
      <c r="DJ29" s="2">
        <f t="shared" si="57"/>
        <v>16.421913911637681</v>
      </c>
      <c r="DK29" s="2">
        <f t="shared" si="58"/>
        <v>-0.46029248873594975</v>
      </c>
      <c r="DL29" s="2">
        <f t="shared" si="59"/>
        <v>32.055137658599477</v>
      </c>
      <c r="DM29">
        <f t="shared" si="60"/>
        <v>-1.034E-2</v>
      </c>
      <c r="DN29">
        <f t="shared" si="61"/>
        <v>16.571159185134618</v>
      </c>
      <c r="DO29">
        <f t="shared" si="62"/>
        <v>-5937.7731046937515</v>
      </c>
      <c r="DP29">
        <v>1509.2686653465503</v>
      </c>
      <c r="DQ29" s="2">
        <f t="shared" si="63"/>
        <v>1236.1186653465502</v>
      </c>
    </row>
    <row r="30" spans="1:121" ht="15.6" thickBot="1" x14ac:dyDescent="0.3">
      <c r="A30" s="2" t="s">
        <v>112</v>
      </c>
      <c r="B30" s="3" t="s">
        <v>102</v>
      </c>
      <c r="C30" s="70">
        <v>0.43</v>
      </c>
      <c r="D30" s="69">
        <v>1180</v>
      </c>
      <c r="E30">
        <f t="shared" si="0"/>
        <v>4300</v>
      </c>
      <c r="F30" s="3" t="s">
        <v>102</v>
      </c>
      <c r="G30" s="94">
        <f t="shared" si="89"/>
        <v>63.71</v>
      </c>
      <c r="H30" s="96">
        <v>0.45</v>
      </c>
      <c r="I30" s="96">
        <v>18.559999999999999</v>
      </c>
      <c r="J30" s="96">
        <v>3.17</v>
      </c>
      <c r="K30" s="96">
        <v>0.27</v>
      </c>
      <c r="L30" s="96">
        <v>0.23</v>
      </c>
      <c r="M30" s="96">
        <v>1.64</v>
      </c>
      <c r="N30" s="96">
        <f t="shared" si="90"/>
        <v>5.1100000000000003</v>
      </c>
      <c r="O30" s="96">
        <f t="shared" si="69"/>
        <v>6.09</v>
      </c>
      <c r="P30" s="4">
        <v>0.1</v>
      </c>
      <c r="Q30" s="96">
        <v>0.02</v>
      </c>
      <c r="R30" s="97">
        <v>5</v>
      </c>
      <c r="S30" s="2">
        <f t="shared" si="1"/>
        <v>99.35</v>
      </c>
      <c r="U30" s="90">
        <v>65.900000000000006</v>
      </c>
      <c r="V30" s="90"/>
      <c r="W30" s="90">
        <v>18.600000000000001</v>
      </c>
      <c r="X30" s="90">
        <v>0.11</v>
      </c>
      <c r="Y30" s="90"/>
      <c r="Z30" s="90">
        <v>0</v>
      </c>
      <c r="AA30" s="90">
        <v>0.1</v>
      </c>
      <c r="AB30" s="90">
        <v>2.54</v>
      </c>
      <c r="AC30" s="90">
        <v>12.7</v>
      </c>
      <c r="AD30" s="25"/>
      <c r="AF30" s="55">
        <f t="shared" si="2"/>
        <v>1133.8696274728359</v>
      </c>
      <c r="AG30" s="55">
        <f t="shared" si="3"/>
        <v>934.55434291992435</v>
      </c>
      <c r="AH30" s="55">
        <f t="shared" si="4"/>
        <v>1184.7641998599911</v>
      </c>
      <c r="AI30" s="55">
        <f t="shared" si="5"/>
        <v>12.584335405028469</v>
      </c>
      <c r="AJ30" s="55">
        <f t="shared" si="6"/>
        <v>27.08506906755845</v>
      </c>
      <c r="AK30" s="55">
        <f t="shared" si="64"/>
        <v>84.374760516389273</v>
      </c>
      <c r="AL30" s="55">
        <f t="shared" si="65"/>
        <v>897.7283417007751</v>
      </c>
      <c r="AM30" s="56">
        <f t="shared" si="7"/>
        <v>1.0238807177042315</v>
      </c>
      <c r="AN30" s="56">
        <f t="shared" si="8"/>
        <v>0.12156544234913703</v>
      </c>
      <c r="AO30" s="56">
        <f t="shared" si="9"/>
        <v>6.9408046251490631E-5</v>
      </c>
      <c r="AP30" s="56">
        <f t="shared" si="10"/>
        <v>1.1455155680996201</v>
      </c>
      <c r="AQ30" s="56">
        <f t="shared" si="11"/>
        <v>2.7988778593623325</v>
      </c>
      <c r="AR30" s="3">
        <f t="shared" si="12"/>
        <v>0.12267140387939317</v>
      </c>
      <c r="AS30" s="99">
        <f t="shared" si="66"/>
        <v>775.9161766309079</v>
      </c>
      <c r="AT30" s="99">
        <f t="shared" si="67"/>
        <v>863.87918757416548</v>
      </c>
      <c r="AU30" s="54">
        <f t="shared" si="13"/>
        <v>0.12267140387939318</v>
      </c>
      <c r="AV30" s="4">
        <f t="shared" si="14"/>
        <v>0.15064013084520111</v>
      </c>
      <c r="AW30" s="2">
        <f t="shared" si="15"/>
        <v>1.0603435506446777</v>
      </c>
      <c r="AX30" s="2">
        <f t="shared" si="16"/>
        <v>5.6335348052299235E-3</v>
      </c>
      <c r="AY30" s="2">
        <f t="shared" si="17"/>
        <v>0.36406076833299006</v>
      </c>
      <c r="AZ30" s="2">
        <f t="shared" si="18"/>
        <v>4.4121904507393547E-2</v>
      </c>
      <c r="BA30" s="2">
        <f t="shared" si="19"/>
        <v>3.8061674008810576E-3</v>
      </c>
      <c r="BB30" s="2">
        <f t="shared" si="20"/>
        <v>5.7065729796250539E-3</v>
      </c>
      <c r="BC30" s="2">
        <f t="shared" si="21"/>
        <v>2.924529311273347E-2</v>
      </c>
      <c r="BD30" s="2">
        <f t="shared" si="22"/>
        <v>0.16489482711051665</v>
      </c>
      <c r="BE30" s="2">
        <f t="shared" si="23"/>
        <v>0.12930485370928702</v>
      </c>
      <c r="BF30" s="2">
        <f t="shared" si="24"/>
        <v>2.8181517151975878E-4</v>
      </c>
      <c r="BG30" s="2">
        <f t="shared" si="71"/>
        <v>1.8073992877748544</v>
      </c>
      <c r="BH30" s="2">
        <f t="shared" si="91"/>
        <v>0.58666812464560592</v>
      </c>
      <c r="BI30" s="2">
        <f t="shared" si="91"/>
        <v>3.1169287513472155E-3</v>
      </c>
      <c r="BJ30" s="2">
        <f t="shared" si="91"/>
        <v>0.20142796934549898</v>
      </c>
      <c r="BK30" s="2">
        <f t="shared" si="91"/>
        <v>2.4411819129193858E-2</v>
      </c>
      <c r="BL30" s="2">
        <f t="shared" si="91"/>
        <v>2.1058807683646645E-3</v>
      </c>
      <c r="BM30" s="2">
        <f t="shared" si="92"/>
        <v>3.1573393982303678E-3</v>
      </c>
      <c r="BN30" s="2">
        <f t="shared" si="92"/>
        <v>1.6180870110189243E-2</v>
      </c>
      <c r="BO30" s="2">
        <f t="shared" si="92"/>
        <v>9.1233203546032052E-2</v>
      </c>
      <c r="BP30" s="2">
        <f t="shared" si="92"/>
        <v>7.1541941276561119E-2</v>
      </c>
      <c r="BQ30" s="2">
        <f t="shared" si="92"/>
        <v>1.5592302897646387E-4</v>
      </c>
      <c r="BR30" s="2">
        <f t="shared" si="74"/>
        <v>0.99999999999999989</v>
      </c>
      <c r="BS30" s="2">
        <f t="shared" si="28"/>
        <v>1.0967923400954993</v>
      </c>
      <c r="BT30" s="2">
        <f t="shared" si="29"/>
        <v>0</v>
      </c>
      <c r="BU30" s="2">
        <f t="shared" si="30"/>
        <v>0.36484538205784567</v>
      </c>
      <c r="BV30" s="2">
        <f t="shared" si="31"/>
        <v>1.5310440049884197E-3</v>
      </c>
      <c r="BW30" s="2">
        <f t="shared" si="32"/>
        <v>0</v>
      </c>
      <c r="BX30" s="2">
        <f t="shared" si="33"/>
        <v>0</v>
      </c>
      <c r="BY30" s="2">
        <f t="shared" si="34"/>
        <v>1.783249580044724E-3</v>
      </c>
      <c r="BZ30" s="2">
        <f t="shared" si="35"/>
        <v>8.1963377859239184E-2</v>
      </c>
      <c r="CA30" s="2">
        <f t="shared" si="36"/>
        <v>0.2696505159454754</v>
      </c>
      <c r="CB30" s="2">
        <f t="shared" si="75"/>
        <v>1.8165659095430928</v>
      </c>
      <c r="CC30" s="2">
        <f>BS30/$CB30</f>
        <v>0.60377238961363489</v>
      </c>
      <c r="CD30" s="2">
        <f>BT30/$CB30</f>
        <v>0</v>
      </c>
      <c r="CE30" s="2">
        <f>BU30/$CB30</f>
        <v>0.20084345970667944</v>
      </c>
      <c r="CF30" s="2">
        <f t="shared" si="95"/>
        <v>8.4282326170786266E-4</v>
      </c>
      <c r="CG30" s="2">
        <f t="shared" si="95"/>
        <v>0</v>
      </c>
      <c r="CH30" s="2">
        <f t="shared" si="95"/>
        <v>0</v>
      </c>
      <c r="CI30" s="2">
        <f t="shared" si="94"/>
        <v>9.8165971885559133E-4</v>
      </c>
      <c r="CJ30" s="2">
        <f t="shared" si="94"/>
        <v>4.5119958174187479E-2</v>
      </c>
      <c r="CK30" s="2">
        <f t="shared" si="94"/>
        <v>0.14843970952493465</v>
      </c>
      <c r="CL30" s="2">
        <f t="shared" si="78"/>
        <v>0.99999999999999989</v>
      </c>
      <c r="CN30" s="2">
        <f t="shared" si="79"/>
        <v>5.0460214900583398E-3</v>
      </c>
      <c r="CO30" s="2">
        <f t="shared" si="80"/>
        <v>0.2319299388620184</v>
      </c>
      <c r="CP30" s="2">
        <f t="shared" si="81"/>
        <v>0.7630240396479232</v>
      </c>
      <c r="CR30" s="2">
        <f t="shared" si="82"/>
        <v>0.25558808231800784</v>
      </c>
      <c r="CS30" s="2">
        <f t="shared" si="83"/>
        <v>3.1060092782877975</v>
      </c>
      <c r="CT30" s="2">
        <f t="shared" si="84"/>
        <v>1.0292185723401459</v>
      </c>
      <c r="CU30" s="2" t="e">
        <f t="shared" si="85"/>
        <v>#DIV/0!</v>
      </c>
      <c r="CV30" s="2">
        <f t="shared" si="86"/>
        <v>4.585590940597814E-2</v>
      </c>
      <c r="CW30" s="2">
        <f t="shared" si="87"/>
        <v>-0.80910795322375617</v>
      </c>
      <c r="CY30" s="2">
        <v>1467.5845553557078</v>
      </c>
      <c r="CZ30" s="60">
        <f t="shared" si="49"/>
        <v>1184.7641998599911</v>
      </c>
      <c r="DA30" s="2">
        <f t="shared" si="50"/>
        <v>4.3</v>
      </c>
      <c r="DC30" s="2">
        <f t="shared" si="51"/>
        <v>1191.6352431881578</v>
      </c>
      <c r="DD30" s="2">
        <f t="shared" si="52"/>
        <v>0.11454048303084702</v>
      </c>
      <c r="DE30" s="87">
        <f t="shared" si="53"/>
        <v>0.11454048303084702</v>
      </c>
      <c r="DF30" s="2">
        <f>CN30/(BN30/(BN30+BO30))</f>
        <v>3.3497192691923965E-2</v>
      </c>
      <c r="DG30" s="2">
        <f t="shared" si="88"/>
        <v>4300</v>
      </c>
      <c r="DH30" s="2">
        <f>CO30*BJ30*BN30/(BO30*BH30*CN30)</f>
        <v>2.7988778593623334</v>
      </c>
      <c r="DJ30" s="2">
        <f t="shared" si="57"/>
        <v>16.421913911637681</v>
      </c>
      <c r="DK30" s="2">
        <f t="shared" si="58"/>
        <v>-0.46029248873594975</v>
      </c>
      <c r="DL30" s="2">
        <f t="shared" si="59"/>
        <v>45.962931255636988</v>
      </c>
      <c r="DM30">
        <f t="shared" si="60"/>
        <v>-1.034E-2</v>
      </c>
      <c r="DN30">
        <f t="shared" si="61"/>
        <v>16.210781427659853</v>
      </c>
      <c r="DO30">
        <f t="shared" si="62"/>
        <v>-5937.7731046937515</v>
      </c>
      <c r="DP30">
        <v>1467.5845553557078</v>
      </c>
      <c r="DQ30" s="2">
        <f t="shared" si="63"/>
        <v>1194.4345553557077</v>
      </c>
    </row>
    <row r="31" spans="1:121" ht="15" x14ac:dyDescent="0.25">
      <c r="C31" s="70"/>
      <c r="D31" s="69"/>
      <c r="F31" s="3"/>
      <c r="G31" s="98"/>
      <c r="H31" s="98"/>
      <c r="I31" s="98"/>
      <c r="J31" s="98"/>
      <c r="K31" s="98"/>
      <c r="L31" s="98"/>
      <c r="M31" s="98"/>
      <c r="N31" s="98"/>
      <c r="O31" s="98"/>
      <c r="P31" s="98"/>
      <c r="Q31" s="98"/>
      <c r="R31" s="97"/>
      <c r="U31" s="25"/>
      <c r="V31" s="25"/>
      <c r="W31" s="25"/>
      <c r="X31" s="25"/>
      <c r="Y31" s="25"/>
      <c r="Z31" s="25"/>
      <c r="AA31" s="25"/>
      <c r="AB31" s="25"/>
      <c r="AC31" s="25"/>
      <c r="AD31" s="25"/>
      <c r="AF31" s="55"/>
      <c r="AG31" s="55"/>
      <c r="AH31" s="55"/>
      <c r="AI31" s="55"/>
      <c r="AJ31" s="55"/>
      <c r="AK31" s="55"/>
      <c r="AL31" s="55"/>
      <c r="AM31" s="56"/>
      <c r="AN31" s="56"/>
      <c r="AO31" s="56"/>
      <c r="AP31" s="56"/>
      <c r="AQ31" s="56"/>
      <c r="AS31" s="55"/>
      <c r="AT31" s="55"/>
      <c r="AU31" s="54"/>
      <c r="CZ31" s="60"/>
      <c r="DM31"/>
      <c r="DN31"/>
      <c r="DO31"/>
      <c r="DP31"/>
    </row>
    <row r="32" spans="1:121" ht="15" x14ac:dyDescent="0.25">
      <c r="C32" s="70"/>
      <c r="D32" s="69"/>
      <c r="F32" s="3"/>
      <c r="G32" s="98"/>
      <c r="H32" s="98"/>
      <c r="I32" s="98"/>
      <c r="J32" s="98"/>
      <c r="K32" s="98"/>
      <c r="L32" s="98"/>
      <c r="M32" s="98"/>
      <c r="N32" s="98"/>
      <c r="O32" s="98"/>
      <c r="P32" s="98"/>
      <c r="Q32" s="98"/>
      <c r="R32" s="97"/>
      <c r="U32" s="25"/>
      <c r="V32" s="25"/>
      <c r="W32" s="25"/>
      <c r="X32" s="25"/>
      <c r="Y32" s="25"/>
      <c r="Z32" s="25"/>
      <c r="AA32" s="25"/>
      <c r="AB32" s="25"/>
      <c r="AC32" s="25"/>
      <c r="AD32" s="25"/>
      <c r="AF32" s="55"/>
      <c r="AG32" s="55"/>
      <c r="AH32" s="55"/>
      <c r="AI32" s="55"/>
      <c r="AJ32" s="55"/>
      <c r="AK32" s="55"/>
      <c r="AL32" s="55"/>
      <c r="AM32" s="56"/>
      <c r="AN32" s="56"/>
      <c r="AO32" s="56"/>
      <c r="AP32" s="56"/>
      <c r="AQ32" s="56"/>
      <c r="AS32" s="55"/>
      <c r="AT32" s="55"/>
      <c r="AU32" s="54"/>
      <c r="CZ32" s="60"/>
      <c r="DM32"/>
      <c r="DN32"/>
      <c r="DO32"/>
      <c r="DP32"/>
    </row>
    <row r="33" spans="3:120" ht="15.6" thickBot="1" x14ac:dyDescent="0.3">
      <c r="C33" s="70"/>
      <c r="D33" s="69"/>
      <c r="F33" s="3"/>
      <c r="G33" s="98"/>
      <c r="H33" s="98"/>
      <c r="I33" s="98"/>
      <c r="J33" s="98"/>
      <c r="K33" s="98"/>
      <c r="L33" s="98"/>
      <c r="M33" s="98"/>
      <c r="N33" s="98"/>
      <c r="O33" s="98"/>
      <c r="P33" s="98"/>
      <c r="Q33" s="98"/>
      <c r="R33" s="97"/>
      <c r="U33" s="25"/>
      <c r="V33" s="25"/>
      <c r="W33" s="25"/>
      <c r="X33" s="25"/>
      <c r="Y33" s="25"/>
      <c r="Z33" s="25"/>
      <c r="AA33" s="25"/>
      <c r="AB33" s="25"/>
      <c r="AC33" s="25"/>
      <c r="AD33" s="25"/>
      <c r="AF33" s="55"/>
      <c r="AG33" s="55"/>
      <c r="AH33" s="55"/>
      <c r="AI33" s="55"/>
      <c r="AJ33" s="55"/>
      <c r="AK33" s="55"/>
      <c r="AL33" s="55"/>
      <c r="AM33" s="56"/>
      <c r="AN33" s="56"/>
      <c r="AO33" s="56"/>
      <c r="AP33" s="56"/>
      <c r="AQ33" s="56"/>
      <c r="AS33" s="55"/>
      <c r="AT33" s="55"/>
      <c r="AU33" s="54"/>
      <c r="CZ33" s="60"/>
      <c r="DM33"/>
      <c r="DN33"/>
      <c r="DO33"/>
      <c r="DP33"/>
    </row>
    <row r="34" spans="3:120" ht="15.6" thickBot="1" x14ac:dyDescent="0.3">
      <c r="C34" s="70"/>
      <c r="D34" s="69"/>
      <c r="F34" s="3"/>
      <c r="G34" s="95" t="s">
        <v>124</v>
      </c>
      <c r="H34" s="94">
        <v>61.71</v>
      </c>
      <c r="I34" s="98"/>
      <c r="J34" s="98"/>
      <c r="K34" s="98"/>
      <c r="L34" s="98"/>
      <c r="M34" s="98"/>
      <c r="N34" s="98"/>
      <c r="O34" s="98"/>
      <c r="P34" s="98"/>
      <c r="Q34" s="98"/>
      <c r="R34" s="97"/>
      <c r="U34" s="25"/>
      <c r="V34" s="25"/>
      <c r="W34" s="25"/>
      <c r="X34" s="25"/>
      <c r="Y34" s="25"/>
      <c r="Z34" s="25"/>
      <c r="AA34" s="25"/>
      <c r="AB34" s="25"/>
      <c r="AC34" s="25"/>
      <c r="AD34" s="25"/>
      <c r="AF34" s="55"/>
      <c r="AG34" s="55"/>
      <c r="AH34" s="55"/>
      <c r="AI34" s="55"/>
      <c r="AJ34" s="55"/>
      <c r="AK34" s="55"/>
      <c r="AL34" s="55"/>
      <c r="AM34" s="56"/>
      <c r="AN34" s="56"/>
      <c r="AO34" s="56"/>
      <c r="AP34" s="56"/>
      <c r="AQ34" s="56"/>
      <c r="AS34" s="55"/>
      <c r="AT34" s="55"/>
      <c r="AU34" s="54"/>
      <c r="CZ34" s="60"/>
      <c r="DM34"/>
      <c r="DN34"/>
      <c r="DO34"/>
      <c r="DP34"/>
    </row>
    <row r="35" spans="3:120" ht="15.6" thickBot="1" x14ac:dyDescent="0.3">
      <c r="C35" s="70"/>
      <c r="D35" s="69"/>
      <c r="F35" s="3"/>
      <c r="G35" s="93" t="s">
        <v>125</v>
      </c>
      <c r="H35" s="96">
        <v>0.45</v>
      </c>
      <c r="I35" s="98"/>
      <c r="J35" s="98"/>
      <c r="K35" s="98"/>
      <c r="L35" s="98"/>
      <c r="M35" s="98"/>
      <c r="N35" s="98"/>
      <c r="O35" s="98"/>
      <c r="P35" s="98"/>
      <c r="Q35" s="98"/>
      <c r="R35" s="97"/>
      <c r="U35" s="25"/>
      <c r="V35" s="25"/>
      <c r="W35" s="25"/>
      <c r="X35" s="25"/>
      <c r="Y35" s="25"/>
      <c r="Z35" s="25"/>
      <c r="AA35" s="25"/>
      <c r="AB35" s="25"/>
      <c r="AC35" s="25"/>
      <c r="AD35" s="25"/>
      <c r="AF35" s="55"/>
      <c r="AG35" s="55"/>
      <c r="AH35" s="55"/>
      <c r="AI35" s="55"/>
      <c r="AJ35" s="55"/>
      <c r="AK35" s="55"/>
      <c r="AL35" s="55"/>
      <c r="AM35" s="56"/>
      <c r="AN35" s="56"/>
      <c r="AO35" s="56"/>
      <c r="AP35" s="56"/>
      <c r="AQ35" s="56"/>
      <c r="AS35" s="55"/>
      <c r="AT35" s="55"/>
      <c r="AU35" s="54"/>
      <c r="CZ35" s="60"/>
      <c r="DM35"/>
      <c r="DN35"/>
      <c r="DO35"/>
      <c r="DP35"/>
    </row>
    <row r="36" spans="3:120" ht="15.6" thickBot="1" x14ac:dyDescent="0.3">
      <c r="C36" s="70"/>
      <c r="D36" s="69"/>
      <c r="F36" s="3"/>
      <c r="G36" s="93" t="s">
        <v>126</v>
      </c>
      <c r="H36" s="96">
        <v>18.559999999999999</v>
      </c>
      <c r="I36" s="98"/>
      <c r="J36" s="98"/>
      <c r="K36" s="98"/>
      <c r="L36" s="98"/>
      <c r="M36" s="98"/>
      <c r="N36" s="98"/>
      <c r="O36" s="98"/>
      <c r="P36" s="98"/>
      <c r="Q36" s="98"/>
      <c r="R36" s="97"/>
      <c r="U36" s="25"/>
      <c r="V36" s="25"/>
      <c r="W36" s="25"/>
      <c r="X36" s="25"/>
      <c r="Y36" s="25"/>
      <c r="Z36" s="25"/>
      <c r="AA36" s="25"/>
      <c r="AB36" s="25"/>
      <c r="AC36" s="25"/>
      <c r="AD36" s="25"/>
      <c r="AF36" s="55"/>
      <c r="AG36" s="55"/>
      <c r="AH36" s="55"/>
      <c r="AI36" s="55"/>
      <c r="AJ36" s="55"/>
      <c r="AK36" s="55"/>
      <c r="AL36" s="55"/>
      <c r="AM36" s="56"/>
      <c r="AN36" s="56"/>
      <c r="AO36" s="56"/>
      <c r="AP36" s="56"/>
      <c r="AQ36" s="56"/>
      <c r="AS36" s="55"/>
      <c r="AT36" s="55"/>
      <c r="AU36" s="54"/>
      <c r="CZ36" s="60"/>
      <c r="DM36"/>
      <c r="DN36"/>
      <c r="DO36"/>
      <c r="DP36"/>
    </row>
    <row r="37" spans="3:120" ht="15.6" thickBot="1" x14ac:dyDescent="0.25">
      <c r="C37" s="70"/>
      <c r="D37" s="69"/>
      <c r="F37" s="3"/>
      <c r="G37" s="93" t="s">
        <v>127</v>
      </c>
      <c r="H37" s="96">
        <v>3.17</v>
      </c>
      <c r="I37" s="25"/>
      <c r="J37" s="25"/>
      <c r="K37" s="25"/>
      <c r="L37" s="25"/>
      <c r="M37" s="25"/>
      <c r="N37" s="25"/>
      <c r="O37" s="25"/>
      <c r="P37" s="25"/>
      <c r="Q37" s="25"/>
      <c r="R37" s="25"/>
      <c r="U37" s="25"/>
      <c r="V37" s="25"/>
      <c r="W37" s="25"/>
      <c r="X37" s="25"/>
      <c r="Y37" s="25"/>
      <c r="Z37" s="25"/>
      <c r="AA37" s="25"/>
      <c r="AB37" s="25"/>
      <c r="AC37" s="25"/>
      <c r="AD37" s="25"/>
      <c r="AF37" s="55"/>
      <c r="AG37" s="55"/>
      <c r="AH37" s="55"/>
      <c r="AI37" s="55"/>
      <c r="AJ37" s="55"/>
      <c r="AK37" s="55"/>
      <c r="AL37" s="55"/>
      <c r="AM37" s="56"/>
      <c r="AN37" s="56"/>
      <c r="AO37" s="56"/>
      <c r="AP37" s="56"/>
      <c r="AQ37" s="56"/>
      <c r="AS37" s="55"/>
      <c r="AT37" s="55"/>
      <c r="AU37" s="54"/>
      <c r="CZ37" s="60"/>
      <c r="DM37"/>
      <c r="DN37"/>
      <c r="DO37"/>
      <c r="DP37"/>
    </row>
    <row r="38" spans="3:120" ht="15.6" thickBot="1" x14ac:dyDescent="0.25">
      <c r="C38" s="70"/>
      <c r="D38" s="69"/>
      <c r="F38" s="3"/>
      <c r="G38" s="93" t="s">
        <v>77</v>
      </c>
      <c r="H38" s="96">
        <v>0.27</v>
      </c>
      <c r="I38" s="25"/>
      <c r="J38" s="25"/>
      <c r="K38" s="25"/>
      <c r="L38" s="25"/>
      <c r="M38" s="25"/>
      <c r="N38" s="25"/>
      <c r="O38" s="25"/>
      <c r="P38" s="25"/>
      <c r="Q38" s="25"/>
      <c r="R38" s="25"/>
      <c r="U38" s="25"/>
      <c r="V38" s="25"/>
      <c r="W38" s="25"/>
      <c r="X38" s="25"/>
      <c r="Y38" s="25"/>
      <c r="Z38" s="25"/>
      <c r="AA38" s="25"/>
      <c r="AB38" s="25"/>
      <c r="AC38" s="25"/>
      <c r="AD38" s="25"/>
      <c r="AF38" s="55"/>
      <c r="AG38" s="55"/>
      <c r="AH38" s="55"/>
      <c r="AI38" s="55"/>
      <c r="AJ38" s="55"/>
      <c r="AK38" s="55"/>
      <c r="AL38" s="55"/>
      <c r="AM38" s="56"/>
      <c r="AN38" s="56"/>
      <c r="AO38" s="56"/>
      <c r="AP38" s="56"/>
      <c r="AQ38" s="56"/>
      <c r="AS38" s="55"/>
      <c r="AT38" s="55"/>
      <c r="AU38" s="54"/>
      <c r="CZ38" s="60"/>
      <c r="DM38"/>
      <c r="DN38"/>
      <c r="DO38"/>
      <c r="DP38"/>
    </row>
    <row r="39" spans="3:120" ht="15.6" thickBot="1" x14ac:dyDescent="0.25">
      <c r="C39" s="25"/>
      <c r="D39" s="69"/>
      <c r="F39" s="3"/>
      <c r="G39" s="93" t="s">
        <v>78</v>
      </c>
      <c r="H39" s="96">
        <v>0.23</v>
      </c>
      <c r="I39" s="25"/>
      <c r="J39" s="25"/>
      <c r="K39" s="25"/>
      <c r="L39" s="25"/>
      <c r="M39" s="25"/>
      <c r="N39" s="25"/>
      <c r="O39" s="25"/>
      <c r="P39" s="25"/>
      <c r="Q39" s="25"/>
      <c r="R39" s="25"/>
      <c r="U39" s="25"/>
      <c r="V39" s="25"/>
      <c r="W39" s="25"/>
      <c r="X39" s="25"/>
      <c r="Y39" s="25"/>
      <c r="Z39" s="25"/>
      <c r="AA39" s="25"/>
      <c r="AB39" s="25"/>
      <c r="AC39" s="25"/>
      <c r="AD39" s="25"/>
      <c r="AF39" s="55"/>
      <c r="AG39" s="55"/>
      <c r="AH39" s="55"/>
      <c r="AI39" s="55"/>
      <c r="AJ39" s="55"/>
      <c r="AK39" s="55"/>
      <c r="AL39" s="55"/>
      <c r="AM39" s="56"/>
      <c r="AN39" s="56"/>
      <c r="AO39" s="56"/>
      <c r="AP39" s="56"/>
      <c r="AQ39" s="56"/>
      <c r="AS39" s="55"/>
      <c r="AT39" s="55"/>
      <c r="AU39" s="54"/>
      <c r="CZ39" s="60"/>
      <c r="DM39"/>
      <c r="DN39"/>
      <c r="DO39"/>
      <c r="DP39"/>
    </row>
    <row r="40" spans="3:120" ht="15.6" thickBot="1" x14ac:dyDescent="0.25">
      <c r="C40" s="25"/>
      <c r="D40" s="69"/>
      <c r="F40" s="3"/>
      <c r="G40" s="93" t="s">
        <v>79</v>
      </c>
      <c r="H40" s="96">
        <v>1.64</v>
      </c>
      <c r="I40" s="25"/>
      <c r="J40" s="25"/>
      <c r="K40" s="25"/>
      <c r="L40" s="25"/>
      <c r="M40" s="25"/>
      <c r="N40" s="25"/>
      <c r="O40" s="25"/>
      <c r="P40" s="25"/>
      <c r="Q40" s="25"/>
      <c r="R40" s="25"/>
      <c r="U40" s="25"/>
      <c r="V40" s="25"/>
      <c r="W40" s="25"/>
      <c r="X40" s="25"/>
      <c r="Y40" s="25"/>
      <c r="Z40" s="25"/>
      <c r="AA40" s="25"/>
      <c r="AB40" s="25"/>
      <c r="AC40" s="25"/>
      <c r="AD40" s="25"/>
      <c r="AF40" s="55"/>
      <c r="AG40" s="55"/>
      <c r="AH40" s="55"/>
      <c r="AI40" s="55"/>
      <c r="AJ40" s="55"/>
      <c r="AK40" s="55"/>
      <c r="AL40" s="55"/>
      <c r="AM40" s="56"/>
      <c r="AN40" s="56"/>
      <c r="AO40" s="56"/>
      <c r="AP40" s="56"/>
      <c r="AQ40" s="56"/>
      <c r="AS40" s="55"/>
      <c r="AT40" s="55"/>
      <c r="AU40" s="54"/>
      <c r="CZ40" s="60"/>
      <c r="DM40"/>
      <c r="DN40"/>
      <c r="DO40"/>
      <c r="DP40"/>
    </row>
    <row r="41" spans="3:120" ht="15.6" thickBot="1" x14ac:dyDescent="0.25">
      <c r="C41" s="25"/>
      <c r="D41" s="69"/>
      <c r="F41" s="3"/>
      <c r="G41" s="93" t="s">
        <v>128</v>
      </c>
      <c r="H41" s="96">
        <v>6.11</v>
      </c>
      <c r="I41" s="25"/>
      <c r="J41" s="25"/>
      <c r="K41" s="25"/>
      <c r="L41" s="25"/>
      <c r="M41" s="25"/>
      <c r="N41" s="25"/>
      <c r="O41" s="25"/>
      <c r="P41" s="25"/>
      <c r="Q41" s="25"/>
      <c r="R41" s="25"/>
      <c r="U41" s="25"/>
      <c r="V41" s="25"/>
      <c r="W41" s="25"/>
      <c r="X41" s="25"/>
      <c r="Y41" s="25"/>
      <c r="Z41" s="25"/>
      <c r="AA41" s="25"/>
      <c r="AB41" s="25"/>
      <c r="AC41" s="25"/>
      <c r="AD41" s="25"/>
      <c r="AF41" s="55"/>
      <c r="AG41" s="55"/>
      <c r="AH41" s="55"/>
      <c r="AI41" s="55"/>
      <c r="AJ41" s="55"/>
      <c r="AK41" s="55"/>
      <c r="AL41" s="55"/>
      <c r="AM41" s="56"/>
      <c r="AN41" s="56"/>
      <c r="AO41" s="56"/>
      <c r="AP41" s="56"/>
      <c r="AQ41" s="56"/>
      <c r="AS41" s="55"/>
      <c r="AT41" s="55"/>
      <c r="AU41" s="54"/>
      <c r="CZ41" s="60"/>
      <c r="DM41"/>
      <c r="DN41"/>
      <c r="DO41"/>
      <c r="DP41"/>
    </row>
    <row r="42" spans="3:120" ht="15.6" thickBot="1" x14ac:dyDescent="0.25">
      <c r="C42" s="25"/>
      <c r="D42" s="69"/>
      <c r="F42" s="3"/>
      <c r="G42" s="93" t="s">
        <v>129</v>
      </c>
      <c r="H42" s="96">
        <v>7.09</v>
      </c>
      <c r="I42" s="25"/>
      <c r="J42" s="25"/>
      <c r="K42" s="25"/>
      <c r="L42" s="25"/>
      <c r="M42" s="25"/>
      <c r="N42" s="25"/>
      <c r="O42" s="25"/>
      <c r="P42" s="25"/>
      <c r="Q42" s="25"/>
      <c r="R42" s="25"/>
      <c r="U42" s="25"/>
      <c r="V42" s="25"/>
      <c r="W42" s="25"/>
      <c r="X42" s="25"/>
      <c r="Y42" s="25"/>
      <c r="Z42" s="25"/>
      <c r="AA42" s="25"/>
      <c r="AB42" s="25"/>
      <c r="AC42" s="25"/>
      <c r="AD42" s="25"/>
      <c r="AF42" s="55"/>
      <c r="AG42" s="55"/>
      <c r="AH42" s="55"/>
      <c r="AI42" s="55"/>
      <c r="AJ42" s="55"/>
      <c r="AK42" s="55"/>
      <c r="AL42" s="55"/>
      <c r="AM42" s="56"/>
      <c r="AN42" s="56"/>
      <c r="AO42" s="56"/>
      <c r="AP42" s="56"/>
      <c r="AQ42" s="56"/>
      <c r="AS42" s="55"/>
      <c r="AT42" s="55"/>
      <c r="AU42" s="54"/>
      <c r="CZ42" s="60"/>
      <c r="DM42"/>
      <c r="DN42"/>
      <c r="DO42"/>
      <c r="DP42"/>
    </row>
    <row r="43" spans="3:120" ht="15.6" thickBot="1" x14ac:dyDescent="0.25">
      <c r="G43" s="93" t="s">
        <v>130</v>
      </c>
      <c r="H43" s="96">
        <v>0.02</v>
      </c>
      <c r="DJ43"/>
      <c r="DK43"/>
      <c r="DM43"/>
      <c r="DN43"/>
      <c r="DO43"/>
      <c r="DP43"/>
    </row>
    <row r="44" spans="3:120" ht="15.6" thickBot="1" x14ac:dyDescent="0.25">
      <c r="G44" s="92" t="s">
        <v>104</v>
      </c>
      <c r="H44" s="91">
        <v>99.25</v>
      </c>
      <c r="DJ44"/>
      <c r="DK44"/>
      <c r="DL44"/>
      <c r="DM44"/>
      <c r="DN44"/>
      <c r="DO44"/>
      <c r="DP44"/>
    </row>
    <row r="45" spans="3:120" x14ac:dyDescent="0.2">
      <c r="DJ45"/>
      <c r="DK45"/>
      <c r="DL45"/>
    </row>
  </sheetData>
  <phoneticPr fontId="3"/>
  <pageMargins left="0.75" right="0.75" top="1" bottom="1" header="0.5" footer="0.5"/>
  <pageSetup paperSize="0" orientation="portrait" horizontalDpi="4294967292" verticalDpi="4294967292"/>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Feldspar Input &amp;  Models</vt:lpstr>
    </vt:vector>
  </TitlesOfParts>
  <Company>CSUF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Keith Putirka</dc:creator>
  <cp:lastModifiedBy>penny wieser</cp:lastModifiedBy>
  <dcterms:created xsi:type="dcterms:W3CDTF">2008-10-10T23:25:17Z</dcterms:created>
  <dcterms:modified xsi:type="dcterms:W3CDTF">2021-05-28T00:14:04Z</dcterms:modified>
</cp:coreProperties>
</file>