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ate1904="1" checkCompatibility="1"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Jordans_Versions\"/>
    </mc:Choice>
  </mc:AlternateContent>
  <xr:revisionPtr revIDLastSave="0" documentId="13_ncr:40009_{2D7ABB99-888B-4022-9486-8BB901B54EE1}" xr6:coauthVersionLast="47" xr6:coauthVersionMax="47" xr10:uidLastSave="{00000000-0000-0000-0000-000000000000}"/>
  <bookViews>
    <workbookView xWindow="28680" yWindow="-120" windowWidth="21840" windowHeight="13290"/>
  </bookViews>
  <sheets>
    <sheet name="Calc_An_PWedited" sheetId="3" r:id="rId1"/>
    <sheet name="1st_input_An" sheetId="1" r:id="rId2"/>
    <sheet name="Thermobar_format" sheetId="2" r:id="rId3"/>
  </sheets>
  <definedNames>
    <definedName name="_xlnm.Print_Area" localSheetId="1">'1st_input_An'!$A$1:$N$131</definedName>
    <definedName name="_xlnm.Print_Area" localSheetId="0">Calc_An_PWedited!$A$1:$N$134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7" i="3" l="1"/>
  <c r="D107" i="3"/>
  <c r="E107" i="3"/>
  <c r="F107" i="3"/>
  <c r="G107" i="3"/>
  <c r="H107" i="3"/>
  <c r="I107" i="3"/>
  <c r="B107" i="3"/>
  <c r="C109" i="3"/>
  <c r="D109" i="3"/>
  <c r="E109" i="3"/>
  <c r="F109" i="3"/>
  <c r="G109" i="3"/>
  <c r="H109" i="3"/>
  <c r="I109" i="3"/>
  <c r="C110" i="3"/>
  <c r="D110" i="3"/>
  <c r="E110" i="3"/>
  <c r="F110" i="3"/>
  <c r="G110" i="3"/>
  <c r="H110" i="3"/>
  <c r="I110" i="3"/>
  <c r="B110" i="3"/>
  <c r="B105" i="3"/>
  <c r="C108" i="3"/>
  <c r="D108" i="3"/>
  <c r="E108" i="3"/>
  <c r="F108" i="3"/>
  <c r="G108" i="3"/>
  <c r="H108" i="3"/>
  <c r="I108" i="3"/>
  <c r="B108" i="3"/>
  <c r="B104" i="1"/>
  <c r="I233" i="3"/>
  <c r="H233" i="3"/>
  <c r="G233" i="3"/>
  <c r="F233" i="3"/>
  <c r="E233" i="3"/>
  <c r="D233" i="3"/>
  <c r="C233" i="3"/>
  <c r="B233" i="3"/>
  <c r="F223" i="3"/>
  <c r="F80" i="3" s="1"/>
  <c r="F195" i="3"/>
  <c r="F196" i="3" s="1"/>
  <c r="I192" i="3"/>
  <c r="I224" i="3" s="1"/>
  <c r="I81" i="3" s="1"/>
  <c r="H192" i="3"/>
  <c r="H224" i="3" s="1"/>
  <c r="G192" i="3"/>
  <c r="G205" i="3" s="1"/>
  <c r="F192" i="3"/>
  <c r="F224" i="3" s="1"/>
  <c r="E192" i="3"/>
  <c r="E224" i="3" s="1"/>
  <c r="E81" i="3" s="1"/>
  <c r="D192" i="3"/>
  <c r="D204" i="3" s="1"/>
  <c r="C192" i="3"/>
  <c r="B192" i="3"/>
  <c r="B204" i="3" s="1"/>
  <c r="A128" i="3"/>
  <c r="A127" i="3"/>
  <c r="A126" i="3"/>
  <c r="A125" i="3"/>
  <c r="A124" i="3"/>
  <c r="A123" i="3"/>
  <c r="H81" i="3"/>
  <c r="F81" i="3"/>
  <c r="I45" i="3"/>
  <c r="H45" i="3"/>
  <c r="G45" i="3"/>
  <c r="F45" i="3"/>
  <c r="E45" i="3"/>
  <c r="D45" i="3"/>
  <c r="C45" i="3"/>
  <c r="B45" i="3"/>
  <c r="I33" i="3"/>
  <c r="H33" i="3"/>
  <c r="G33" i="3"/>
  <c r="F33" i="3"/>
  <c r="E33" i="3"/>
  <c r="D33" i="3"/>
  <c r="B33" i="3"/>
  <c r="L9" i="2"/>
  <c r="L8" i="2"/>
  <c r="L7" i="2"/>
  <c r="L6" i="2"/>
  <c r="L5" i="2"/>
  <c r="L4" i="2"/>
  <c r="L3" i="2"/>
  <c r="L2" i="2"/>
  <c r="C39" i="1"/>
  <c r="D39" i="1"/>
  <c r="E39" i="1"/>
  <c r="F39" i="1"/>
  <c r="G39" i="1"/>
  <c r="H39" i="1"/>
  <c r="I39" i="1"/>
  <c r="J39" i="1"/>
  <c r="J105" i="1" s="1"/>
  <c r="K39" i="1"/>
  <c r="L39" i="1"/>
  <c r="M39" i="1"/>
  <c r="N39" i="1"/>
  <c r="B39" i="1"/>
  <c r="B105" i="1"/>
  <c r="B33" i="1"/>
  <c r="D33" i="1"/>
  <c r="E33" i="1"/>
  <c r="F33" i="1"/>
  <c r="G33" i="1"/>
  <c r="H33" i="1"/>
  <c r="I33" i="1"/>
  <c r="J33" i="1"/>
  <c r="K33" i="1"/>
  <c r="L33" i="1"/>
  <c r="M33" i="1"/>
  <c r="N33" i="1"/>
  <c r="B45" i="1"/>
  <c r="C45" i="1"/>
  <c r="D45" i="1"/>
  <c r="E45" i="1"/>
  <c r="F45" i="1"/>
  <c r="G45" i="1"/>
  <c r="H45" i="1"/>
  <c r="I45" i="1"/>
  <c r="J45" i="1"/>
  <c r="K45" i="1"/>
  <c r="L45" i="1"/>
  <c r="M45" i="1"/>
  <c r="N45" i="1"/>
  <c r="A120" i="1"/>
  <c r="A121" i="1"/>
  <c r="A122" i="1"/>
  <c r="A123" i="1"/>
  <c r="A124" i="1"/>
  <c r="A125" i="1"/>
  <c r="B189" i="1"/>
  <c r="C189" i="1"/>
  <c r="C202" i="1"/>
  <c r="D189" i="1"/>
  <c r="D214" i="1"/>
  <c r="E189" i="1"/>
  <c r="E202" i="1"/>
  <c r="F189" i="1"/>
  <c r="F201" i="1"/>
  <c r="G189" i="1"/>
  <c r="H189" i="1"/>
  <c r="I189" i="1"/>
  <c r="J189" i="1"/>
  <c r="J201" i="1"/>
  <c r="K189" i="1"/>
  <c r="K199" i="1"/>
  <c r="L189" i="1"/>
  <c r="M189" i="1"/>
  <c r="N189" i="1"/>
  <c r="E192" i="1"/>
  <c r="E193" i="1"/>
  <c r="K192" i="1"/>
  <c r="K193" i="1"/>
  <c r="K198" i="1"/>
  <c r="M192" i="1"/>
  <c r="M193" i="1"/>
  <c r="M199" i="1"/>
  <c r="C201" i="1"/>
  <c r="D201" i="1"/>
  <c r="E201" i="1"/>
  <c r="M201" i="1"/>
  <c r="K202" i="1"/>
  <c r="M202" i="1"/>
  <c r="C214" i="1"/>
  <c r="E214" i="1"/>
  <c r="K214" i="1"/>
  <c r="M214" i="1"/>
  <c r="D221" i="1"/>
  <c r="D81" i="1"/>
  <c r="E220" i="1"/>
  <c r="E80" i="1"/>
  <c r="F220" i="1"/>
  <c r="F80" i="1"/>
  <c r="F221" i="1"/>
  <c r="F81" i="1"/>
  <c r="H221" i="1"/>
  <c r="H81" i="1"/>
  <c r="J220" i="1"/>
  <c r="J80" i="1"/>
  <c r="J79" i="1"/>
  <c r="J221" i="1"/>
  <c r="J81" i="1"/>
  <c r="K220" i="1"/>
  <c r="K80" i="1"/>
  <c r="K79" i="1"/>
  <c r="K82" i="1"/>
  <c r="L220" i="1"/>
  <c r="L80" i="1"/>
  <c r="L221" i="1"/>
  <c r="L81" i="1"/>
  <c r="L79" i="1"/>
  <c r="M220" i="1"/>
  <c r="M219" i="1"/>
  <c r="M80" i="1"/>
  <c r="C221" i="1"/>
  <c r="E221" i="1"/>
  <c r="K221" i="1"/>
  <c r="K81" i="1"/>
  <c r="M221" i="1"/>
  <c r="M81" i="1"/>
  <c r="K227" i="1"/>
  <c r="M227" i="1"/>
  <c r="B230" i="1"/>
  <c r="C230" i="1"/>
  <c r="D230" i="1"/>
  <c r="E230" i="1"/>
  <c r="F230" i="1"/>
  <c r="G230" i="1"/>
  <c r="H230" i="1"/>
  <c r="I230" i="1"/>
  <c r="J230" i="1"/>
  <c r="K230" i="1"/>
  <c r="L230" i="1"/>
  <c r="M230" i="1"/>
  <c r="N230" i="1"/>
  <c r="M79" i="1"/>
  <c r="L219" i="1"/>
  <c r="J219" i="1"/>
  <c r="J44" i="1"/>
  <c r="F219" i="1"/>
  <c r="L201" i="1"/>
  <c r="L192" i="1"/>
  <c r="L199" i="1"/>
  <c r="L202" i="1"/>
  <c r="L214" i="1"/>
  <c r="J192" i="1"/>
  <c r="J199" i="1"/>
  <c r="J202" i="1"/>
  <c r="J214" i="1"/>
  <c r="H199" i="1"/>
  <c r="H202" i="1"/>
  <c r="H214" i="1"/>
  <c r="F192" i="1"/>
  <c r="F199" i="1"/>
  <c r="F202" i="1"/>
  <c r="F214" i="1"/>
  <c r="D192" i="1"/>
  <c r="D193" i="1"/>
  <c r="D199" i="1"/>
  <c r="D202" i="1"/>
  <c r="K219" i="1"/>
  <c r="J222" i="1"/>
  <c r="D227" i="1"/>
  <c r="F227" i="1"/>
  <c r="F193" i="1"/>
  <c r="F198" i="1"/>
  <c r="J227" i="1"/>
  <c r="J193" i="1"/>
  <c r="L193" i="1"/>
  <c r="L198" i="1"/>
  <c r="L227" i="1"/>
  <c r="L44" i="1"/>
  <c r="L222" i="1"/>
  <c r="K89" i="1"/>
  <c r="J198" i="1"/>
  <c r="J195" i="1"/>
  <c r="J234" i="1"/>
  <c r="J231" i="1"/>
  <c r="J203" i="1"/>
  <c r="D195" i="1"/>
  <c r="D198" i="1"/>
  <c r="F203" i="1"/>
  <c r="F204" i="1"/>
  <c r="D220" i="1"/>
  <c r="D219" i="1"/>
  <c r="E199" i="1"/>
  <c r="C192" i="1"/>
  <c r="C193" i="1"/>
  <c r="C199" i="1"/>
  <c r="E227" i="1"/>
  <c r="C220" i="1"/>
  <c r="C80" i="1"/>
  <c r="J82" i="1"/>
  <c r="J89" i="1"/>
  <c r="I192" i="1"/>
  <c r="I220" i="1"/>
  <c r="I214" i="1"/>
  <c r="I221" i="1"/>
  <c r="I81" i="1"/>
  <c r="I199" i="1"/>
  <c r="I202" i="1"/>
  <c r="I201" i="1"/>
  <c r="E198" i="1"/>
  <c r="E195" i="1"/>
  <c r="M44" i="1"/>
  <c r="M222" i="1"/>
  <c r="B221" i="1"/>
  <c r="B81" i="1"/>
  <c r="B192" i="1"/>
  <c r="B199" i="1"/>
  <c r="B201" i="1"/>
  <c r="B202" i="1"/>
  <c r="B214" i="1"/>
  <c r="B220" i="1"/>
  <c r="N220" i="1"/>
  <c r="N192" i="1"/>
  <c r="N199" i="1"/>
  <c r="N221" i="1"/>
  <c r="N81" i="1"/>
  <c r="N202" i="1"/>
  <c r="N214" i="1"/>
  <c r="N201" i="1"/>
  <c r="G220" i="1"/>
  <c r="G221" i="1"/>
  <c r="G81" i="1"/>
  <c r="G214" i="1"/>
  <c r="G202" i="1"/>
  <c r="G199" i="1"/>
  <c r="G201" i="1"/>
  <c r="G192" i="1"/>
  <c r="M82" i="1"/>
  <c r="M89" i="1"/>
  <c r="L195" i="1"/>
  <c r="L204" i="1"/>
  <c r="L205" i="1"/>
  <c r="L203" i="1"/>
  <c r="C219" i="1"/>
  <c r="C81" i="1"/>
  <c r="C79" i="1"/>
  <c r="D234" i="1"/>
  <c r="D231" i="1"/>
  <c r="J204" i="1"/>
  <c r="J205" i="1"/>
  <c r="J235" i="1"/>
  <c r="K44" i="1"/>
  <c r="K222" i="1"/>
  <c r="L82" i="1"/>
  <c r="L89" i="1"/>
  <c r="M198" i="1"/>
  <c r="F195" i="1"/>
  <c r="K195" i="1"/>
  <c r="J207" i="1"/>
  <c r="F44" i="1"/>
  <c r="F222" i="1"/>
  <c r="E81" i="1"/>
  <c r="E79" i="1"/>
  <c r="E219" i="1"/>
  <c r="F79" i="1"/>
  <c r="H192" i="1"/>
  <c r="H201" i="1"/>
  <c r="H220" i="1"/>
  <c r="K201" i="1"/>
  <c r="F205" i="1"/>
  <c r="C227" i="1"/>
  <c r="F235" i="1"/>
  <c r="F207" i="1"/>
  <c r="D80" i="1"/>
  <c r="D79" i="1"/>
  <c r="D82" i="1"/>
  <c r="D89" i="1"/>
  <c r="D203" i="1"/>
  <c r="D204" i="1"/>
  <c r="E82" i="1"/>
  <c r="E89" i="1"/>
  <c r="F234" i="1"/>
  <c r="F231" i="1"/>
  <c r="L234" i="1"/>
  <c r="L231" i="1"/>
  <c r="M203" i="1"/>
  <c r="C198" i="1"/>
  <c r="C195" i="1"/>
  <c r="B219" i="1"/>
  <c r="B80" i="1"/>
  <c r="B79" i="1"/>
  <c r="B227" i="1"/>
  <c r="B193" i="1"/>
  <c r="K234" i="1"/>
  <c r="K231" i="1"/>
  <c r="E231" i="1"/>
  <c r="E234" i="1"/>
  <c r="G227" i="1"/>
  <c r="G193" i="1"/>
  <c r="E203" i="1"/>
  <c r="E204" i="1"/>
  <c r="E205" i="1"/>
  <c r="K203" i="1"/>
  <c r="K204" i="1"/>
  <c r="M195" i="1"/>
  <c r="C82" i="1"/>
  <c r="C89" i="1"/>
  <c r="I80" i="1"/>
  <c r="I79" i="1"/>
  <c r="I219" i="1"/>
  <c r="G80" i="1"/>
  <c r="G79" i="1"/>
  <c r="G219" i="1"/>
  <c r="J208" i="1"/>
  <c r="C44" i="1"/>
  <c r="C222" i="1"/>
  <c r="I193" i="1"/>
  <c r="I227" i="1"/>
  <c r="E44" i="1"/>
  <c r="E222" i="1"/>
  <c r="H193" i="1"/>
  <c r="H227" i="1"/>
  <c r="N227" i="1"/>
  <c r="N193" i="1"/>
  <c r="F89" i="1"/>
  <c r="F82" i="1"/>
  <c r="H80" i="1"/>
  <c r="H79" i="1"/>
  <c r="H219" i="1"/>
  <c r="D44" i="1"/>
  <c r="D222" i="1"/>
  <c r="L235" i="1"/>
  <c r="L207" i="1"/>
  <c r="N80" i="1"/>
  <c r="N79" i="1"/>
  <c r="N219" i="1"/>
  <c r="D235" i="1"/>
  <c r="D207" i="1"/>
  <c r="D205" i="1"/>
  <c r="F208" i="1"/>
  <c r="F209" i="1"/>
  <c r="F213" i="1"/>
  <c r="K205" i="1"/>
  <c r="B44" i="1"/>
  <c r="B222" i="1"/>
  <c r="I82" i="1"/>
  <c r="I89" i="1"/>
  <c r="C234" i="1"/>
  <c r="C231" i="1"/>
  <c r="M207" i="1"/>
  <c r="M235" i="1"/>
  <c r="J212" i="1"/>
  <c r="J229" i="1"/>
  <c r="M231" i="1"/>
  <c r="M234" i="1"/>
  <c r="G198" i="1"/>
  <c r="C203" i="1"/>
  <c r="C204" i="1"/>
  <c r="N44" i="1"/>
  <c r="N222" i="1"/>
  <c r="H82" i="1"/>
  <c r="H89" i="1"/>
  <c r="I198" i="1"/>
  <c r="I195" i="1"/>
  <c r="J209" i="1"/>
  <c r="B198" i="1"/>
  <c r="B195" i="1"/>
  <c r="M204" i="1"/>
  <c r="M205" i="1"/>
  <c r="I44" i="1"/>
  <c r="I222" i="1"/>
  <c r="H195" i="1"/>
  <c r="H198" i="1"/>
  <c r="N82" i="1"/>
  <c r="N89" i="1"/>
  <c r="G44" i="1"/>
  <c r="G222" i="1"/>
  <c r="N198" i="1"/>
  <c r="E207" i="1"/>
  <c r="E235" i="1"/>
  <c r="H44" i="1"/>
  <c r="H222" i="1"/>
  <c r="L210" i="1"/>
  <c r="L208" i="1"/>
  <c r="L209" i="1"/>
  <c r="L213" i="1"/>
  <c r="G82" i="1"/>
  <c r="G89" i="1"/>
  <c r="K207" i="1"/>
  <c r="K235" i="1"/>
  <c r="B82" i="1"/>
  <c r="B89" i="1"/>
  <c r="F210" i="1"/>
  <c r="D208" i="1"/>
  <c r="D209" i="1"/>
  <c r="D213" i="1"/>
  <c r="F212" i="1"/>
  <c r="F225" i="1"/>
  <c r="F229" i="1"/>
  <c r="I234" i="1"/>
  <c r="I231" i="1"/>
  <c r="B234" i="1"/>
  <c r="B231" i="1"/>
  <c r="H234" i="1"/>
  <c r="H231" i="1"/>
  <c r="K208" i="1"/>
  <c r="K209" i="1"/>
  <c r="C207" i="1"/>
  <c r="C235" i="1"/>
  <c r="M208" i="1"/>
  <c r="M209" i="1"/>
  <c r="I204" i="1"/>
  <c r="I205" i="1"/>
  <c r="I203" i="1"/>
  <c r="C205" i="1"/>
  <c r="N203" i="1"/>
  <c r="N195" i="1"/>
  <c r="G203" i="1"/>
  <c r="E208" i="1"/>
  <c r="E209" i="1"/>
  <c r="E213" i="1"/>
  <c r="B203" i="1"/>
  <c r="B204" i="1"/>
  <c r="L212" i="1"/>
  <c r="L225" i="1"/>
  <c r="L229" i="1"/>
  <c r="H203" i="1"/>
  <c r="H205" i="1"/>
  <c r="H204" i="1"/>
  <c r="J213" i="1"/>
  <c r="J215" i="1"/>
  <c r="J210" i="1"/>
  <c r="G195" i="1"/>
  <c r="B205" i="1"/>
  <c r="D212" i="1"/>
  <c r="D215" i="1"/>
  <c r="D225" i="1"/>
  <c r="D210" i="1"/>
  <c r="F215" i="1"/>
  <c r="F224" i="1"/>
  <c r="K213" i="1"/>
  <c r="K210" i="1"/>
  <c r="M213" i="1"/>
  <c r="M210" i="1"/>
  <c r="J224" i="1"/>
  <c r="B235" i="1"/>
  <c r="B207" i="1"/>
  <c r="N234" i="1"/>
  <c r="N231" i="1"/>
  <c r="I235" i="1"/>
  <c r="I207" i="1"/>
  <c r="J225" i="1"/>
  <c r="C208" i="1"/>
  <c r="G235" i="1"/>
  <c r="G207" i="1"/>
  <c r="L215" i="1"/>
  <c r="L224" i="1"/>
  <c r="N235" i="1"/>
  <c r="N207" i="1"/>
  <c r="E212" i="1"/>
  <c r="E225" i="1"/>
  <c r="G234" i="1"/>
  <c r="G231" i="1"/>
  <c r="G204" i="1"/>
  <c r="G205" i="1"/>
  <c r="H207" i="1"/>
  <c r="H235" i="1"/>
  <c r="E210" i="1"/>
  <c r="N204" i="1"/>
  <c r="M212" i="1"/>
  <c r="M229" i="1"/>
  <c r="M225" i="1"/>
  <c r="K212" i="1"/>
  <c r="K225" i="1"/>
  <c r="K229" i="1"/>
  <c r="F232" i="1"/>
  <c r="F233" i="1"/>
  <c r="F228" i="1"/>
  <c r="F226" i="1"/>
  <c r="F236" i="1"/>
  <c r="E215" i="1"/>
  <c r="D229" i="1"/>
  <c r="D224" i="1"/>
  <c r="N208" i="1"/>
  <c r="N210" i="1"/>
  <c r="N209" i="1"/>
  <c r="N213" i="1"/>
  <c r="L226" i="1"/>
  <c r="L236" i="1"/>
  <c r="L228" i="1"/>
  <c r="L232" i="1"/>
  <c r="L233" i="1"/>
  <c r="B208" i="1"/>
  <c r="B209" i="1"/>
  <c r="M215" i="1"/>
  <c r="M224" i="1"/>
  <c r="E224" i="1"/>
  <c r="N205" i="1"/>
  <c r="J233" i="1"/>
  <c r="J226" i="1"/>
  <c r="J228" i="1"/>
  <c r="J232" i="1"/>
  <c r="J237" i="1"/>
  <c r="I208" i="1"/>
  <c r="I209" i="1"/>
  <c r="I213" i="1"/>
  <c r="C229" i="1"/>
  <c r="C212" i="1"/>
  <c r="G208" i="1"/>
  <c r="H209" i="1"/>
  <c r="H213" i="1"/>
  <c r="H210" i="1"/>
  <c r="H208" i="1"/>
  <c r="E229" i="1"/>
  <c r="C209" i="1"/>
  <c r="K215" i="1"/>
  <c r="K224" i="1"/>
  <c r="D226" i="1"/>
  <c r="D233" i="1"/>
  <c r="D228" i="1"/>
  <c r="D232" i="1"/>
  <c r="D237" i="1"/>
  <c r="F237" i="1"/>
  <c r="F238" i="1"/>
  <c r="B213" i="1"/>
  <c r="B210" i="1"/>
  <c r="M226" i="1"/>
  <c r="M228" i="1"/>
  <c r="M232" i="1"/>
  <c r="M233" i="1"/>
  <c r="K232" i="1"/>
  <c r="K233" i="1"/>
  <c r="K226" i="1"/>
  <c r="K236" i="1"/>
  <c r="K228" i="1"/>
  <c r="I212" i="1"/>
  <c r="I225" i="1"/>
  <c r="E228" i="1"/>
  <c r="E232" i="1"/>
  <c r="E233" i="1"/>
  <c r="E226" i="1"/>
  <c r="E236" i="1"/>
  <c r="H229" i="1"/>
  <c r="H212" i="1"/>
  <c r="H225" i="1"/>
  <c r="G212" i="1"/>
  <c r="G225" i="1"/>
  <c r="B212" i="1"/>
  <c r="B229" i="1"/>
  <c r="H224" i="1"/>
  <c r="H215" i="1"/>
  <c r="N229" i="1"/>
  <c r="N212" i="1"/>
  <c r="N225" i="1"/>
  <c r="J236" i="1"/>
  <c r="J238" i="1"/>
  <c r="C213" i="1"/>
  <c r="C215" i="1"/>
  <c r="C210" i="1"/>
  <c r="C224" i="1"/>
  <c r="I210" i="1"/>
  <c r="L237" i="1"/>
  <c r="G209" i="1"/>
  <c r="G213" i="1"/>
  <c r="L238" i="1"/>
  <c r="F61" i="1"/>
  <c r="F88" i="1"/>
  <c r="F62" i="1"/>
  <c r="F74" i="1"/>
  <c r="F99" i="1"/>
  <c r="F52" i="1"/>
  <c r="F59" i="1"/>
  <c r="F131" i="1"/>
  <c r="F55" i="1"/>
  <c r="F60" i="1"/>
  <c r="F42" i="1"/>
  <c r="B225" i="1"/>
  <c r="G229" i="1"/>
  <c r="G215" i="1"/>
  <c r="D236" i="1"/>
  <c r="D238" i="1"/>
  <c r="I229" i="1"/>
  <c r="K237" i="1"/>
  <c r="K238" i="1"/>
  <c r="C226" i="1"/>
  <c r="C228" i="1"/>
  <c r="C232" i="1"/>
  <c r="C233" i="1"/>
  <c r="M237" i="1"/>
  <c r="C225" i="1"/>
  <c r="M236" i="1"/>
  <c r="M238" i="1"/>
  <c r="N215" i="1"/>
  <c r="N224" i="1"/>
  <c r="G210" i="1"/>
  <c r="G224" i="1"/>
  <c r="E237" i="1"/>
  <c r="E238" i="1"/>
  <c r="L60" i="1"/>
  <c r="L61" i="1"/>
  <c r="L62" i="1"/>
  <c r="L74" i="1"/>
  <c r="L99" i="1"/>
  <c r="L52" i="1"/>
  <c r="L55" i="1"/>
  <c r="L59" i="1"/>
  <c r="L131" i="1"/>
  <c r="I215" i="1"/>
  <c r="I224" i="1"/>
  <c r="H226" i="1"/>
  <c r="H236" i="1"/>
  <c r="H238" i="1"/>
  <c r="H232" i="1"/>
  <c r="H237" i="1"/>
  <c r="H233" i="1"/>
  <c r="H228" i="1"/>
  <c r="J52" i="1"/>
  <c r="J55" i="1"/>
  <c r="J59" i="1"/>
  <c r="J131" i="1"/>
  <c r="J60" i="1"/>
  <c r="J61" i="1"/>
  <c r="J74" i="1"/>
  <c r="J99" i="1"/>
  <c r="J62" i="1"/>
  <c r="B215" i="1"/>
  <c r="B224" i="1"/>
  <c r="F114" i="1"/>
  <c r="F117" i="1"/>
  <c r="F141" i="1" s="1"/>
  <c r="F148" i="1" s="1"/>
  <c r="F149" i="1" s="1"/>
  <c r="F155" i="1" s="1"/>
  <c r="F156" i="1" s="1"/>
  <c r="F162" i="1" s="1"/>
  <c r="F163" i="1" s="1"/>
  <c r="F169" i="1" s="1"/>
  <c r="F170" i="1" s="1"/>
  <c r="F176" i="1" s="1"/>
  <c r="F177" i="1" s="1"/>
  <c r="F183" i="1" s="1"/>
  <c r="C236" i="1"/>
  <c r="D62" i="1"/>
  <c r="D74" i="1"/>
  <c r="D99" i="1"/>
  <c r="D52" i="1"/>
  <c r="D60" i="1"/>
  <c r="D61" i="1"/>
  <c r="D88" i="1"/>
  <c r="D59" i="1"/>
  <c r="D131" i="1"/>
  <c r="D55" i="1"/>
  <c r="F53" i="1"/>
  <c r="F58" i="1"/>
  <c r="F92" i="1"/>
  <c r="F94" i="1"/>
  <c r="F106" i="1"/>
  <c r="F93" i="1"/>
  <c r="F111" i="1"/>
  <c r="K59" i="1"/>
  <c r="K131" i="1"/>
  <c r="K61" i="1"/>
  <c r="K60" i="1"/>
  <c r="K62" i="1"/>
  <c r="K55" i="1"/>
  <c r="K52" i="1"/>
  <c r="K74" i="1"/>
  <c r="K99" i="1"/>
  <c r="I226" i="1"/>
  <c r="I236" i="1"/>
  <c r="I228" i="1"/>
  <c r="I232" i="1"/>
  <c r="I233" i="1"/>
  <c r="E59" i="1"/>
  <c r="E131" i="1"/>
  <c r="E61" i="1"/>
  <c r="E60" i="1"/>
  <c r="E62" i="1"/>
  <c r="E55" i="1"/>
  <c r="E52" i="1"/>
  <c r="E74" i="1"/>
  <c r="E99" i="1"/>
  <c r="B226" i="1"/>
  <c r="B228" i="1"/>
  <c r="B232" i="1"/>
  <c r="B233" i="1"/>
  <c r="L106" i="1"/>
  <c r="L111" i="1"/>
  <c r="L53" i="1"/>
  <c r="L58" i="1"/>
  <c r="L93" i="1"/>
  <c r="L92" i="1"/>
  <c r="L94" i="1"/>
  <c r="C237" i="1"/>
  <c r="M61" i="1"/>
  <c r="M60" i="1"/>
  <c r="M62" i="1"/>
  <c r="M74" i="1"/>
  <c r="M99" i="1"/>
  <c r="M52" i="1"/>
  <c r="M55" i="1"/>
  <c r="M59" i="1"/>
  <c r="M131" i="1"/>
  <c r="L114" i="1"/>
  <c r="G226" i="1"/>
  <c r="G228" i="1"/>
  <c r="G232" i="1"/>
  <c r="G233" i="1"/>
  <c r="J114" i="1"/>
  <c r="J58" i="1"/>
  <c r="J106" i="1"/>
  <c r="J111" i="1"/>
  <c r="J53" i="1"/>
  <c r="J94" i="1"/>
  <c r="J92" i="1"/>
  <c r="J93" i="1"/>
  <c r="N233" i="1"/>
  <c r="N226" i="1"/>
  <c r="N236" i="1"/>
  <c r="N232" i="1"/>
  <c r="N228" i="1"/>
  <c r="J88" i="1"/>
  <c r="J42" i="1"/>
  <c r="L42" i="1"/>
  <c r="H60" i="1"/>
  <c r="H61" i="1"/>
  <c r="H62" i="1"/>
  <c r="H74" i="1"/>
  <c r="H99" i="1"/>
  <c r="H52" i="1"/>
  <c r="H59" i="1"/>
  <c r="H131" i="1"/>
  <c r="H55" i="1"/>
  <c r="C238" i="1"/>
  <c r="L88" i="1"/>
  <c r="F63" i="1"/>
  <c r="D114" i="1"/>
  <c r="D117" i="1"/>
  <c r="D141" i="1" s="1"/>
  <c r="D148" i="1" s="1"/>
  <c r="D149" i="1" s="1"/>
  <c r="D155" i="1" s="1"/>
  <c r="D156" i="1" s="1"/>
  <c r="D162" i="1" s="1"/>
  <c r="D163" i="1" s="1"/>
  <c r="D169" i="1" s="1"/>
  <c r="D170" i="1" s="1"/>
  <c r="D176" i="1" s="1"/>
  <c r="D177" i="1" s="1"/>
  <c r="D183" i="1" s="1"/>
  <c r="D58" i="1"/>
  <c r="D63" i="1"/>
  <c r="D42" i="1"/>
  <c r="G236" i="1"/>
  <c r="D53" i="1"/>
  <c r="D106" i="1"/>
  <c r="D93" i="1"/>
  <c r="D92" i="1"/>
  <c r="D111" i="1"/>
  <c r="D94" i="1"/>
  <c r="L63" i="1"/>
  <c r="L64" i="1"/>
  <c r="J117" i="1"/>
  <c r="J141" i="1"/>
  <c r="J148" i="1"/>
  <c r="J149" i="1"/>
  <c r="J155" i="1"/>
  <c r="J156" i="1"/>
  <c r="J162" i="1"/>
  <c r="J163" i="1"/>
  <c r="J169" i="1"/>
  <c r="J170" i="1"/>
  <c r="J176" i="1"/>
  <c r="J177" i="1"/>
  <c r="J183" i="1"/>
  <c r="G237" i="1"/>
  <c r="G238" i="1"/>
  <c r="E92" i="1"/>
  <c r="E93" i="1"/>
  <c r="E53" i="1"/>
  <c r="E58" i="1"/>
  <c r="E94" i="1"/>
  <c r="E111" i="1"/>
  <c r="E106" i="1"/>
  <c r="I237" i="1"/>
  <c r="L117" i="1"/>
  <c r="L141" i="1"/>
  <c r="L148" i="1"/>
  <c r="L149" i="1"/>
  <c r="L155" i="1"/>
  <c r="L156" i="1"/>
  <c r="L162" i="1"/>
  <c r="L163" i="1"/>
  <c r="L169" i="1"/>
  <c r="L170" i="1"/>
  <c r="L176" i="1"/>
  <c r="L177" i="1"/>
  <c r="L183" i="1"/>
  <c r="B237" i="1"/>
  <c r="E114" i="1"/>
  <c r="H92" i="1"/>
  <c r="H94" i="1"/>
  <c r="H93" i="1"/>
  <c r="H106" i="1"/>
  <c r="H111" i="1"/>
  <c r="H53" i="1"/>
  <c r="J63" i="1"/>
  <c r="J64" i="1"/>
  <c r="B236" i="1"/>
  <c r="K88" i="1"/>
  <c r="H114" i="1"/>
  <c r="K42" i="1"/>
  <c r="C60" i="1"/>
  <c r="C62" i="1"/>
  <c r="C74" i="1"/>
  <c r="C99" i="1"/>
  <c r="C52" i="1"/>
  <c r="C55" i="1"/>
  <c r="C59" i="1"/>
  <c r="C131" i="1"/>
  <c r="C61" i="1"/>
  <c r="M114" i="1"/>
  <c r="M88" i="1"/>
  <c r="E42" i="1"/>
  <c r="K93" i="1"/>
  <c r="K53" i="1"/>
  <c r="K58" i="1"/>
  <c r="K92" i="1"/>
  <c r="K94" i="1"/>
  <c r="K111" i="1"/>
  <c r="K106" i="1"/>
  <c r="H88" i="1"/>
  <c r="M93" i="1"/>
  <c r="M92" i="1"/>
  <c r="M53" i="1"/>
  <c r="M94" i="1"/>
  <c r="M111" i="1"/>
  <c r="M106" i="1"/>
  <c r="H42" i="1"/>
  <c r="M42" i="1"/>
  <c r="I238" i="1"/>
  <c r="N237" i="1"/>
  <c r="N238" i="1"/>
  <c r="E88" i="1"/>
  <c r="K114" i="1"/>
  <c r="D67" i="1"/>
  <c r="D48" i="1"/>
  <c r="D43" i="1"/>
  <c r="D46" i="1"/>
  <c r="F48" i="1"/>
  <c r="F43" i="1"/>
  <c r="F46" i="1"/>
  <c r="F67" i="1"/>
  <c r="F87" i="1"/>
  <c r="F91" i="1"/>
  <c r="F85" i="1"/>
  <c r="D64" i="1"/>
  <c r="D68" i="1"/>
  <c r="D65" i="1"/>
  <c r="F65" i="1"/>
  <c r="B238" i="1"/>
  <c r="B60" i="1"/>
  <c r="F64" i="1"/>
  <c r="F68" i="1"/>
  <c r="K64" i="1"/>
  <c r="K65" i="1"/>
  <c r="K63" i="1"/>
  <c r="G55" i="1"/>
  <c r="G59" i="1"/>
  <c r="G131" i="1"/>
  <c r="G61" i="1"/>
  <c r="G60" i="1"/>
  <c r="G52" i="1"/>
  <c r="G62" i="1"/>
  <c r="G74" i="1"/>
  <c r="G99" i="1"/>
  <c r="N52" i="1"/>
  <c r="N55" i="1"/>
  <c r="N59" i="1"/>
  <c r="N131" i="1"/>
  <c r="N62" i="1"/>
  <c r="N60" i="1"/>
  <c r="N74" i="1"/>
  <c r="N99" i="1"/>
  <c r="N61" i="1"/>
  <c r="C88" i="1"/>
  <c r="H117" i="1"/>
  <c r="H141" i="1" s="1"/>
  <c r="H148" i="1" s="1"/>
  <c r="H149" i="1" s="1"/>
  <c r="H155" i="1" s="1"/>
  <c r="H156" i="1" s="1"/>
  <c r="H162" i="1" s="1"/>
  <c r="H163" i="1" s="1"/>
  <c r="H169" i="1" s="1"/>
  <c r="H170" i="1" s="1"/>
  <c r="H176" i="1" s="1"/>
  <c r="H177" i="1" s="1"/>
  <c r="H183" i="1" s="1"/>
  <c r="L124" i="1"/>
  <c r="L184" i="1"/>
  <c r="L125" i="1"/>
  <c r="C42" i="1"/>
  <c r="M117" i="1"/>
  <c r="M141" i="1"/>
  <c r="M148" i="1"/>
  <c r="M149" i="1"/>
  <c r="M155" i="1"/>
  <c r="M156" i="1"/>
  <c r="M162" i="1"/>
  <c r="M163" i="1"/>
  <c r="M169" i="1"/>
  <c r="M170" i="1"/>
  <c r="M176" i="1"/>
  <c r="M177" i="1"/>
  <c r="M183" i="1"/>
  <c r="M58" i="1"/>
  <c r="L65" i="1"/>
  <c r="K117" i="1"/>
  <c r="K141" i="1"/>
  <c r="K148" i="1"/>
  <c r="K149" i="1"/>
  <c r="K155" i="1"/>
  <c r="K156" i="1"/>
  <c r="K162" i="1"/>
  <c r="K163" i="1"/>
  <c r="K169" i="1"/>
  <c r="K170" i="1"/>
  <c r="K176" i="1"/>
  <c r="K177" i="1"/>
  <c r="K183" i="1"/>
  <c r="C114" i="1"/>
  <c r="C58" i="1"/>
  <c r="C63" i="1"/>
  <c r="J65" i="1"/>
  <c r="C92" i="1"/>
  <c r="C94" i="1"/>
  <c r="C111" i="1"/>
  <c r="C106" i="1"/>
  <c r="C53" i="1"/>
  <c r="C93" i="1"/>
  <c r="E63" i="1"/>
  <c r="L67" i="1"/>
  <c r="L86" i="1"/>
  <c r="J67" i="1"/>
  <c r="J86" i="1"/>
  <c r="J85" i="1"/>
  <c r="E117" i="1"/>
  <c r="E141" i="1" s="1"/>
  <c r="E148" i="1" s="1"/>
  <c r="E149" i="1" s="1"/>
  <c r="E155" i="1" s="1"/>
  <c r="E156" i="1" s="1"/>
  <c r="E162" i="1" s="1"/>
  <c r="E163" i="1" s="1"/>
  <c r="E169" i="1" s="1"/>
  <c r="E170" i="1" s="1"/>
  <c r="E176" i="1" s="1"/>
  <c r="E177" i="1" s="1"/>
  <c r="E183" i="1" s="1"/>
  <c r="I61" i="1"/>
  <c r="I60" i="1"/>
  <c r="I62" i="1"/>
  <c r="I74" i="1"/>
  <c r="I99" i="1"/>
  <c r="I52" i="1"/>
  <c r="I55" i="1"/>
  <c r="I59" i="1"/>
  <c r="I131" i="1"/>
  <c r="H58" i="1"/>
  <c r="J124" i="1"/>
  <c r="J184" i="1"/>
  <c r="J125" i="1"/>
  <c r="B55" i="1"/>
  <c r="B94" i="1"/>
  <c r="B52" i="1"/>
  <c r="B74" i="1"/>
  <c r="B99" i="1"/>
  <c r="D86" i="1"/>
  <c r="D69" i="1"/>
  <c r="B62" i="1"/>
  <c r="D91" i="1"/>
  <c r="B61" i="1"/>
  <c r="B88" i="1"/>
  <c r="D87" i="1"/>
  <c r="B59" i="1"/>
  <c r="B131" i="1"/>
  <c r="F86" i="1"/>
  <c r="F69" i="1"/>
  <c r="F70" i="1"/>
  <c r="D85" i="1"/>
  <c r="C67" i="1"/>
  <c r="C87" i="1"/>
  <c r="C91" i="1"/>
  <c r="G88" i="1"/>
  <c r="J91" i="1"/>
  <c r="E64" i="1"/>
  <c r="E65" i="1"/>
  <c r="M63" i="1"/>
  <c r="M124" i="1"/>
  <c r="M184" i="1"/>
  <c r="M125" i="1"/>
  <c r="N53" i="1"/>
  <c r="N58" i="1"/>
  <c r="N92" i="1"/>
  <c r="N93" i="1"/>
  <c r="N94" i="1"/>
  <c r="N106" i="1"/>
  <c r="N111" i="1"/>
  <c r="K124" i="1"/>
  <c r="K184" i="1"/>
  <c r="K125" i="1"/>
  <c r="L68" i="1"/>
  <c r="K68" i="1"/>
  <c r="C117" i="1"/>
  <c r="C141" i="1" s="1"/>
  <c r="C148" i="1" s="1"/>
  <c r="C149" i="1" s="1"/>
  <c r="C155" i="1" s="1"/>
  <c r="C156" i="1" s="1"/>
  <c r="C162" i="1" s="1"/>
  <c r="C163" i="1" s="1"/>
  <c r="C169" i="1" s="1"/>
  <c r="C170" i="1" s="1"/>
  <c r="C176" i="1" s="1"/>
  <c r="C177" i="1" s="1"/>
  <c r="C183" i="1" s="1"/>
  <c r="I88" i="1"/>
  <c r="L91" i="1"/>
  <c r="L48" i="1"/>
  <c r="G111" i="1"/>
  <c r="G106" i="1"/>
  <c r="G93" i="1"/>
  <c r="G53" i="1"/>
  <c r="G92" i="1"/>
  <c r="G94" i="1"/>
  <c r="H63" i="1"/>
  <c r="H64" i="1"/>
  <c r="L69" i="1"/>
  <c r="L70" i="1"/>
  <c r="N88" i="1"/>
  <c r="I42" i="1"/>
  <c r="L43" i="1"/>
  <c r="L46" i="1"/>
  <c r="J43" i="1"/>
  <c r="J46" i="1"/>
  <c r="C64" i="1"/>
  <c r="C65" i="1"/>
  <c r="N42" i="1"/>
  <c r="I114" i="1"/>
  <c r="I58" i="1"/>
  <c r="E67" i="1"/>
  <c r="E87" i="1"/>
  <c r="G114" i="1"/>
  <c r="G58" i="1"/>
  <c r="J68" i="1"/>
  <c r="I111" i="1"/>
  <c r="I53" i="1"/>
  <c r="I106" i="1"/>
  <c r="I92" i="1"/>
  <c r="I93" i="1"/>
  <c r="I94" i="1"/>
  <c r="J87" i="1"/>
  <c r="L87" i="1"/>
  <c r="B42" i="1"/>
  <c r="J48" i="1"/>
  <c r="L85" i="1"/>
  <c r="B93" i="1"/>
  <c r="B111" i="1"/>
  <c r="B106" i="1"/>
  <c r="B92" i="1"/>
  <c r="B53" i="1"/>
  <c r="N114" i="1"/>
  <c r="G42" i="1"/>
  <c r="K67" i="1"/>
  <c r="K86" i="1"/>
  <c r="K48" i="1"/>
  <c r="K87" i="1"/>
  <c r="K91" i="1"/>
  <c r="K85" i="1"/>
  <c r="B114" i="1"/>
  <c r="B117" i="1"/>
  <c r="B141" i="1" s="1"/>
  <c r="B148" i="1" s="1"/>
  <c r="B149" i="1" s="1"/>
  <c r="B155" i="1" s="1"/>
  <c r="B156" i="1" s="1"/>
  <c r="B162" i="1" s="1"/>
  <c r="B163" i="1" s="1"/>
  <c r="B169" i="1" s="1"/>
  <c r="B170" i="1" s="1"/>
  <c r="B176" i="1" s="1"/>
  <c r="B177" i="1" s="1"/>
  <c r="B183" i="1" s="1"/>
  <c r="E48" i="1"/>
  <c r="B58" i="1"/>
  <c r="C48" i="1"/>
  <c r="C86" i="1"/>
  <c r="D72" i="1"/>
  <c r="D73" i="1"/>
  <c r="D75" i="1"/>
  <c r="D70" i="1"/>
  <c r="D83" i="1"/>
  <c r="C85" i="1"/>
  <c r="F72" i="1"/>
  <c r="F73" i="1"/>
  <c r="F75" i="1"/>
  <c r="F83" i="1"/>
  <c r="N63" i="1"/>
  <c r="I64" i="1"/>
  <c r="I65" i="1"/>
  <c r="E43" i="1"/>
  <c r="E46" i="1"/>
  <c r="C68" i="1"/>
  <c r="I63" i="1"/>
  <c r="I117" i="1"/>
  <c r="I141" i="1"/>
  <c r="I148" i="1" s="1"/>
  <c r="I149" i="1" s="1"/>
  <c r="I155" i="1" s="1"/>
  <c r="I156" i="1" s="1"/>
  <c r="I162" i="1" s="1"/>
  <c r="I163" i="1" s="1"/>
  <c r="I169" i="1" s="1"/>
  <c r="I170" i="1" s="1"/>
  <c r="I176" i="1" s="1"/>
  <c r="I177" i="1" s="1"/>
  <c r="I183" i="1" s="1"/>
  <c r="M67" i="1"/>
  <c r="M86" i="1"/>
  <c r="M87" i="1"/>
  <c r="E68" i="1"/>
  <c r="B63" i="1"/>
  <c r="E69" i="1"/>
  <c r="H67" i="1"/>
  <c r="H85" i="1"/>
  <c r="H48" i="1"/>
  <c r="H91" i="1"/>
  <c r="E91" i="1"/>
  <c r="K69" i="1"/>
  <c r="K70" i="1"/>
  <c r="N117" i="1"/>
  <c r="N141" i="1"/>
  <c r="N148" i="1"/>
  <c r="N149" i="1"/>
  <c r="N155" i="1"/>
  <c r="N156" i="1"/>
  <c r="N162" i="1"/>
  <c r="N163" i="1"/>
  <c r="N169" i="1"/>
  <c r="N170" i="1"/>
  <c r="N176" i="1"/>
  <c r="N177" i="1"/>
  <c r="N183" i="1"/>
  <c r="E85" i="1"/>
  <c r="K43" i="1"/>
  <c r="K46" i="1"/>
  <c r="J69" i="1"/>
  <c r="G63" i="1"/>
  <c r="C43" i="1"/>
  <c r="C46" i="1"/>
  <c r="H65" i="1"/>
  <c r="G117" i="1"/>
  <c r="G141" i="1" s="1"/>
  <c r="G148" i="1" s="1"/>
  <c r="G149" i="1" s="1"/>
  <c r="G155" i="1" s="1"/>
  <c r="G156" i="1" s="1"/>
  <c r="G162" i="1" s="1"/>
  <c r="G163" i="1" s="1"/>
  <c r="G169" i="1" s="1"/>
  <c r="G170" i="1" s="1"/>
  <c r="G176" i="1" s="1"/>
  <c r="G177" i="1" s="1"/>
  <c r="G183" i="1" s="1"/>
  <c r="E86" i="1"/>
  <c r="J70" i="1"/>
  <c r="L72" i="1"/>
  <c r="L84" i="1"/>
  <c r="L73" i="1"/>
  <c r="M64" i="1"/>
  <c r="D98" i="1"/>
  <c r="D97" i="1"/>
  <c r="D84" i="1"/>
  <c r="D96" i="1"/>
  <c r="D95" i="1"/>
  <c r="D100" i="1"/>
  <c r="D115" i="1" s="1"/>
  <c r="D139" i="1" s="1"/>
  <c r="D144" i="1" s="1"/>
  <c r="D145" i="1" s="1"/>
  <c r="D151" i="1" s="1"/>
  <c r="D152" i="1" s="1"/>
  <c r="D158" i="1" s="1"/>
  <c r="D159" i="1" s="1"/>
  <c r="D165" i="1" s="1"/>
  <c r="D166" i="1" s="1"/>
  <c r="D172" i="1" s="1"/>
  <c r="D173" i="1" s="1"/>
  <c r="D179" i="1" s="1"/>
  <c r="F98" i="1"/>
  <c r="F84" i="1"/>
  <c r="F96" i="1"/>
  <c r="F97" i="1"/>
  <c r="F95" i="1"/>
  <c r="E72" i="1"/>
  <c r="E98" i="1"/>
  <c r="E73" i="1"/>
  <c r="E70" i="1"/>
  <c r="J72" i="1"/>
  <c r="J73" i="1"/>
  <c r="J75" i="1"/>
  <c r="J83" i="1"/>
  <c r="I68" i="1"/>
  <c r="H69" i="1"/>
  <c r="H70" i="1"/>
  <c r="N67" i="1"/>
  <c r="N87" i="1"/>
  <c r="N85" i="1"/>
  <c r="N91" i="1"/>
  <c r="D109" i="1"/>
  <c r="M68" i="1"/>
  <c r="M70" i="1"/>
  <c r="C69" i="1"/>
  <c r="C70" i="1"/>
  <c r="K72" i="1"/>
  <c r="K73" i="1"/>
  <c r="K75" i="1"/>
  <c r="K83" i="1"/>
  <c r="L97" i="1"/>
  <c r="M91" i="1"/>
  <c r="L98" i="1"/>
  <c r="H87" i="1"/>
  <c r="M85" i="1"/>
  <c r="L95" i="1"/>
  <c r="M65" i="1"/>
  <c r="H86" i="1"/>
  <c r="B67" i="1"/>
  <c r="B48" i="1"/>
  <c r="B85" i="1"/>
  <c r="I43" i="1"/>
  <c r="I46" i="1"/>
  <c r="I48" i="1"/>
  <c r="I91" i="1"/>
  <c r="I86" i="1"/>
  <c r="I67" i="1"/>
  <c r="I87" i="1"/>
  <c r="I85" i="1"/>
  <c r="H68" i="1"/>
  <c r="N64" i="1"/>
  <c r="N124" i="1"/>
  <c r="N184" i="1"/>
  <c r="N125" i="1"/>
  <c r="M69" i="1"/>
  <c r="M43" i="1"/>
  <c r="M46" i="1"/>
  <c r="L96" i="1"/>
  <c r="L75" i="1"/>
  <c r="L83" i="1"/>
  <c r="G67" i="1"/>
  <c r="G91" i="1"/>
  <c r="G48" i="1"/>
  <c r="G85" i="1"/>
  <c r="G86" i="1"/>
  <c r="H43" i="1"/>
  <c r="H46" i="1"/>
  <c r="B64" i="1"/>
  <c r="G64" i="1"/>
  <c r="M48" i="1"/>
  <c r="F110" i="1"/>
  <c r="F105" i="1"/>
  <c r="F116" i="1"/>
  <c r="F140" i="1" s="1"/>
  <c r="F146" i="1" s="1"/>
  <c r="F147" i="1" s="1"/>
  <c r="F153" i="1" s="1"/>
  <c r="F154" i="1" s="1"/>
  <c r="F160" i="1" s="1"/>
  <c r="F161" i="1" s="1"/>
  <c r="F167" i="1" s="1"/>
  <c r="F168" i="1" s="1"/>
  <c r="F174" i="1" s="1"/>
  <c r="F175" i="1" s="1"/>
  <c r="F181" i="1" s="1"/>
  <c r="G87" i="1"/>
  <c r="F100" i="1"/>
  <c r="F104" i="1" s="1"/>
  <c r="D116" i="1"/>
  <c r="D140" i="1" s="1"/>
  <c r="D146" i="1" s="1"/>
  <c r="D147" i="1" s="1"/>
  <c r="D153" i="1" s="1"/>
  <c r="D154" i="1" s="1"/>
  <c r="D160" i="1" s="1"/>
  <c r="D161" i="1" s="1"/>
  <c r="D167" i="1" s="1"/>
  <c r="D168" i="1" s="1"/>
  <c r="D174" i="1" s="1"/>
  <c r="D175" i="1" s="1"/>
  <c r="D181" i="1" s="1"/>
  <c r="D105" i="1"/>
  <c r="D110" i="1"/>
  <c r="N68" i="1"/>
  <c r="E96" i="1"/>
  <c r="M96" i="1"/>
  <c r="N48" i="1"/>
  <c r="E84" i="1"/>
  <c r="M72" i="1"/>
  <c r="M95" i="1"/>
  <c r="M100" i="1"/>
  <c r="M73" i="1"/>
  <c r="J97" i="1"/>
  <c r="J96" i="1"/>
  <c r="J84" i="1"/>
  <c r="J98" i="1"/>
  <c r="J95" i="1"/>
  <c r="B91" i="1"/>
  <c r="K96" i="1"/>
  <c r="K97" i="1"/>
  <c r="K84" i="1"/>
  <c r="K98" i="1"/>
  <c r="K95" i="1"/>
  <c r="M98" i="1"/>
  <c r="H72" i="1"/>
  <c r="H95" i="1"/>
  <c r="H73" i="1"/>
  <c r="H75" i="1"/>
  <c r="H83" i="1"/>
  <c r="G68" i="1"/>
  <c r="B87" i="1"/>
  <c r="N69" i="1"/>
  <c r="B68" i="1"/>
  <c r="B65" i="1"/>
  <c r="L110" i="1"/>
  <c r="L116" i="1"/>
  <c r="L140" i="1" s="1"/>
  <c r="L146" i="1" s="1"/>
  <c r="L147" i="1" s="1"/>
  <c r="L153" i="1" s="1"/>
  <c r="L154" i="1" s="1"/>
  <c r="L160" i="1" s="1"/>
  <c r="L161" i="1" s="1"/>
  <c r="L167" i="1" s="1"/>
  <c r="L168" i="1" s="1"/>
  <c r="L174" i="1" s="1"/>
  <c r="L175" i="1" s="1"/>
  <c r="L181" i="1" s="1"/>
  <c r="L105" i="1"/>
  <c r="G43" i="1"/>
  <c r="G46" i="1"/>
  <c r="N65" i="1"/>
  <c r="N86" i="1"/>
  <c r="G65" i="1"/>
  <c r="B69" i="1"/>
  <c r="B70" i="1"/>
  <c r="E97" i="1"/>
  <c r="B43" i="1"/>
  <c r="B46" i="1"/>
  <c r="E95" i="1"/>
  <c r="L100" i="1"/>
  <c r="L115" i="1"/>
  <c r="L139" i="1"/>
  <c r="L144" i="1"/>
  <c r="L145" i="1"/>
  <c r="L151" i="1"/>
  <c r="L152" i="1"/>
  <c r="L158" i="1"/>
  <c r="L159" i="1"/>
  <c r="L165" i="1"/>
  <c r="L166" i="1"/>
  <c r="L172" i="1"/>
  <c r="L173" i="1"/>
  <c r="L179" i="1"/>
  <c r="H84" i="1"/>
  <c r="I69" i="1"/>
  <c r="I70" i="1"/>
  <c r="B86" i="1"/>
  <c r="C72" i="1"/>
  <c r="C73" i="1"/>
  <c r="N43" i="1"/>
  <c r="N46" i="1"/>
  <c r="E75" i="1"/>
  <c r="E83" i="1"/>
  <c r="C75" i="1"/>
  <c r="C83" i="1"/>
  <c r="F109" i="1"/>
  <c r="E100" i="1"/>
  <c r="E115" i="1" s="1"/>
  <c r="E139" i="1" s="1"/>
  <c r="E144" i="1" s="1"/>
  <c r="E145" i="1" s="1"/>
  <c r="E151" i="1" s="1"/>
  <c r="E152" i="1" s="1"/>
  <c r="E158" i="1" s="1"/>
  <c r="E159" i="1" s="1"/>
  <c r="E165" i="1" s="1"/>
  <c r="E166" i="1" s="1"/>
  <c r="E172" i="1" s="1"/>
  <c r="E173" i="1" s="1"/>
  <c r="E179" i="1" s="1"/>
  <c r="L120" i="1"/>
  <c r="L180" i="1"/>
  <c r="L121" i="1"/>
  <c r="K115" i="1"/>
  <c r="K139" i="1"/>
  <c r="K144" i="1"/>
  <c r="K145" i="1"/>
  <c r="K151" i="1"/>
  <c r="K152" i="1"/>
  <c r="K158" i="1"/>
  <c r="K159" i="1"/>
  <c r="K165" i="1"/>
  <c r="K166" i="1"/>
  <c r="K172" i="1"/>
  <c r="K173" i="1"/>
  <c r="K179" i="1"/>
  <c r="G70" i="1"/>
  <c r="M75" i="1"/>
  <c r="M83" i="1"/>
  <c r="M84" i="1"/>
  <c r="L109" i="1"/>
  <c r="C95" i="1"/>
  <c r="C97" i="1"/>
  <c r="C96" i="1"/>
  <c r="C98" i="1"/>
  <c r="C84" i="1"/>
  <c r="H98" i="1"/>
  <c r="G69" i="1"/>
  <c r="E109" i="1"/>
  <c r="L104" i="1"/>
  <c r="J109" i="1"/>
  <c r="J115" i="1"/>
  <c r="J139" i="1"/>
  <c r="J144" i="1"/>
  <c r="J145" i="1"/>
  <c r="J151" i="1"/>
  <c r="J152" i="1"/>
  <c r="J158" i="1"/>
  <c r="J159" i="1"/>
  <c r="J165" i="1"/>
  <c r="J166" i="1"/>
  <c r="J172" i="1"/>
  <c r="J173" i="1"/>
  <c r="J179" i="1"/>
  <c r="H97" i="1"/>
  <c r="B97" i="1"/>
  <c r="K100" i="1"/>
  <c r="K109" i="1"/>
  <c r="J100" i="1"/>
  <c r="J104" i="1"/>
  <c r="M97" i="1"/>
  <c r="K116" i="1"/>
  <c r="K140" i="1"/>
  <c r="K146" i="1" s="1"/>
  <c r="K147" i="1" s="1"/>
  <c r="K153" i="1" s="1"/>
  <c r="K154" i="1" s="1"/>
  <c r="K160" i="1" s="1"/>
  <c r="K161" i="1" s="1"/>
  <c r="K167" i="1" s="1"/>
  <c r="K168" i="1" s="1"/>
  <c r="K174" i="1" s="1"/>
  <c r="K175" i="1" s="1"/>
  <c r="K181" i="1" s="1"/>
  <c r="K105" i="1"/>
  <c r="K110" i="1"/>
  <c r="H96" i="1"/>
  <c r="H100" i="1"/>
  <c r="H115" i="1" s="1"/>
  <c r="H139" i="1" s="1"/>
  <c r="H144" i="1" s="1"/>
  <c r="H145" i="1" s="1"/>
  <c r="H151" i="1" s="1"/>
  <c r="H152" i="1" s="1"/>
  <c r="H158" i="1" s="1"/>
  <c r="H159" i="1" s="1"/>
  <c r="H165" i="1" s="1"/>
  <c r="H166" i="1" s="1"/>
  <c r="H172" i="1" s="1"/>
  <c r="H173" i="1" s="1"/>
  <c r="H179" i="1" s="1"/>
  <c r="B96" i="1"/>
  <c r="E105" i="1"/>
  <c r="E116" i="1"/>
  <c r="E140" i="1" s="1"/>
  <c r="E146" i="1" s="1"/>
  <c r="E147" i="1" s="1"/>
  <c r="E153" i="1" s="1"/>
  <c r="E154" i="1" s="1"/>
  <c r="E160" i="1" s="1"/>
  <c r="E161" i="1" s="1"/>
  <c r="E167" i="1" s="1"/>
  <c r="E168" i="1" s="1"/>
  <c r="E174" i="1" s="1"/>
  <c r="E175" i="1" s="1"/>
  <c r="E181" i="1" s="1"/>
  <c r="E110" i="1"/>
  <c r="N72" i="1"/>
  <c r="N73" i="1"/>
  <c r="N75" i="1"/>
  <c r="B72" i="1"/>
  <c r="B95" i="1"/>
  <c r="B100" i="1"/>
  <c r="B115" i="1" s="1"/>
  <c r="B139" i="1" s="1"/>
  <c r="B144" i="1" s="1"/>
  <c r="B145" i="1" s="1"/>
  <c r="B151" i="1" s="1"/>
  <c r="B152" i="1" s="1"/>
  <c r="B158" i="1" s="1"/>
  <c r="B159" i="1" s="1"/>
  <c r="B165" i="1" s="1"/>
  <c r="B166" i="1" s="1"/>
  <c r="B172" i="1" s="1"/>
  <c r="B173" i="1" s="1"/>
  <c r="B179" i="1" s="1"/>
  <c r="B73" i="1"/>
  <c r="B75" i="1"/>
  <c r="B83" i="1"/>
  <c r="N70" i="1"/>
  <c r="M109" i="1"/>
  <c r="M104" i="1"/>
  <c r="M115" i="1"/>
  <c r="M139" i="1"/>
  <c r="M144" i="1"/>
  <c r="M145" i="1"/>
  <c r="M151" i="1"/>
  <c r="M152" i="1"/>
  <c r="M158" i="1"/>
  <c r="M159" i="1"/>
  <c r="M165" i="1"/>
  <c r="M166" i="1"/>
  <c r="M172" i="1"/>
  <c r="M173" i="1"/>
  <c r="M179" i="1"/>
  <c r="I72" i="1"/>
  <c r="I73" i="1"/>
  <c r="I75" i="1"/>
  <c r="I83" i="1"/>
  <c r="M105" i="1"/>
  <c r="M116" i="1"/>
  <c r="M140" i="1" s="1"/>
  <c r="M146" i="1" s="1"/>
  <c r="M147" i="1" s="1"/>
  <c r="M153" i="1" s="1"/>
  <c r="M154" i="1" s="1"/>
  <c r="M160" i="1" s="1"/>
  <c r="M161" i="1" s="1"/>
  <c r="M167" i="1" s="1"/>
  <c r="M168" i="1" s="1"/>
  <c r="M174" i="1" s="1"/>
  <c r="M175" i="1" s="1"/>
  <c r="M181" i="1" s="1"/>
  <c r="M110" i="1"/>
  <c r="N97" i="1"/>
  <c r="N96" i="1"/>
  <c r="N95" i="1"/>
  <c r="N100" i="1"/>
  <c r="N84" i="1"/>
  <c r="M120" i="1"/>
  <c r="M180" i="1"/>
  <c r="M121" i="1"/>
  <c r="B109" i="1"/>
  <c r="B116" i="1"/>
  <c r="B140" i="1" s="1"/>
  <c r="B146" i="1" s="1"/>
  <c r="B147" i="1" s="1"/>
  <c r="B153" i="1" s="1"/>
  <c r="B154" i="1" s="1"/>
  <c r="B160" i="1" s="1"/>
  <c r="B161" i="1" s="1"/>
  <c r="B167" i="1" s="1"/>
  <c r="B168" i="1" s="1"/>
  <c r="B174" i="1" s="1"/>
  <c r="B175" i="1" s="1"/>
  <c r="B181" i="1" s="1"/>
  <c r="C116" i="1"/>
  <c r="C140" i="1" s="1"/>
  <c r="C146" i="1" s="1"/>
  <c r="C147" i="1" s="1"/>
  <c r="C153" i="1" s="1"/>
  <c r="C154" i="1" s="1"/>
  <c r="C160" i="1" s="1"/>
  <c r="C161" i="1" s="1"/>
  <c r="C167" i="1" s="1"/>
  <c r="C168" i="1" s="1"/>
  <c r="C174" i="1" s="1"/>
  <c r="C175" i="1" s="1"/>
  <c r="C181" i="1" s="1"/>
  <c r="C110" i="1"/>
  <c r="C105" i="1"/>
  <c r="K104" i="1"/>
  <c r="K120" i="1"/>
  <c r="K180" i="1"/>
  <c r="K121" i="1"/>
  <c r="H109" i="1"/>
  <c r="H110" i="1"/>
  <c r="H116" i="1"/>
  <c r="H140" i="1" s="1"/>
  <c r="H146" i="1" s="1"/>
  <c r="H147" i="1" s="1"/>
  <c r="H153" i="1" s="1"/>
  <c r="H154" i="1" s="1"/>
  <c r="H160" i="1" s="1"/>
  <c r="H161" i="1" s="1"/>
  <c r="H167" i="1" s="1"/>
  <c r="H168" i="1" s="1"/>
  <c r="H174" i="1" s="1"/>
  <c r="H175" i="1" s="1"/>
  <c r="H181" i="1" s="1"/>
  <c r="H105" i="1"/>
  <c r="C100" i="1"/>
  <c r="C115" i="1" s="1"/>
  <c r="C139" i="1" s="1"/>
  <c r="C144" i="1" s="1"/>
  <c r="C145" i="1" s="1"/>
  <c r="C151" i="1" s="1"/>
  <c r="C152" i="1" s="1"/>
  <c r="C158" i="1" s="1"/>
  <c r="C159" i="1" s="1"/>
  <c r="C165" i="1" s="1"/>
  <c r="C166" i="1" s="1"/>
  <c r="C172" i="1" s="1"/>
  <c r="C173" i="1" s="1"/>
  <c r="C179" i="1" s="1"/>
  <c r="J120" i="1"/>
  <c r="J180" i="1"/>
  <c r="J121" i="1"/>
  <c r="I84" i="1"/>
  <c r="I98" i="1"/>
  <c r="I97" i="1"/>
  <c r="I95" i="1"/>
  <c r="I100" i="1"/>
  <c r="I109" i="1" s="1"/>
  <c r="I96" i="1"/>
  <c r="N83" i="1"/>
  <c r="N98" i="1"/>
  <c r="B84" i="1"/>
  <c r="G72" i="1"/>
  <c r="G73" i="1"/>
  <c r="G75" i="1"/>
  <c r="G83" i="1"/>
  <c r="B98" i="1"/>
  <c r="B110" i="1"/>
  <c r="N110" i="1"/>
  <c r="N116" i="1"/>
  <c r="N140" i="1" s="1"/>
  <c r="N146" i="1" s="1"/>
  <c r="N147" i="1" s="1"/>
  <c r="N153" i="1" s="1"/>
  <c r="N154" i="1" s="1"/>
  <c r="N160" i="1" s="1"/>
  <c r="N161" i="1" s="1"/>
  <c r="N167" i="1" s="1"/>
  <c r="N168" i="1" s="1"/>
  <c r="N174" i="1" s="1"/>
  <c r="N175" i="1" s="1"/>
  <c r="N181" i="1" s="1"/>
  <c r="N105" i="1"/>
  <c r="I115" i="1"/>
  <c r="I139" i="1" s="1"/>
  <c r="I144" i="1" s="1"/>
  <c r="I145" i="1" s="1"/>
  <c r="I151" i="1" s="1"/>
  <c r="I152" i="1" s="1"/>
  <c r="I158" i="1" s="1"/>
  <c r="I159" i="1" s="1"/>
  <c r="I165" i="1" s="1"/>
  <c r="I166" i="1" s="1"/>
  <c r="I172" i="1" s="1"/>
  <c r="I173" i="1" s="1"/>
  <c r="I179" i="1" s="1"/>
  <c r="G95" i="1"/>
  <c r="G98" i="1"/>
  <c r="G97" i="1"/>
  <c r="G96" i="1"/>
  <c r="G84" i="1"/>
  <c r="I105" i="1"/>
  <c r="I110" i="1"/>
  <c r="I116" i="1"/>
  <c r="I140" i="1" s="1"/>
  <c r="I146" i="1" s="1"/>
  <c r="I147" i="1" s="1"/>
  <c r="I153" i="1" s="1"/>
  <c r="I154" i="1" s="1"/>
  <c r="I160" i="1" s="1"/>
  <c r="I161" i="1" s="1"/>
  <c r="I167" i="1" s="1"/>
  <c r="I168" i="1" s="1"/>
  <c r="I174" i="1" s="1"/>
  <c r="I175" i="1" s="1"/>
  <c r="I181" i="1" s="1"/>
  <c r="N104" i="1"/>
  <c r="N109" i="1"/>
  <c r="N115" i="1"/>
  <c r="N139" i="1"/>
  <c r="N144" i="1"/>
  <c r="N145" i="1"/>
  <c r="N151" i="1"/>
  <c r="N152" i="1"/>
  <c r="N158" i="1"/>
  <c r="N159" i="1"/>
  <c r="N165" i="1"/>
  <c r="N166" i="1"/>
  <c r="N172" i="1"/>
  <c r="N173" i="1"/>
  <c r="N179" i="1"/>
  <c r="G105" i="1"/>
  <c r="G116" i="1"/>
  <c r="G140" i="1" s="1"/>
  <c r="G146" i="1" s="1"/>
  <c r="G147" i="1" s="1"/>
  <c r="G153" i="1" s="1"/>
  <c r="G154" i="1" s="1"/>
  <c r="G160" i="1" s="1"/>
  <c r="G161" i="1" s="1"/>
  <c r="G167" i="1" s="1"/>
  <c r="G168" i="1" s="1"/>
  <c r="G174" i="1" s="1"/>
  <c r="G175" i="1" s="1"/>
  <c r="G181" i="1" s="1"/>
  <c r="G110" i="1"/>
  <c r="G100" i="1"/>
  <c r="G104" i="1"/>
  <c r="N120" i="1"/>
  <c r="N180" i="1"/>
  <c r="N121" i="1"/>
  <c r="G115" i="1"/>
  <c r="G139" i="1"/>
  <c r="G144" i="1"/>
  <c r="G145" i="1"/>
  <c r="G151" i="1" s="1"/>
  <c r="G152" i="1" s="1"/>
  <c r="G158" i="1" s="1"/>
  <c r="G159" i="1" s="1"/>
  <c r="G165" i="1" s="1"/>
  <c r="G166" i="1" s="1"/>
  <c r="G172" i="1" s="1"/>
  <c r="G173" i="1" s="1"/>
  <c r="G179" i="1" s="1"/>
  <c r="G109" i="1"/>
  <c r="G223" i="3" l="1"/>
  <c r="G80" i="3" s="1"/>
  <c r="F79" i="3"/>
  <c r="F82" i="3" s="1"/>
  <c r="F89" i="3" s="1"/>
  <c r="F204" i="3"/>
  <c r="F217" i="3"/>
  <c r="G217" i="3"/>
  <c r="E195" i="3"/>
  <c r="E196" i="3" s="1"/>
  <c r="G195" i="3"/>
  <c r="G230" i="3" s="1"/>
  <c r="E204" i="3"/>
  <c r="E223" i="3"/>
  <c r="E80" i="3" s="1"/>
  <c r="E79" i="3" s="1"/>
  <c r="E205" i="3"/>
  <c r="F202" i="3"/>
  <c r="F205" i="3"/>
  <c r="G224" i="3"/>
  <c r="G81" i="3" s="1"/>
  <c r="G79" i="3" s="1"/>
  <c r="G82" i="3" s="1"/>
  <c r="G89" i="3" s="1"/>
  <c r="I202" i="3"/>
  <c r="G202" i="3"/>
  <c r="H202" i="3"/>
  <c r="E217" i="3"/>
  <c r="C223" i="3"/>
  <c r="C205" i="3"/>
  <c r="C204" i="3"/>
  <c r="C202" i="3"/>
  <c r="C195" i="3"/>
  <c r="C217" i="3"/>
  <c r="C224" i="3"/>
  <c r="C81" i="3" s="1"/>
  <c r="D205" i="3"/>
  <c r="D224" i="3"/>
  <c r="D81" i="3" s="1"/>
  <c r="D202" i="3"/>
  <c r="D217" i="3"/>
  <c r="D223" i="3"/>
  <c r="B224" i="3"/>
  <c r="B81" i="3" s="1"/>
  <c r="H205" i="3"/>
  <c r="F222" i="3"/>
  <c r="F230" i="3"/>
  <c r="I205" i="3"/>
  <c r="H204" i="3"/>
  <c r="H217" i="3"/>
  <c r="H195" i="3"/>
  <c r="D195" i="3"/>
  <c r="B202" i="3"/>
  <c r="H223" i="3"/>
  <c r="I204" i="3"/>
  <c r="I217" i="3"/>
  <c r="I195" i="3"/>
  <c r="I223" i="3"/>
  <c r="E230" i="3"/>
  <c r="B217" i="3"/>
  <c r="B195" i="3"/>
  <c r="B223" i="3"/>
  <c r="B205" i="3"/>
  <c r="F201" i="3"/>
  <c r="F198" i="3" s="1"/>
  <c r="G204" i="3"/>
  <c r="E202" i="3"/>
  <c r="L122" i="1"/>
  <c r="L182" i="1"/>
  <c r="L123" i="1" s="1"/>
  <c r="N122" i="1"/>
  <c r="N182" i="1"/>
  <c r="N123" i="1" s="1"/>
  <c r="K122" i="1"/>
  <c r="K182" i="1"/>
  <c r="K123" i="1" s="1"/>
  <c r="M122" i="1"/>
  <c r="M182" i="1"/>
  <c r="M123" i="1" s="1"/>
  <c r="J116" i="1"/>
  <c r="J140" i="1" s="1"/>
  <c r="J146" i="1" s="1"/>
  <c r="J147" i="1" s="1"/>
  <c r="J153" i="1" s="1"/>
  <c r="J154" i="1" s="1"/>
  <c r="J160" i="1" s="1"/>
  <c r="J161" i="1" s="1"/>
  <c r="J167" i="1" s="1"/>
  <c r="J168" i="1" s="1"/>
  <c r="J174" i="1" s="1"/>
  <c r="J175" i="1" s="1"/>
  <c r="J181" i="1" s="1"/>
  <c r="J110" i="1"/>
  <c r="I122" i="1"/>
  <c r="I182" i="1"/>
  <c r="I123" i="1" s="1"/>
  <c r="I124" i="1"/>
  <c r="I184" i="1"/>
  <c r="I125" i="1" s="1"/>
  <c r="I120" i="1"/>
  <c r="I180" i="1"/>
  <c r="I121" i="1" s="1"/>
  <c r="I104" i="1"/>
  <c r="H120" i="1"/>
  <c r="H180" i="1"/>
  <c r="H121" i="1" s="1"/>
  <c r="H124" i="1"/>
  <c r="H184" i="1"/>
  <c r="H125" i="1" s="1"/>
  <c r="H182" i="1"/>
  <c r="H123" i="1" s="1"/>
  <c r="H122" i="1"/>
  <c r="H104" i="1"/>
  <c r="E104" i="1"/>
  <c r="F122" i="1"/>
  <c r="F182" i="1"/>
  <c r="F123" i="1" s="1"/>
  <c r="G184" i="1"/>
  <c r="G125" i="1" s="1"/>
  <c r="G124" i="1"/>
  <c r="C122" i="1"/>
  <c r="C182" i="1"/>
  <c r="C123" i="1" s="1"/>
  <c r="D120" i="1"/>
  <c r="D180" i="1"/>
  <c r="D121" i="1" s="1"/>
  <c r="E122" i="1"/>
  <c r="E182" i="1"/>
  <c r="E123" i="1" s="1"/>
  <c r="G120" i="1"/>
  <c r="G180" i="1"/>
  <c r="G121" i="1" s="1"/>
  <c r="D184" i="1"/>
  <c r="D125" i="1" s="1"/>
  <c r="D124" i="1"/>
  <c r="D182" i="1"/>
  <c r="D123" i="1" s="1"/>
  <c r="D122" i="1"/>
  <c r="E124" i="1"/>
  <c r="E184" i="1"/>
  <c r="E125" i="1" s="1"/>
  <c r="F184" i="1"/>
  <c r="F125" i="1" s="1"/>
  <c r="F124" i="1"/>
  <c r="G122" i="1"/>
  <c r="G182" i="1"/>
  <c r="G123" i="1" s="1"/>
  <c r="C120" i="1"/>
  <c r="C180" i="1"/>
  <c r="C121" i="1" s="1"/>
  <c r="E180" i="1"/>
  <c r="E121" i="1" s="1"/>
  <c r="E120" i="1"/>
  <c r="C184" i="1"/>
  <c r="C125" i="1" s="1"/>
  <c r="C124" i="1"/>
  <c r="F115" i="1"/>
  <c r="F139" i="1" s="1"/>
  <c r="F144" i="1" s="1"/>
  <c r="F145" i="1" s="1"/>
  <c r="F151" i="1" s="1"/>
  <c r="F152" i="1" s="1"/>
  <c r="F158" i="1" s="1"/>
  <c r="F159" i="1" s="1"/>
  <c r="F165" i="1" s="1"/>
  <c r="F166" i="1" s="1"/>
  <c r="F172" i="1" s="1"/>
  <c r="F173" i="1" s="1"/>
  <c r="F179" i="1" s="1"/>
  <c r="C109" i="1"/>
  <c r="C104" i="1"/>
  <c r="D104" i="1"/>
  <c r="B122" i="1"/>
  <c r="B182" i="1"/>
  <c r="B123" i="1" s="1"/>
  <c r="B120" i="1"/>
  <c r="B180" i="1"/>
  <c r="B121" i="1" s="1"/>
  <c r="B124" i="1"/>
  <c r="B184" i="1"/>
  <c r="B125" i="1" s="1"/>
  <c r="G196" i="3" l="1"/>
  <c r="G222" i="3"/>
  <c r="E82" i="3"/>
  <c r="E89" i="3" s="1"/>
  <c r="G225" i="3"/>
  <c r="G44" i="3"/>
  <c r="E222" i="3"/>
  <c r="E44" i="3" s="1"/>
  <c r="F237" i="3"/>
  <c r="F234" i="3"/>
  <c r="D222" i="3"/>
  <c r="D80" i="3"/>
  <c r="D79" i="3" s="1"/>
  <c r="H230" i="3"/>
  <c r="H196" i="3"/>
  <c r="B222" i="3"/>
  <c r="B80" i="3"/>
  <c r="B79" i="3" s="1"/>
  <c r="H222" i="3"/>
  <c r="H80" i="3"/>
  <c r="H79" i="3" s="1"/>
  <c r="C222" i="3"/>
  <c r="C80" i="3"/>
  <c r="C79" i="3" s="1"/>
  <c r="I230" i="3"/>
  <c r="I196" i="3"/>
  <c r="C230" i="3"/>
  <c r="C196" i="3"/>
  <c r="B196" i="3"/>
  <c r="B230" i="3"/>
  <c r="F225" i="3"/>
  <c r="F44" i="3"/>
  <c r="G201" i="3"/>
  <c r="D230" i="3"/>
  <c r="D196" i="3"/>
  <c r="F206" i="3"/>
  <c r="E201" i="3"/>
  <c r="I222" i="3"/>
  <c r="I80" i="3"/>
  <c r="I79" i="3" s="1"/>
  <c r="J122" i="1"/>
  <c r="J182" i="1"/>
  <c r="J123" i="1" s="1"/>
  <c r="F120" i="1"/>
  <c r="F180" i="1"/>
  <c r="F121" i="1" s="1"/>
  <c r="E225" i="3" l="1"/>
  <c r="I201" i="3"/>
  <c r="C201" i="3"/>
  <c r="H82" i="3"/>
  <c r="H89" i="3" s="1"/>
  <c r="B201" i="3"/>
  <c r="B198" i="3" s="1"/>
  <c r="B82" i="3"/>
  <c r="B89" i="3" s="1"/>
  <c r="D82" i="3"/>
  <c r="D89" i="3"/>
  <c r="D201" i="3"/>
  <c r="C82" i="3"/>
  <c r="C89" i="3" s="1"/>
  <c r="B225" i="3"/>
  <c r="B44" i="3"/>
  <c r="D225" i="3"/>
  <c r="D44" i="3"/>
  <c r="G206" i="3"/>
  <c r="C225" i="3"/>
  <c r="C44" i="3"/>
  <c r="I82" i="3"/>
  <c r="I89" i="3" s="1"/>
  <c r="H225" i="3"/>
  <c r="H44" i="3"/>
  <c r="I225" i="3"/>
  <c r="I44" i="3"/>
  <c r="E206" i="3"/>
  <c r="E198" i="3"/>
  <c r="G198" i="3"/>
  <c r="F238" i="3"/>
  <c r="F210" i="3"/>
  <c r="F207" i="3"/>
  <c r="H201" i="3"/>
  <c r="H198" i="3" s="1"/>
  <c r="G207" i="3" l="1"/>
  <c r="G208" i="3" s="1"/>
  <c r="B237" i="3"/>
  <c r="B234" i="3"/>
  <c r="G237" i="3"/>
  <c r="G234" i="3"/>
  <c r="G238" i="3"/>
  <c r="G210" i="3"/>
  <c r="E238" i="3"/>
  <c r="E210" i="3"/>
  <c r="I198" i="3"/>
  <c r="H206" i="3"/>
  <c r="F211" i="3"/>
  <c r="F212" i="3" s="1"/>
  <c r="F216" i="3" s="1"/>
  <c r="E207" i="3"/>
  <c r="E208" i="3" s="1"/>
  <c r="H237" i="3"/>
  <c r="H234" i="3"/>
  <c r="E237" i="3"/>
  <c r="E234" i="3"/>
  <c r="I206" i="3"/>
  <c r="I207" i="3" s="1"/>
  <c r="D206" i="3"/>
  <c r="C206" i="3"/>
  <c r="F208" i="3"/>
  <c r="D198" i="3"/>
  <c r="B206" i="3"/>
  <c r="B207" i="3" s="1"/>
  <c r="C198" i="3"/>
  <c r="B238" i="3" l="1"/>
  <c r="B210" i="3"/>
  <c r="D238" i="3"/>
  <c r="D210" i="3"/>
  <c r="F215" i="3"/>
  <c r="F218" i="3" s="1"/>
  <c r="E211" i="3"/>
  <c r="B208" i="3"/>
  <c r="D207" i="3"/>
  <c r="D208" i="3" s="1"/>
  <c r="F213" i="3"/>
  <c r="H238" i="3"/>
  <c r="H210" i="3"/>
  <c r="I238" i="3"/>
  <c r="I210" i="3"/>
  <c r="D237" i="3"/>
  <c r="D234" i="3"/>
  <c r="I208" i="3"/>
  <c r="C238" i="3"/>
  <c r="C210" i="3"/>
  <c r="C207" i="3"/>
  <c r="C208" i="3" s="1"/>
  <c r="G211" i="3"/>
  <c r="C237" i="3"/>
  <c r="C234" i="3"/>
  <c r="H207" i="3"/>
  <c r="H208" i="3" s="1"/>
  <c r="I237" i="3"/>
  <c r="I234" i="3"/>
  <c r="F228" i="3" l="1"/>
  <c r="G215" i="3"/>
  <c r="G232" i="3" s="1"/>
  <c r="C211" i="3"/>
  <c r="C212" i="3" s="1"/>
  <c r="C216" i="3" s="1"/>
  <c r="H211" i="3"/>
  <c r="H212" i="3"/>
  <c r="H216" i="3" s="1"/>
  <c r="F232" i="3"/>
  <c r="D211" i="3"/>
  <c r="B211" i="3"/>
  <c r="I211" i="3"/>
  <c r="I212" i="3" s="1"/>
  <c r="I216" i="3" s="1"/>
  <c r="E215" i="3"/>
  <c r="E232" i="3" s="1"/>
  <c r="G212" i="3"/>
  <c r="G216" i="3" s="1"/>
  <c r="G218" i="3" s="1"/>
  <c r="F227" i="3"/>
  <c r="E212" i="3"/>
  <c r="H213" i="3" l="1"/>
  <c r="C213" i="3"/>
  <c r="B212" i="3"/>
  <c r="B216" i="3" s="1"/>
  <c r="E216" i="3"/>
  <c r="E218" i="3" s="1"/>
  <c r="E213" i="3"/>
  <c r="E227" i="3" s="1"/>
  <c r="H215" i="3"/>
  <c r="H218" i="3" s="1"/>
  <c r="H227" i="3" s="1"/>
  <c r="F236" i="3"/>
  <c r="F231" i="3"/>
  <c r="F229" i="3"/>
  <c r="F235" i="3"/>
  <c r="B215" i="3"/>
  <c r="B232" i="3" s="1"/>
  <c r="D215" i="3"/>
  <c r="D232" i="3" s="1"/>
  <c r="G213" i="3"/>
  <c r="G227" i="3" s="1"/>
  <c r="C215" i="3"/>
  <c r="C228" i="3" s="1"/>
  <c r="D213" i="3"/>
  <c r="G228" i="3"/>
  <c r="D212" i="3"/>
  <c r="D216" i="3" s="1"/>
  <c r="I215" i="3"/>
  <c r="I218" i="3" s="1"/>
  <c r="I228" i="3"/>
  <c r="I213" i="3"/>
  <c r="E228" i="3"/>
  <c r="D228" i="3" l="1"/>
  <c r="F239" i="3"/>
  <c r="H228" i="3"/>
  <c r="B218" i="3"/>
  <c r="D218" i="3"/>
  <c r="D227" i="3" s="1"/>
  <c r="D231" i="3" s="1"/>
  <c r="H231" i="3"/>
  <c r="H229" i="3"/>
  <c r="H239" i="3" s="1"/>
  <c r="H235" i="3"/>
  <c r="H236" i="3"/>
  <c r="I232" i="3"/>
  <c r="C232" i="3"/>
  <c r="B228" i="3"/>
  <c r="H232" i="3"/>
  <c r="G236" i="3"/>
  <c r="G231" i="3"/>
  <c r="G229" i="3"/>
  <c r="G235" i="3"/>
  <c r="E236" i="3"/>
  <c r="E231" i="3"/>
  <c r="E229" i="3"/>
  <c r="E235" i="3"/>
  <c r="E240" i="3" s="1"/>
  <c r="I227" i="3"/>
  <c r="C218" i="3"/>
  <c r="C227" i="3" s="1"/>
  <c r="F240" i="3"/>
  <c r="F241" i="3" s="1"/>
  <c r="B213" i="3"/>
  <c r="G239" i="3" l="1"/>
  <c r="D235" i="3"/>
  <c r="B227" i="3"/>
  <c r="D229" i="3"/>
  <c r="D239" i="3" s="1"/>
  <c r="D236" i="3"/>
  <c r="D240" i="3" s="1"/>
  <c r="D241" i="3" s="1"/>
  <c r="E239" i="3"/>
  <c r="E241" i="3" s="1"/>
  <c r="F62" i="3"/>
  <c r="F55" i="3"/>
  <c r="F60" i="3"/>
  <c r="F52" i="3"/>
  <c r="F59" i="3"/>
  <c r="F134" i="3" s="1"/>
  <c r="F61" i="3"/>
  <c r="F74" i="3"/>
  <c r="F99" i="3" s="1"/>
  <c r="B229" i="3"/>
  <c r="B235" i="3"/>
  <c r="B231" i="3"/>
  <c r="B236" i="3"/>
  <c r="C235" i="3"/>
  <c r="C236" i="3"/>
  <c r="C229" i="3"/>
  <c r="C231" i="3"/>
  <c r="G240" i="3"/>
  <c r="G241" i="3" s="1"/>
  <c r="I229" i="3"/>
  <c r="I235" i="3"/>
  <c r="I231" i="3"/>
  <c r="I236" i="3"/>
  <c r="H240" i="3"/>
  <c r="H241" i="3" s="1"/>
  <c r="I240" i="3" l="1"/>
  <c r="I239" i="3"/>
  <c r="C239" i="3"/>
  <c r="I241" i="3"/>
  <c r="I60" i="3" s="1"/>
  <c r="B240" i="3"/>
  <c r="D74" i="3"/>
  <c r="D99" i="3" s="1"/>
  <c r="D59" i="3"/>
  <c r="D134" i="3" s="1"/>
  <c r="D62" i="3"/>
  <c r="D55" i="3"/>
  <c r="D60" i="3"/>
  <c r="D52" i="3"/>
  <c r="D61" i="3"/>
  <c r="G55" i="3"/>
  <c r="G60" i="3"/>
  <c r="G52" i="3"/>
  <c r="G61" i="3"/>
  <c r="G62" i="3"/>
  <c r="G74" i="3"/>
  <c r="G99" i="3" s="1"/>
  <c r="G59" i="3"/>
  <c r="G134" i="3" s="1"/>
  <c r="H60" i="3"/>
  <c r="H52" i="3"/>
  <c r="H61" i="3"/>
  <c r="H74" i="3"/>
  <c r="H99" i="3" s="1"/>
  <c r="H62" i="3"/>
  <c r="H59" i="3"/>
  <c r="H134" i="3" s="1"/>
  <c r="H55" i="3"/>
  <c r="B239" i="3"/>
  <c r="B241" i="3" s="1"/>
  <c r="E59" i="3"/>
  <c r="E134" i="3" s="1"/>
  <c r="E62" i="3"/>
  <c r="E55" i="3"/>
  <c r="E60" i="3"/>
  <c r="E52" i="3"/>
  <c r="E74" i="3"/>
  <c r="E99" i="3" s="1"/>
  <c r="E61" i="3"/>
  <c r="F88" i="3"/>
  <c r="F117" i="3"/>
  <c r="I61" i="3"/>
  <c r="I74" i="3"/>
  <c r="I99" i="3" s="1"/>
  <c r="I59" i="3"/>
  <c r="I134" i="3" s="1"/>
  <c r="I55" i="3"/>
  <c r="F42" i="3"/>
  <c r="C240" i="3"/>
  <c r="F94" i="3"/>
  <c r="F92" i="3"/>
  <c r="F106" i="3"/>
  <c r="F114" i="3"/>
  <c r="F93" i="3"/>
  <c r="F53" i="3"/>
  <c r="F58" i="3" s="1"/>
  <c r="C241" i="3" l="1"/>
  <c r="I52" i="3"/>
  <c r="I62" i="3"/>
  <c r="C61" i="3"/>
  <c r="C74" i="3"/>
  <c r="C99" i="3" s="1"/>
  <c r="C59" i="3"/>
  <c r="C134" i="3" s="1"/>
  <c r="C62" i="3"/>
  <c r="C55" i="3"/>
  <c r="C60" i="3"/>
  <c r="C52" i="3"/>
  <c r="E88" i="3"/>
  <c r="H117" i="3"/>
  <c r="G106" i="3"/>
  <c r="G114" i="3"/>
  <c r="G93" i="3"/>
  <c r="G92" i="3"/>
  <c r="G94" i="3"/>
  <c r="G53" i="3"/>
  <c r="G58" i="3" s="1"/>
  <c r="D94" i="3"/>
  <c r="D92" i="3"/>
  <c r="D114" i="3"/>
  <c r="D53" i="3"/>
  <c r="D58" i="3" s="1"/>
  <c r="D93" i="3"/>
  <c r="D106" i="3"/>
  <c r="I42" i="3"/>
  <c r="D42" i="3"/>
  <c r="F120" i="3"/>
  <c r="F144" i="3" s="1"/>
  <c r="F151" i="3" s="1"/>
  <c r="F152" i="3" s="1"/>
  <c r="F158" i="3" s="1"/>
  <c r="F159" i="3" s="1"/>
  <c r="F165" i="3" s="1"/>
  <c r="F166" i="3" s="1"/>
  <c r="F172" i="3" s="1"/>
  <c r="F173" i="3" s="1"/>
  <c r="F179" i="3" s="1"/>
  <c r="F180" i="3" s="1"/>
  <c r="F186" i="3" s="1"/>
  <c r="E92" i="3"/>
  <c r="E106" i="3"/>
  <c r="E93" i="3"/>
  <c r="E94" i="3"/>
  <c r="E114" i="3"/>
  <c r="E53" i="3"/>
  <c r="E58" i="3" s="1"/>
  <c r="E63" i="3" s="1"/>
  <c r="D117" i="3"/>
  <c r="I117" i="3"/>
  <c r="F63" i="3"/>
  <c r="G42" i="3"/>
  <c r="H88" i="3"/>
  <c r="G117" i="3"/>
  <c r="H42" i="3"/>
  <c r="I88" i="3"/>
  <c r="E42" i="3"/>
  <c r="B61" i="3"/>
  <c r="B74" i="3"/>
  <c r="B99" i="3" s="1"/>
  <c r="B59" i="3"/>
  <c r="B134" i="3" s="1"/>
  <c r="B62" i="3"/>
  <c r="B55" i="3"/>
  <c r="B60" i="3"/>
  <c r="B52" i="3"/>
  <c r="D88" i="3"/>
  <c r="I106" i="3"/>
  <c r="I114" i="3"/>
  <c r="I93" i="3"/>
  <c r="I94" i="3"/>
  <c r="I53" i="3"/>
  <c r="I58" i="3" s="1"/>
  <c r="I92" i="3"/>
  <c r="E117" i="3"/>
  <c r="H92" i="3"/>
  <c r="H106" i="3"/>
  <c r="H114" i="3"/>
  <c r="H93" i="3"/>
  <c r="H94" i="3"/>
  <c r="H53" i="3"/>
  <c r="H58" i="3" s="1"/>
  <c r="G88" i="3"/>
  <c r="E67" i="3" l="1"/>
  <c r="E87" i="3" s="1"/>
  <c r="H63" i="3"/>
  <c r="H64" i="3" s="1"/>
  <c r="D63" i="3"/>
  <c r="D64" i="3" s="1"/>
  <c r="I120" i="3"/>
  <c r="I144" i="3" s="1"/>
  <c r="I151" i="3" s="1"/>
  <c r="I152" i="3" s="1"/>
  <c r="I158" i="3" s="1"/>
  <c r="I159" i="3" s="1"/>
  <c r="I165" i="3" s="1"/>
  <c r="I166" i="3" s="1"/>
  <c r="I172" i="3" s="1"/>
  <c r="I173" i="3" s="1"/>
  <c r="I179" i="3" s="1"/>
  <c r="I180" i="3" s="1"/>
  <c r="I186" i="3" s="1"/>
  <c r="B114" i="3"/>
  <c r="B94" i="3"/>
  <c r="B106" i="3"/>
  <c r="B92" i="3"/>
  <c r="B53" i="3"/>
  <c r="B58" i="3" s="1"/>
  <c r="B93" i="3"/>
  <c r="F64" i="3"/>
  <c r="F65" i="3" s="1"/>
  <c r="E64" i="3"/>
  <c r="C117" i="3"/>
  <c r="B42" i="3"/>
  <c r="F67" i="3"/>
  <c r="F43" i="3" s="1"/>
  <c r="F46" i="3" s="1"/>
  <c r="E120" i="3"/>
  <c r="E144" i="3" s="1"/>
  <c r="E151" i="3" s="1"/>
  <c r="E152" i="3" s="1"/>
  <c r="E158" i="3" s="1"/>
  <c r="E159" i="3" s="1"/>
  <c r="E165" i="3" s="1"/>
  <c r="E166" i="3" s="1"/>
  <c r="E172" i="3" s="1"/>
  <c r="E173" i="3" s="1"/>
  <c r="E179" i="3" s="1"/>
  <c r="E180" i="3" s="1"/>
  <c r="E186" i="3" s="1"/>
  <c r="B117" i="3"/>
  <c r="F127" i="3"/>
  <c r="F187" i="3"/>
  <c r="F128" i="3" s="1"/>
  <c r="D120" i="3"/>
  <c r="D144" i="3" s="1"/>
  <c r="D151" i="3" s="1"/>
  <c r="D152" i="3" s="1"/>
  <c r="D158" i="3" s="1"/>
  <c r="D159" i="3" s="1"/>
  <c r="D165" i="3" s="1"/>
  <c r="D166" i="3" s="1"/>
  <c r="D172" i="3" s="1"/>
  <c r="D173" i="3" s="1"/>
  <c r="D179" i="3" s="1"/>
  <c r="D180" i="3" s="1"/>
  <c r="D186" i="3" s="1"/>
  <c r="B88" i="3"/>
  <c r="G120" i="3"/>
  <c r="G144" i="3" s="1"/>
  <c r="G151" i="3" s="1"/>
  <c r="G152" i="3" s="1"/>
  <c r="G158" i="3" s="1"/>
  <c r="G159" i="3" s="1"/>
  <c r="G165" i="3" s="1"/>
  <c r="G166" i="3" s="1"/>
  <c r="G172" i="3" s="1"/>
  <c r="G173" i="3" s="1"/>
  <c r="G179" i="3" s="1"/>
  <c r="G180" i="3" s="1"/>
  <c r="G186" i="3" s="1"/>
  <c r="C88" i="3"/>
  <c r="C93" i="3"/>
  <c r="C94" i="3"/>
  <c r="C114" i="3"/>
  <c r="C92" i="3"/>
  <c r="C53" i="3"/>
  <c r="C58" i="3" s="1"/>
  <c r="C106" i="3"/>
  <c r="G63" i="3"/>
  <c r="G64" i="3" s="1"/>
  <c r="H120" i="3"/>
  <c r="H144" i="3" s="1"/>
  <c r="H151" i="3" s="1"/>
  <c r="H152" i="3" s="1"/>
  <c r="H158" i="3" s="1"/>
  <c r="H159" i="3" s="1"/>
  <c r="H165" i="3" s="1"/>
  <c r="H166" i="3" s="1"/>
  <c r="H172" i="3" s="1"/>
  <c r="H173" i="3" s="1"/>
  <c r="H179" i="3" s="1"/>
  <c r="H180" i="3" s="1"/>
  <c r="H186" i="3" s="1"/>
  <c r="C42" i="3"/>
  <c r="I63" i="3"/>
  <c r="F87" i="3" l="1"/>
  <c r="E91" i="3"/>
  <c r="E48" i="3"/>
  <c r="F91" i="3"/>
  <c r="E85" i="3"/>
  <c r="F48" i="3"/>
  <c r="C63" i="3"/>
  <c r="B63" i="3"/>
  <c r="G67" i="3"/>
  <c r="G43" i="3" s="1"/>
  <c r="G46" i="3" s="1"/>
  <c r="I127" i="3"/>
  <c r="I187" i="3"/>
  <c r="I128" i="3" s="1"/>
  <c r="I67" i="3"/>
  <c r="I85" i="3" s="1"/>
  <c r="G65" i="3"/>
  <c r="F85" i="3"/>
  <c r="E86" i="3"/>
  <c r="B120" i="3"/>
  <c r="B144" i="3" s="1"/>
  <c r="B151" i="3" s="1"/>
  <c r="B152" i="3" s="1"/>
  <c r="B158" i="3" s="1"/>
  <c r="B159" i="3" s="1"/>
  <c r="B165" i="3" s="1"/>
  <c r="B166" i="3" s="1"/>
  <c r="B172" i="3" s="1"/>
  <c r="B173" i="3" s="1"/>
  <c r="B179" i="3" s="1"/>
  <c r="B180" i="3" s="1"/>
  <c r="B186" i="3" s="1"/>
  <c r="I64" i="3"/>
  <c r="I65" i="3" s="1"/>
  <c r="C120" i="3"/>
  <c r="C144" i="3" s="1"/>
  <c r="C151" i="3" s="1"/>
  <c r="C152" i="3" s="1"/>
  <c r="C158" i="3" s="1"/>
  <c r="C159" i="3" s="1"/>
  <c r="C165" i="3" s="1"/>
  <c r="C166" i="3" s="1"/>
  <c r="C172" i="3" s="1"/>
  <c r="C173" i="3" s="1"/>
  <c r="C179" i="3" s="1"/>
  <c r="C180" i="3" s="1"/>
  <c r="C186" i="3" s="1"/>
  <c r="E68" i="3"/>
  <c r="E69" i="3" s="1"/>
  <c r="E70" i="3" s="1"/>
  <c r="G127" i="3"/>
  <c r="G187" i="3"/>
  <c r="G128" i="3" s="1"/>
  <c r="E127" i="3"/>
  <c r="E187" i="3"/>
  <c r="E128" i="3" s="1"/>
  <c r="E65" i="3"/>
  <c r="D127" i="3"/>
  <c r="D187" i="3"/>
  <c r="D128" i="3" s="1"/>
  <c r="F68" i="3"/>
  <c r="D67" i="3"/>
  <c r="D68" i="3" s="1"/>
  <c r="H67" i="3"/>
  <c r="H91" i="3" s="1"/>
  <c r="H86" i="3"/>
  <c r="H85" i="3"/>
  <c r="H127" i="3"/>
  <c r="H187" i="3"/>
  <c r="H128" i="3" s="1"/>
  <c r="F86" i="3"/>
  <c r="D65" i="3"/>
  <c r="H65" i="3"/>
  <c r="E43" i="3"/>
  <c r="E46" i="3" s="1"/>
  <c r="D87" i="3" l="1"/>
  <c r="I86" i="3"/>
  <c r="G85" i="3"/>
  <c r="D48" i="3"/>
  <c r="G68" i="3"/>
  <c r="I48" i="3"/>
  <c r="G91" i="3"/>
  <c r="B67" i="3"/>
  <c r="B86" i="3" s="1"/>
  <c r="C127" i="3"/>
  <c r="C187" i="3"/>
  <c r="C128" i="3" s="1"/>
  <c r="I91" i="3"/>
  <c r="B64" i="3"/>
  <c r="D69" i="3"/>
  <c r="D70" i="3"/>
  <c r="D86" i="3"/>
  <c r="H87" i="3"/>
  <c r="D43" i="3"/>
  <c r="D46" i="3" s="1"/>
  <c r="I68" i="3"/>
  <c r="H68" i="3"/>
  <c r="H43" i="3"/>
  <c r="H46" i="3" s="1"/>
  <c r="F69" i="3"/>
  <c r="I87" i="3"/>
  <c r="G87" i="3"/>
  <c r="C67" i="3"/>
  <c r="C85" i="3" s="1"/>
  <c r="E72" i="3"/>
  <c r="E97" i="3" s="1"/>
  <c r="E73" i="3"/>
  <c r="D85" i="3"/>
  <c r="B127" i="3"/>
  <c r="B187" i="3"/>
  <c r="B128" i="3" s="1"/>
  <c r="I43" i="3"/>
  <c r="I46" i="3" s="1"/>
  <c r="G86" i="3"/>
  <c r="H48" i="3"/>
  <c r="D91" i="3"/>
  <c r="G48" i="3"/>
  <c r="C64" i="3"/>
  <c r="C91" i="3" l="1"/>
  <c r="C48" i="3"/>
  <c r="C87" i="3"/>
  <c r="C86" i="3"/>
  <c r="B48" i="3"/>
  <c r="E98" i="3"/>
  <c r="B85" i="3"/>
  <c r="E84" i="3"/>
  <c r="F72" i="3"/>
  <c r="F73" i="3"/>
  <c r="C68" i="3"/>
  <c r="H69" i="3"/>
  <c r="B87" i="3"/>
  <c r="D72" i="3"/>
  <c r="D73" i="3"/>
  <c r="B91" i="3"/>
  <c r="G69" i="3"/>
  <c r="B68" i="3"/>
  <c r="B65" i="3"/>
  <c r="B43" i="3"/>
  <c r="B46" i="3" s="1"/>
  <c r="E96" i="3"/>
  <c r="E95" i="3"/>
  <c r="C65" i="3"/>
  <c r="E75" i="3"/>
  <c r="E83" i="3" s="1"/>
  <c r="C43" i="3"/>
  <c r="C46" i="3" s="1"/>
  <c r="I69" i="3"/>
  <c r="F70" i="3"/>
  <c r="E119" i="3" l="1"/>
  <c r="E143" i="3" s="1"/>
  <c r="E149" i="3" s="1"/>
  <c r="E150" i="3" s="1"/>
  <c r="E156" i="3" s="1"/>
  <c r="E157" i="3" s="1"/>
  <c r="E163" i="3" s="1"/>
  <c r="E164" i="3" s="1"/>
  <c r="E170" i="3" s="1"/>
  <c r="E171" i="3" s="1"/>
  <c r="E177" i="3" s="1"/>
  <c r="E178" i="3" s="1"/>
  <c r="E184" i="3" s="1"/>
  <c r="E125" i="3" s="1"/>
  <c r="F75" i="3"/>
  <c r="F83" i="3" s="1"/>
  <c r="B69" i="3"/>
  <c r="B70" i="3" s="1"/>
  <c r="I72" i="3"/>
  <c r="I73" i="3"/>
  <c r="I70" i="3"/>
  <c r="G72" i="3"/>
  <c r="G73" i="3"/>
  <c r="D75" i="3"/>
  <c r="D83" i="3" s="1"/>
  <c r="E113" i="3"/>
  <c r="E105" i="3"/>
  <c r="D98" i="3"/>
  <c r="D96" i="3"/>
  <c r="D84" i="3"/>
  <c r="D95" i="3"/>
  <c r="D97" i="3"/>
  <c r="C69" i="3"/>
  <c r="B72" i="3"/>
  <c r="B73" i="3"/>
  <c r="E100" i="3"/>
  <c r="E112" i="3" s="1"/>
  <c r="H72" i="3"/>
  <c r="H73" i="3"/>
  <c r="H70" i="3"/>
  <c r="F95" i="3"/>
  <c r="F97" i="3"/>
  <c r="F96" i="3"/>
  <c r="F98" i="3"/>
  <c r="F84" i="3"/>
  <c r="G70" i="3"/>
  <c r="E185" i="3" l="1"/>
  <c r="E126" i="3" s="1"/>
  <c r="I75" i="3"/>
  <c r="D100" i="3"/>
  <c r="H75" i="3"/>
  <c r="H83" i="3" s="1"/>
  <c r="F100" i="3"/>
  <c r="G75" i="3"/>
  <c r="G83" i="3" s="1"/>
  <c r="E118" i="3"/>
  <c r="E142" i="3" s="1"/>
  <c r="E147" i="3" s="1"/>
  <c r="E148" i="3" s="1"/>
  <c r="E154" i="3" s="1"/>
  <c r="E155" i="3" s="1"/>
  <c r="E161" i="3" s="1"/>
  <c r="E162" i="3" s="1"/>
  <c r="E168" i="3" s="1"/>
  <c r="E169" i="3" s="1"/>
  <c r="E175" i="3" s="1"/>
  <c r="E176" i="3" s="1"/>
  <c r="E182" i="3" s="1"/>
  <c r="E123" i="3" s="1"/>
  <c r="E104" i="3"/>
  <c r="I97" i="3"/>
  <c r="I98" i="3"/>
  <c r="I95" i="3"/>
  <c r="I96" i="3"/>
  <c r="I84" i="3"/>
  <c r="H96" i="3"/>
  <c r="H95" i="3"/>
  <c r="H98" i="3"/>
  <c r="H97" i="3"/>
  <c r="H84" i="3"/>
  <c r="D105" i="3"/>
  <c r="D113" i="3"/>
  <c r="D119" i="3"/>
  <c r="D143" i="3" s="1"/>
  <c r="D149" i="3" s="1"/>
  <c r="D150" i="3" s="1"/>
  <c r="D156" i="3" s="1"/>
  <c r="D157" i="3" s="1"/>
  <c r="D163" i="3" s="1"/>
  <c r="D164" i="3" s="1"/>
  <c r="D170" i="3" s="1"/>
  <c r="D171" i="3" s="1"/>
  <c r="D177" i="3" s="1"/>
  <c r="D178" i="3" s="1"/>
  <c r="D184" i="3" s="1"/>
  <c r="B95" i="3"/>
  <c r="B96" i="3"/>
  <c r="B98" i="3"/>
  <c r="B84" i="3"/>
  <c r="C72" i="3"/>
  <c r="C73" i="3"/>
  <c r="C75" i="3" s="1"/>
  <c r="C70" i="3"/>
  <c r="B97" i="3"/>
  <c r="F112" i="3"/>
  <c r="F104" i="3"/>
  <c r="F118" i="3"/>
  <c r="F142" i="3" s="1"/>
  <c r="F147" i="3" s="1"/>
  <c r="F148" i="3" s="1"/>
  <c r="F154" i="3" s="1"/>
  <c r="F155" i="3" s="1"/>
  <c r="F161" i="3" s="1"/>
  <c r="F162" i="3" s="1"/>
  <c r="F168" i="3" s="1"/>
  <c r="F169" i="3" s="1"/>
  <c r="F175" i="3" s="1"/>
  <c r="F176" i="3" s="1"/>
  <c r="F182" i="3" s="1"/>
  <c r="G84" i="3"/>
  <c r="G96" i="3"/>
  <c r="G97" i="3"/>
  <c r="G95" i="3"/>
  <c r="G100" i="3" s="1"/>
  <c r="G98" i="3"/>
  <c r="F105" i="3"/>
  <c r="F113" i="3"/>
  <c r="F119" i="3"/>
  <c r="F143" i="3" s="1"/>
  <c r="F149" i="3" s="1"/>
  <c r="F150" i="3" s="1"/>
  <c r="F156" i="3" s="1"/>
  <c r="F157" i="3" s="1"/>
  <c r="F163" i="3" s="1"/>
  <c r="F164" i="3" s="1"/>
  <c r="F170" i="3" s="1"/>
  <c r="F171" i="3" s="1"/>
  <c r="F177" i="3" s="1"/>
  <c r="F178" i="3" s="1"/>
  <c r="F184" i="3" s="1"/>
  <c r="B75" i="3"/>
  <c r="B83" i="3" s="1"/>
  <c r="D112" i="3"/>
  <c r="D104" i="3"/>
  <c r="D118" i="3"/>
  <c r="D142" i="3" s="1"/>
  <c r="D147" i="3" s="1"/>
  <c r="D148" i="3" s="1"/>
  <c r="D154" i="3" s="1"/>
  <c r="D155" i="3" s="1"/>
  <c r="D161" i="3" s="1"/>
  <c r="D162" i="3" s="1"/>
  <c r="D168" i="3" s="1"/>
  <c r="D169" i="3" s="1"/>
  <c r="D175" i="3" s="1"/>
  <c r="D176" i="3" s="1"/>
  <c r="D182" i="3" s="1"/>
  <c r="I83" i="3"/>
  <c r="I100" i="3" l="1"/>
  <c r="I112" i="3" s="1"/>
  <c r="B100" i="3"/>
  <c r="B109" i="3" s="1"/>
  <c r="E183" i="3"/>
  <c r="E124" i="3" s="1"/>
  <c r="D125" i="3"/>
  <c r="D185" i="3"/>
  <c r="D126" i="3" s="1"/>
  <c r="F125" i="3"/>
  <c r="F185" i="3"/>
  <c r="F126" i="3" s="1"/>
  <c r="D123" i="3"/>
  <c r="D183" i="3"/>
  <c r="D124" i="3" s="1"/>
  <c r="G113" i="3"/>
  <c r="G119" i="3"/>
  <c r="G143" i="3" s="1"/>
  <c r="G149" i="3" s="1"/>
  <c r="G150" i="3" s="1"/>
  <c r="G156" i="3" s="1"/>
  <c r="G157" i="3" s="1"/>
  <c r="G163" i="3" s="1"/>
  <c r="G164" i="3" s="1"/>
  <c r="G170" i="3" s="1"/>
  <c r="G171" i="3" s="1"/>
  <c r="G177" i="3" s="1"/>
  <c r="G178" i="3" s="1"/>
  <c r="G184" i="3" s="1"/>
  <c r="G105" i="3"/>
  <c r="G104" i="3"/>
  <c r="G112" i="3"/>
  <c r="G118" i="3"/>
  <c r="G142" i="3" s="1"/>
  <c r="G147" i="3" s="1"/>
  <c r="G148" i="3" s="1"/>
  <c r="G154" i="3" s="1"/>
  <c r="G155" i="3" s="1"/>
  <c r="G161" i="3" s="1"/>
  <c r="G162" i="3" s="1"/>
  <c r="G168" i="3" s="1"/>
  <c r="G169" i="3" s="1"/>
  <c r="G175" i="3" s="1"/>
  <c r="G176" i="3" s="1"/>
  <c r="G182" i="3" s="1"/>
  <c r="C84" i="3"/>
  <c r="C96" i="3"/>
  <c r="C97" i="3"/>
  <c r="C95" i="3"/>
  <c r="C98" i="3"/>
  <c r="F123" i="3"/>
  <c r="F183" i="3"/>
  <c r="F124" i="3" s="1"/>
  <c r="I104" i="3"/>
  <c r="I118" i="3"/>
  <c r="I142" i="3" s="1"/>
  <c r="I147" i="3" s="1"/>
  <c r="I148" i="3" s="1"/>
  <c r="I154" i="3" s="1"/>
  <c r="I155" i="3" s="1"/>
  <c r="I161" i="3" s="1"/>
  <c r="I162" i="3" s="1"/>
  <c r="I168" i="3" s="1"/>
  <c r="I169" i="3" s="1"/>
  <c r="I175" i="3" s="1"/>
  <c r="I176" i="3" s="1"/>
  <c r="I182" i="3" s="1"/>
  <c r="H119" i="3"/>
  <c r="H143" i="3" s="1"/>
  <c r="H149" i="3" s="1"/>
  <c r="H150" i="3" s="1"/>
  <c r="H156" i="3" s="1"/>
  <c r="H157" i="3" s="1"/>
  <c r="H163" i="3" s="1"/>
  <c r="H164" i="3" s="1"/>
  <c r="H170" i="3" s="1"/>
  <c r="H171" i="3" s="1"/>
  <c r="H177" i="3" s="1"/>
  <c r="H178" i="3" s="1"/>
  <c r="H184" i="3" s="1"/>
  <c r="H105" i="3"/>
  <c r="H113" i="3"/>
  <c r="B119" i="3"/>
  <c r="B143" i="3" s="1"/>
  <c r="B149" i="3" s="1"/>
  <c r="B150" i="3" s="1"/>
  <c r="B156" i="3" s="1"/>
  <c r="B157" i="3" s="1"/>
  <c r="B163" i="3" s="1"/>
  <c r="B164" i="3" s="1"/>
  <c r="B170" i="3" s="1"/>
  <c r="B171" i="3" s="1"/>
  <c r="B177" i="3" s="1"/>
  <c r="B178" i="3" s="1"/>
  <c r="B184" i="3" s="1"/>
  <c r="B113" i="3"/>
  <c r="C83" i="3"/>
  <c r="H100" i="3"/>
  <c r="H104" i="3" s="1"/>
  <c r="I119" i="3"/>
  <c r="I143" i="3" s="1"/>
  <c r="I149" i="3" s="1"/>
  <c r="I150" i="3" s="1"/>
  <c r="I156" i="3" s="1"/>
  <c r="I157" i="3" s="1"/>
  <c r="I163" i="3" s="1"/>
  <c r="I164" i="3" s="1"/>
  <c r="I170" i="3" s="1"/>
  <c r="I171" i="3" s="1"/>
  <c r="I177" i="3" s="1"/>
  <c r="I178" i="3" s="1"/>
  <c r="I184" i="3" s="1"/>
  <c r="I105" i="3"/>
  <c r="I113" i="3"/>
  <c r="B118" i="3" l="1"/>
  <c r="B142" i="3" s="1"/>
  <c r="B147" i="3" s="1"/>
  <c r="B148" i="3" s="1"/>
  <c r="B154" i="3" s="1"/>
  <c r="B155" i="3" s="1"/>
  <c r="B161" i="3" s="1"/>
  <c r="B162" i="3" s="1"/>
  <c r="B168" i="3" s="1"/>
  <c r="B169" i="3" s="1"/>
  <c r="B175" i="3" s="1"/>
  <c r="B176" i="3" s="1"/>
  <c r="B182" i="3" s="1"/>
  <c r="B123" i="3" s="1"/>
  <c r="B104" i="3"/>
  <c r="B112" i="3"/>
  <c r="H118" i="3"/>
  <c r="H142" i="3" s="1"/>
  <c r="H147" i="3" s="1"/>
  <c r="H148" i="3" s="1"/>
  <c r="H154" i="3" s="1"/>
  <c r="H155" i="3" s="1"/>
  <c r="H161" i="3" s="1"/>
  <c r="H162" i="3" s="1"/>
  <c r="H168" i="3" s="1"/>
  <c r="H169" i="3" s="1"/>
  <c r="H175" i="3" s="1"/>
  <c r="H176" i="3" s="1"/>
  <c r="H182" i="3" s="1"/>
  <c r="H123" i="3" s="1"/>
  <c r="H112" i="3"/>
  <c r="I125" i="3"/>
  <c r="I185" i="3"/>
  <c r="I126" i="3" s="1"/>
  <c r="G125" i="3"/>
  <c r="G185" i="3"/>
  <c r="G126" i="3" s="1"/>
  <c r="H125" i="3"/>
  <c r="H185" i="3"/>
  <c r="H126" i="3" s="1"/>
  <c r="B125" i="3"/>
  <c r="B185" i="3"/>
  <c r="B126" i="3" s="1"/>
  <c r="G123" i="3"/>
  <c r="G183" i="3"/>
  <c r="G124" i="3" s="1"/>
  <c r="I123" i="3"/>
  <c r="I183" i="3"/>
  <c r="I124" i="3" s="1"/>
  <c r="C100" i="3"/>
  <c r="C112" i="3" s="1"/>
  <c r="C119" i="3"/>
  <c r="C143" i="3" s="1"/>
  <c r="C149" i="3" s="1"/>
  <c r="C150" i="3" s="1"/>
  <c r="C156" i="3" s="1"/>
  <c r="C157" i="3" s="1"/>
  <c r="C163" i="3" s="1"/>
  <c r="C164" i="3" s="1"/>
  <c r="C170" i="3" s="1"/>
  <c r="C171" i="3" s="1"/>
  <c r="C177" i="3" s="1"/>
  <c r="C178" i="3" s="1"/>
  <c r="C184" i="3" s="1"/>
  <c r="C105" i="3"/>
  <c r="C113" i="3"/>
  <c r="B183" i="3" l="1"/>
  <c r="B124" i="3" s="1"/>
  <c r="H183" i="3"/>
  <c r="H124" i="3" s="1"/>
  <c r="C125" i="3"/>
  <c r="C185" i="3"/>
  <c r="C126" i="3" s="1"/>
  <c r="C104" i="3"/>
  <c r="C118" i="3"/>
  <c r="C142" i="3" s="1"/>
  <c r="C147" i="3" s="1"/>
  <c r="C148" i="3" s="1"/>
  <c r="C154" i="3" s="1"/>
  <c r="C155" i="3" s="1"/>
  <c r="C161" i="3" s="1"/>
  <c r="C162" i="3" s="1"/>
  <c r="C168" i="3" s="1"/>
  <c r="C169" i="3" s="1"/>
  <c r="C175" i="3" s="1"/>
  <c r="C176" i="3" s="1"/>
  <c r="C182" i="3" s="1"/>
  <c r="C123" i="3" l="1"/>
  <c r="C183" i="3"/>
  <c r="C124" i="3" s="1"/>
</calcChain>
</file>

<file path=xl/sharedStrings.xml><?xml version="1.0" encoding="utf-8"?>
<sst xmlns="http://schemas.openxmlformats.org/spreadsheetml/2006/main" count="528" uniqueCount="199">
  <si>
    <t>Formula per 23 Oxygens (all Fe as FeO)</t>
  </si>
  <si>
    <t>Atom prop</t>
  </si>
  <si>
    <t>f2</t>
  </si>
  <si>
    <t>f3</t>
  </si>
  <si>
    <t>f4</t>
  </si>
  <si>
    <t>f5</t>
  </si>
  <si>
    <t>f6</t>
  </si>
  <si>
    <t>f7</t>
  </si>
  <si>
    <t>f8</t>
  </si>
  <si>
    <t>f9</t>
  </si>
  <si>
    <t>f10</t>
  </si>
  <si>
    <t>smallest f1-5</t>
  </si>
  <si>
    <t>largest f6-10</t>
  </si>
  <si>
    <t xml:space="preserve">av f </t>
  </si>
  <si>
    <t>Plagioclase-Hornblende Thermobarometry (temperature by Holland and Blundy, 1994; Blundy and Holland, 1990;</t>
  </si>
  <si>
    <t xml:space="preserve">              at pressure by Schmidt, 1992 and Anderson and Smith, 1995)</t>
  </si>
  <si>
    <t>Spreadsheet prepared by Lawford Anderson, University of Southern California (anderson@usc.edu)</t>
  </si>
  <si>
    <t xml:space="preserve">References: </t>
  </si>
  <si>
    <t>Anderson, J. L. 1996. Status of thermobarometry in granitic batholiths: Transactions of the Royal Society of Edinburgh, v. 87, 125-138. [also published in GSA Special Paper 315]</t>
  </si>
  <si>
    <t>cm</t>
  </si>
  <si>
    <t>XSi,T1</t>
  </si>
  <si>
    <t>XAl,T1</t>
  </si>
  <si>
    <t>XAl,M2</t>
  </si>
  <si>
    <t>Xvac,A</t>
  </si>
  <si>
    <t>XNa,A</t>
  </si>
  <si>
    <t>XNa,M4</t>
  </si>
  <si>
    <t>XCa,M4</t>
  </si>
  <si>
    <t>XK,A</t>
  </si>
  <si>
    <t>Ked-tr</t>
  </si>
  <si>
    <t>Thermometry based on arbitrary pressure (user may input arbitary pressures in Kb))</t>
  </si>
  <si>
    <t>P kb (var input)</t>
  </si>
  <si>
    <t>T (C) HB1 '94</t>
  </si>
  <si>
    <t>T (C) HB2 '94</t>
  </si>
  <si>
    <t>T (C) BH '90</t>
  </si>
  <si>
    <t>Results based on Schmidt pressure (used for purposes of calculation)</t>
  </si>
  <si>
    <t>Pschmidt (kb)</t>
  </si>
  <si>
    <t>Preferred values,</t>
    <phoneticPr fontId="7" type="noConversion"/>
  </si>
  <si>
    <t xml:space="preserve"> see Anderson (1996)</t>
    <phoneticPr fontId="7" type="noConversion"/>
  </si>
  <si>
    <t>**********************************************************************************************************************************</t>
    <phoneticPr fontId="7" type="noConversion"/>
  </si>
  <si>
    <t>Data below used for iterative calculations</t>
    <phoneticPr fontId="7" type="noConversion"/>
  </si>
  <si>
    <t>Blundy, J. D. &amp; Holland, T. J. B. 1990. Calcic amphibole equilibria and a new amphibole-plagioclase geothermometer. CONTRIB MINERAL  PETROL 104, 208-24.</t>
  </si>
  <si>
    <t>Holland, T. &amp;  Blundy, J. 1994. Non-ideal interactions in calcic amphiboles and their bearing on amphibole-plagioclase thermometry. CONTRIB MINERAL PETROL 116, 433-47.</t>
  </si>
  <si>
    <t>Extend cell formatting as needed, and re-save</t>
  </si>
  <si>
    <t xml:space="preserve">Final P-T Solution - see section below "Results based on iteration using Anderson and Smith pressure at various thermometers"; Note preferred calibration as explained in Anderson (1996). </t>
  </si>
  <si>
    <t>g1.c</t>
  </si>
  <si>
    <t>XAb</t>
  </si>
  <si>
    <t>X An</t>
  </si>
  <si>
    <t>Do not add data below this row (except where indicated)</t>
  </si>
  <si>
    <t>Fe2O3,calc</t>
  </si>
  <si>
    <t>FeO,calc</t>
  </si>
  <si>
    <t>H2O,calc</t>
  </si>
  <si>
    <t>O=F, Cl</t>
  </si>
  <si>
    <t>SUM</t>
  </si>
  <si>
    <t xml:space="preserve">      Fe3/Fe* = </t>
  </si>
  <si>
    <t>Formula per Holland and Blundy, 1994</t>
  </si>
  <si>
    <t>T-sites</t>
  </si>
  <si>
    <t>Si</t>
  </si>
  <si>
    <t>Aliv</t>
  </si>
  <si>
    <t>Al(total)</t>
  </si>
  <si>
    <t>M1,2,3 sites</t>
  </si>
  <si>
    <t>Alvi</t>
  </si>
  <si>
    <t>Ti</t>
  </si>
  <si>
    <t>Fe3+</t>
  </si>
  <si>
    <t>Mg</t>
  </si>
  <si>
    <t>Mn</t>
  </si>
  <si>
    <t>Fe2+</t>
  </si>
  <si>
    <t>Ca</t>
  </si>
  <si>
    <t>M4 site</t>
  </si>
  <si>
    <t>Fe</t>
  </si>
  <si>
    <t>Na</t>
  </si>
  <si>
    <t>A site</t>
  </si>
  <si>
    <t>K</t>
  </si>
  <si>
    <t>Sum A</t>
  </si>
  <si>
    <t>OH site</t>
  </si>
  <si>
    <t>O</t>
  </si>
  <si>
    <t>OH</t>
  </si>
  <si>
    <t>Sum cations</t>
  </si>
  <si>
    <t>Cation CHG</t>
  </si>
  <si>
    <t>Add data for elements</t>
  </si>
  <si>
    <t>Catalina granite, Santa Catalina Mtns., Arizona</t>
  </si>
  <si>
    <t>Texture</t>
  </si>
  <si>
    <t>rim</t>
  </si>
  <si>
    <t>Sample</t>
  </si>
  <si>
    <t>sc86-15</t>
  </si>
  <si>
    <t>sc86-16</t>
  </si>
  <si>
    <t>sc86-17</t>
  </si>
  <si>
    <t>Specimen</t>
  </si>
  <si>
    <t>b1</t>
  </si>
  <si>
    <t>c1</t>
  </si>
  <si>
    <t>e1</t>
  </si>
  <si>
    <t>f1</t>
  </si>
  <si>
    <t>g1</t>
  </si>
  <si>
    <t>l1</t>
  </si>
  <si>
    <t>l1a</t>
  </si>
  <si>
    <t>l1b</t>
  </si>
  <si>
    <t>h1</t>
  </si>
  <si>
    <t>o1.1</t>
  </si>
  <si>
    <t>o1.2</t>
  </si>
  <si>
    <t>i1</t>
  </si>
  <si>
    <t>SiO2</t>
  </si>
  <si>
    <t>TiO2</t>
  </si>
  <si>
    <t>Al2O3</t>
  </si>
  <si>
    <t>FeO*</t>
  </si>
  <si>
    <t>MgO</t>
  </si>
  <si>
    <t>MnO</t>
  </si>
  <si>
    <t>CaO</t>
  </si>
  <si>
    <t>Na2O</t>
  </si>
  <si>
    <t>K2O</t>
  </si>
  <si>
    <t>F</t>
  </si>
  <si>
    <t>Cl</t>
  </si>
  <si>
    <t>Sum</t>
  </si>
  <si>
    <t>Add data for Plagioclase</t>
  </si>
  <si>
    <t>Plag</t>
  </si>
  <si>
    <t>h1.1</t>
  </si>
  <si>
    <t>h1.2</t>
  </si>
  <si>
    <t>h1.3</t>
  </si>
  <si>
    <t>I1rim</t>
  </si>
  <si>
    <t>i1c</t>
  </si>
  <si>
    <t>i1b</t>
  </si>
  <si>
    <t>c1-d</t>
  </si>
  <si>
    <t>c1rim</t>
  </si>
  <si>
    <t>c1-c</t>
  </si>
  <si>
    <t>c 1-b</t>
  </si>
  <si>
    <t>g1.b</t>
  </si>
  <si>
    <t>k1.b</t>
  </si>
  <si>
    <t xml:space="preserve">To use this spreadsheet, simply paste in amphibole (wt. % elements, excluding Sum) and plagioclase (mole fraction) analyses in the examples shown below and use the "Save As" option to protect the original.  Cells below the data section are not protected and modification could currupt calculations. </t>
  </si>
  <si>
    <t>Iteration 7</t>
  </si>
  <si>
    <t>T (C) HB1*</t>
  </si>
  <si>
    <t xml:space="preserve">    P(Kb) HB1*</t>
  </si>
  <si>
    <t>Fe#</t>
  </si>
  <si>
    <t>Mg/Fe2+</t>
  </si>
  <si>
    <t>Mg/Fe</t>
  </si>
  <si>
    <t>XMg</t>
  </si>
  <si>
    <t>XOH</t>
  </si>
  <si>
    <t>HB 1 refers to Holland and Blundy Hbld-Plag thermometry calibration reaction edenite + 4 quartz = tremolite + albite</t>
  </si>
  <si>
    <t>HB 2 refers to Holland and Blundy Hbld-Plag thermometry calibration reaction edenite + albite = richterite + anorthite</t>
  </si>
  <si>
    <t>BH refers to Blundy and Holland Hbld-Plag thermometry calibration reaction edenite + 4 quartz = tremolite + albite</t>
  </si>
  <si>
    <t>Temperature based on Ti (Otten, 1984) - warning: semi empirical; best used to determine magmatic versus secondary compositions</t>
  </si>
  <si>
    <t>T (C) Ti-hbld</t>
  </si>
  <si>
    <t>Iterations for Anderson and Smith/Holland and Blundy</t>
  </si>
  <si>
    <t>Iteration 1 (using T at Schmidt P)</t>
  </si>
  <si>
    <t>Pas HB1</t>
  </si>
  <si>
    <t>Pas HB2</t>
  </si>
  <si>
    <t>Pas BH</t>
  </si>
  <si>
    <t>Iteration 2 (using prior P for new T and P)</t>
  </si>
  <si>
    <t>T (C) HB1</t>
  </si>
  <si>
    <t xml:space="preserve">    P(Kb) HB1 </t>
  </si>
  <si>
    <t>T (C) HB2</t>
  </si>
  <si>
    <t xml:space="preserve">   P(Kb) HB2</t>
  </si>
  <si>
    <t>T (C) BH</t>
  </si>
  <si>
    <t xml:space="preserve">   P(Kb) BH</t>
  </si>
  <si>
    <t>Iteration 3</t>
  </si>
  <si>
    <t>Iteration 4</t>
  </si>
  <si>
    <t>Iteration 5</t>
  </si>
  <si>
    <t>Iteration 6</t>
  </si>
  <si>
    <t>Results based on iteration using Anderson and Smith pressure at various thermometers (note: jla prefers HB2 results)</t>
  </si>
  <si>
    <t>*</t>
  </si>
  <si>
    <t>Johnson, M. C. &amp; Rutherford, M. J. 1989. Experimental calibration of an aluminum-in-hornblende geobarometer with application to Long Valley caldera (California) volcanic rocks. GEOL 17, 837-841.</t>
  </si>
  <si>
    <t xml:space="preserve">Otten, M. T. 1984. The origin of brown hornblende in the Artfjallet gabbro and dolerites. CONTRIB MINERAL PETROL  86, 189-99. </t>
  </si>
  <si>
    <t>Schmidt, M. W. 1992. Amphibole composition in tonalite as a function of pressure: an experimental calibration of the Al-in-hornblende barometer. CONTRIB MINERAL PETROL 110, 304-10.</t>
  </si>
  <si>
    <t xml:space="preserve">Schmidt, M. W. 1993. Phase relations and compositions in tonalite as a function of pressure: an experimental study at 650 °C. AMER J SCIENCE 293, 1011-60. </t>
  </si>
  <si>
    <t>Anderson, J. L. &amp; Smith, D. R. 1995. The effect of temperature and oxygen fugacity on Al-in-hornblende barometry. AM MINERAL 80, 549-59.</t>
  </si>
  <si>
    <t>Jordans Thermometer B</t>
  </si>
  <si>
    <t>sample</t>
  </si>
  <si>
    <t>SiO2_Amp</t>
  </si>
  <si>
    <t>TiO2_Amp</t>
  </si>
  <si>
    <t>FeOt_Amp</t>
  </si>
  <si>
    <t>CaO_Amp</t>
  </si>
  <si>
    <t>K2O_Amp</t>
  </si>
  <si>
    <t>87S35a3</t>
  </si>
  <si>
    <t>87S35a11</t>
  </si>
  <si>
    <t>87S35a10</t>
  </si>
  <si>
    <t>87S35a13</t>
  </si>
  <si>
    <t>85S52b14</t>
  </si>
  <si>
    <t>85S52b9</t>
  </si>
  <si>
    <t>Al2O3_Amp</t>
  </si>
  <si>
    <t>Na2O_Amp</t>
  </si>
  <si>
    <t>MgO_Amp</t>
  </si>
  <si>
    <t>MnO_Amp</t>
  </si>
  <si>
    <t>Ta_Spreadsheet</t>
  </si>
  <si>
    <t>Tb_spreadsheet</t>
  </si>
  <si>
    <t>SiO2_Plag</t>
  </si>
  <si>
    <t>Al2O3_Plag</t>
  </si>
  <si>
    <t>MgO_Plag</t>
  </si>
  <si>
    <t>CaO_Plag</t>
  </si>
  <si>
    <t>Na2O_Plag</t>
  </si>
  <si>
    <t>K2O_Plag</t>
  </si>
  <si>
    <t>Total_Plag</t>
  </si>
  <si>
    <t>FeOt_Plag</t>
  </si>
  <si>
    <t>XAb_calc</t>
  </si>
  <si>
    <t>XAn_calc</t>
  </si>
  <si>
    <t>Ta_spreadsheet2</t>
  </si>
  <si>
    <t>Tb_spreadsheet2</t>
  </si>
  <si>
    <t>Yab</t>
  </si>
  <si>
    <t>Yab-an</t>
  </si>
  <si>
    <t>*This sheet technically doesn’t do the Yab term right, but in this example it doesn’t matter becaue Xab is alwas &gt;0.5</t>
  </si>
  <si>
    <t>* This spreadsheet was doing it wrong,  at Xab&lt;0.5, need different term for Y</t>
  </si>
  <si>
    <t>T (C) HB1 '94_Corrected</t>
  </si>
  <si>
    <t>T (C) HB2 '94_Corrected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</si>
</sst>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0.000"/>
    <numFmt numFmtId="174" formatCode="0.0"/>
  </numFmts>
  <fonts count="10">
    <font>
      <sz val="10"/>
      <name val="Geneva"/>
    </font>
    <font>
      <b/>
      <sz val="10"/>
      <name val="Geneva"/>
    </font>
    <font>
      <sz val="10"/>
      <name val="Geneva"/>
    </font>
    <font>
      <u/>
      <sz val="10"/>
      <name val="Geneva"/>
    </font>
    <font>
      <b/>
      <u/>
      <sz val="10"/>
      <name val="Geneva"/>
    </font>
    <font>
      <b/>
      <sz val="10"/>
      <name val="Geneva"/>
    </font>
    <font>
      <u/>
      <sz val="9"/>
      <name val="Geneva"/>
    </font>
    <font>
      <sz val="8"/>
      <name val="Verdana"/>
      <family val="2"/>
    </font>
    <font>
      <sz val="7"/>
      <name val="Segoe UI"/>
      <family val="2"/>
    </font>
    <font>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6" tint="-0.249977111117893"/>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9" fillId="0" borderId="0"/>
  </cellStyleXfs>
  <cellXfs count="114">
    <xf numFmtId="0" fontId="0" fillId="0" borderId="0" xfId="0"/>
    <xf numFmtId="2" fontId="0" fillId="0" borderId="0" xfId="0" applyNumberFormat="1"/>
    <xf numFmtId="1" fontId="0" fillId="0" borderId="0" xfId="0" applyNumberFormat="1"/>
    <xf numFmtId="172" fontId="0" fillId="0" borderId="0" xfId="0" applyNumberFormat="1"/>
    <xf numFmtId="1" fontId="3" fillId="0" borderId="0" xfId="0" applyNumberFormat="1" applyFont="1"/>
    <xf numFmtId="172" fontId="3" fillId="0" borderId="0" xfId="0" applyNumberFormat="1" applyFont="1"/>
    <xf numFmtId="2" fontId="3" fillId="0" borderId="0" xfId="0" applyNumberFormat="1" applyFont="1"/>
    <xf numFmtId="0" fontId="3" fillId="0" borderId="0" xfId="0" applyFont="1" applyAlignment="1">
      <alignment horizontal="center"/>
    </xf>
    <xf numFmtId="172" fontId="1" fillId="0" borderId="0" xfId="0" applyNumberFormat="1" applyFont="1"/>
    <xf numFmtId="172" fontId="2" fillId="0" borderId="0" xfId="0" applyNumberFormat="1" applyFont="1"/>
    <xf numFmtId="0" fontId="3" fillId="0" borderId="0" xfId="0" applyFont="1"/>
    <xf numFmtId="172" fontId="1" fillId="0" borderId="0" xfId="0" applyNumberFormat="1" applyFont="1" applyFill="1" applyBorder="1"/>
    <xf numFmtId="172" fontId="0" fillId="0" borderId="0" xfId="0" applyNumberFormat="1" applyFill="1" applyBorder="1"/>
    <xf numFmtId="172" fontId="1" fillId="0" borderId="0" xfId="0" applyNumberFormat="1" applyFont="1" applyAlignment="1">
      <alignment horizontal="center"/>
    </xf>
    <xf numFmtId="0" fontId="0" fillId="0" borderId="0" xfId="0" applyBorder="1"/>
    <xf numFmtId="0" fontId="4" fillId="0" borderId="0" xfId="0" applyFont="1"/>
    <xf numFmtId="0" fontId="0" fillId="0" borderId="0" xfId="0" applyAlignment="1">
      <alignment horizontal="right"/>
    </xf>
    <xf numFmtId="0" fontId="3" fillId="0" borderId="0" xfId="0" applyFont="1" applyAlignment="1">
      <alignment horizontal="right"/>
    </xf>
    <xf numFmtId="172" fontId="5" fillId="0" borderId="0" xfId="0" applyNumberFormat="1" applyFont="1" applyFill="1" applyBorder="1" applyAlignment="1">
      <alignment horizontal="left"/>
    </xf>
    <xf numFmtId="172" fontId="5" fillId="0" borderId="0" xfId="0" applyNumberFormat="1" applyFont="1" applyBorder="1"/>
    <xf numFmtId="172" fontId="4" fillId="0" borderId="0" xfId="0" applyNumberFormat="1" applyFont="1"/>
    <xf numFmtId="172" fontId="2" fillId="0" borderId="0" xfId="0" applyNumberFormat="1" applyFont="1" applyBorder="1"/>
    <xf numFmtId="0" fontId="0" fillId="0" borderId="0" xfId="0" applyAlignment="1">
      <alignment horizontal="center"/>
    </xf>
    <xf numFmtId="0" fontId="0" fillId="0" borderId="0" xfId="0" applyBorder="1" applyAlignment="1">
      <alignment horizontal="center"/>
    </xf>
    <xf numFmtId="172" fontId="4" fillId="0" borderId="0" xfId="0" applyNumberFormat="1" applyFont="1" applyFill="1" applyBorder="1" applyAlignment="1">
      <alignment horizontal="left"/>
    </xf>
    <xf numFmtId="172" fontId="0" fillId="0" borderId="0" xfId="0" applyNumberFormat="1" applyBorder="1"/>
    <xf numFmtId="2" fontId="2" fillId="0" borderId="0" xfId="0" applyNumberFormat="1" applyFont="1" applyBorder="1"/>
    <xf numFmtId="174" fontId="2" fillId="0" borderId="0" xfId="0" applyNumberFormat="1" applyFont="1"/>
    <xf numFmtId="174" fontId="2" fillId="0" borderId="0" xfId="0" applyNumberFormat="1" applyFont="1" applyBorder="1"/>
    <xf numFmtId="174" fontId="0" fillId="0" borderId="0" xfId="0" applyNumberFormat="1" applyBorder="1" applyAlignment="1">
      <alignment horizontal="right"/>
    </xf>
    <xf numFmtId="2" fontId="0" fillId="0" borderId="0" xfId="0" applyNumberFormat="1" applyBorder="1"/>
    <xf numFmtId="174" fontId="1" fillId="0" borderId="0" xfId="0" applyNumberFormat="1" applyFont="1" applyBorder="1"/>
    <xf numFmtId="2" fontId="1" fillId="0" borderId="0" xfId="0" applyNumberFormat="1" applyFont="1" applyBorder="1"/>
    <xf numFmtId="172" fontId="0" fillId="0" borderId="0" xfId="0" applyNumberFormat="1" applyBorder="1" applyAlignment="1">
      <alignment horizontal="right"/>
    </xf>
    <xf numFmtId="2" fontId="0" fillId="0" borderId="0" xfId="0" applyNumberFormat="1" applyBorder="1" applyAlignment="1">
      <alignment horizontal="right"/>
    </xf>
    <xf numFmtId="2" fontId="3" fillId="0" borderId="0" xfId="0" applyNumberFormat="1" applyFont="1" applyBorder="1"/>
    <xf numFmtId="2" fontId="3" fillId="0" borderId="0" xfId="0" applyNumberFormat="1" applyFont="1" applyBorder="1" applyAlignment="1">
      <alignment horizontal="center"/>
    </xf>
    <xf numFmtId="0" fontId="6" fillId="0" borderId="0" xfId="0" applyFont="1" applyBorder="1" applyAlignment="1">
      <alignment horizontal="right"/>
    </xf>
    <xf numFmtId="174" fontId="0" fillId="0" borderId="0" xfId="0" applyNumberFormat="1" applyBorder="1" applyAlignment="1">
      <alignment horizontal="center"/>
    </xf>
    <xf numFmtId="0" fontId="1" fillId="0" borderId="0" xfId="0" applyFont="1"/>
    <xf numFmtId="2" fontId="2" fillId="0" borderId="0" xfId="0" applyNumberFormat="1" applyFont="1"/>
    <xf numFmtId="0" fontId="2" fillId="0" borderId="0" xfId="0" applyFont="1"/>
    <xf numFmtId="174" fontId="2" fillId="0" borderId="0" xfId="0" applyNumberFormat="1" applyFont="1" applyBorder="1" applyAlignment="1">
      <alignment horizontal="right"/>
    </xf>
    <xf numFmtId="2" fontId="2" fillId="0" borderId="1" xfId="0" applyNumberFormat="1" applyFont="1" applyBorder="1"/>
    <xf numFmtId="172" fontId="2" fillId="0" borderId="1" xfId="0" applyNumberFormat="1" applyFont="1" applyBorder="1"/>
    <xf numFmtId="2" fontId="1" fillId="0" borderId="1" xfId="0" applyNumberFormat="1" applyFont="1" applyBorder="1"/>
    <xf numFmtId="172" fontId="1" fillId="0" borderId="1" xfId="0" applyNumberFormat="1" applyFont="1" applyBorder="1"/>
    <xf numFmtId="0" fontId="0" fillId="0" borderId="2" xfId="0" applyBorder="1"/>
    <xf numFmtId="174" fontId="2" fillId="0" borderId="3" xfId="0" applyNumberFormat="1" applyFont="1" applyBorder="1"/>
    <xf numFmtId="2" fontId="2" fillId="0" borderId="4" xfId="0" applyNumberFormat="1" applyFont="1" applyBorder="1"/>
    <xf numFmtId="174" fontId="1" fillId="0" borderId="3" xfId="0" applyNumberFormat="1" applyFont="1" applyBorder="1"/>
    <xf numFmtId="2" fontId="1" fillId="0" borderId="4" xfId="0" applyNumberFormat="1" applyFont="1" applyBorder="1"/>
    <xf numFmtId="2" fontId="0" fillId="0" borderId="0" xfId="0" applyNumberFormat="1" applyAlignment="1">
      <alignment horizontal="right"/>
    </xf>
    <xf numFmtId="0" fontId="4" fillId="0" borderId="5" xfId="0" applyFont="1" applyBorder="1"/>
    <xf numFmtId="2" fontId="3" fillId="0" borderId="0" xfId="0" applyNumberFormat="1" applyFont="1" applyBorder="1" applyAlignment="1">
      <alignment horizontal="left"/>
    </xf>
    <xf numFmtId="0" fontId="3" fillId="0" borderId="0" xfId="0" applyFont="1" applyBorder="1" applyAlignment="1">
      <alignment horizontal="center"/>
    </xf>
    <xf numFmtId="172" fontId="1" fillId="0" borderId="0" xfId="0" applyNumberFormat="1" applyFont="1" applyBorder="1"/>
    <xf numFmtId="1" fontId="0" fillId="0" borderId="0" xfId="0" applyNumberFormat="1" applyBorder="1"/>
    <xf numFmtId="172" fontId="1" fillId="0" borderId="5" xfId="0" applyNumberFormat="1" applyFont="1" applyBorder="1"/>
    <xf numFmtId="172" fontId="1" fillId="0" borderId="2" xfId="0" applyNumberFormat="1" applyFont="1" applyBorder="1"/>
    <xf numFmtId="172" fontId="1" fillId="0" borderId="6" xfId="0" applyNumberFormat="1" applyFont="1" applyBorder="1"/>
    <xf numFmtId="172" fontId="1" fillId="0" borderId="4" xfId="0" applyNumberFormat="1" applyFont="1" applyBorder="1"/>
    <xf numFmtId="172" fontId="1" fillId="0" borderId="7" xfId="0" applyNumberFormat="1" applyFont="1" applyBorder="1"/>
    <xf numFmtId="0" fontId="0" fillId="2" borderId="0" xfId="0" applyFill="1"/>
    <xf numFmtId="0" fontId="0" fillId="2" borderId="0" xfId="0" applyFill="1" applyBorder="1"/>
    <xf numFmtId="0" fontId="2" fillId="2" borderId="0" xfId="0" applyFont="1" applyFill="1" applyBorder="1"/>
    <xf numFmtId="0" fontId="1" fillId="2" borderId="0" xfId="0" applyFont="1" applyFill="1"/>
    <xf numFmtId="2" fontId="3" fillId="2" borderId="0" xfId="0" applyNumberFormat="1" applyFont="1" applyFill="1" applyBorder="1" applyAlignment="1">
      <alignment horizontal="center"/>
    </xf>
    <xf numFmtId="0" fontId="6" fillId="2" borderId="0" xfId="0" applyFont="1" applyFill="1" applyBorder="1" applyAlignment="1">
      <alignment horizontal="right"/>
    </xf>
    <xf numFmtId="174" fontId="0" fillId="2" borderId="0" xfId="0" applyNumberFormat="1" applyFill="1" applyBorder="1" applyAlignment="1">
      <alignment horizontal="center"/>
    </xf>
    <xf numFmtId="2" fontId="0" fillId="2" borderId="0" xfId="0" applyNumberFormat="1" applyFill="1" applyBorder="1"/>
    <xf numFmtId="2" fontId="3" fillId="2" borderId="0" xfId="0" applyNumberFormat="1" applyFont="1" applyFill="1" applyBorder="1"/>
    <xf numFmtId="2" fontId="0" fillId="2" borderId="0" xfId="0" applyNumberFormat="1" applyFill="1"/>
    <xf numFmtId="172" fontId="5" fillId="2" borderId="0" xfId="0" applyNumberFormat="1" applyFont="1" applyFill="1" applyAlignment="1">
      <alignment horizontal="center"/>
    </xf>
    <xf numFmtId="172" fontId="5" fillId="2" borderId="0" xfId="0" applyNumberFormat="1" applyFont="1" applyFill="1" applyBorder="1" applyAlignment="1">
      <alignment horizontal="center"/>
    </xf>
    <xf numFmtId="172" fontId="2" fillId="2" borderId="0" xfId="0" applyNumberFormat="1" applyFont="1" applyFill="1"/>
    <xf numFmtId="172" fontId="2" fillId="2" borderId="0" xfId="0" applyNumberFormat="1" applyFont="1" applyFill="1" applyBorder="1"/>
    <xf numFmtId="0" fontId="0" fillId="2" borderId="0" xfId="0" applyFill="1" applyBorder="1" applyAlignment="1">
      <alignment horizontal="center"/>
    </xf>
    <xf numFmtId="0" fontId="8" fillId="2" borderId="0" xfId="0" applyFont="1" applyFill="1"/>
    <xf numFmtId="2" fontId="3" fillId="2" borderId="0" xfId="0" applyNumberFormat="1" applyFont="1" applyFill="1"/>
    <xf numFmtId="172" fontId="5" fillId="2" borderId="0" xfId="0" applyNumberFormat="1" applyFont="1" applyFill="1" applyBorder="1"/>
    <xf numFmtId="172" fontId="0" fillId="2" borderId="0" xfId="0" applyNumberFormat="1" applyFill="1"/>
    <xf numFmtId="172" fontId="0" fillId="2" borderId="0" xfId="0" applyNumberFormat="1" applyFill="1" applyBorder="1"/>
    <xf numFmtId="172" fontId="3" fillId="2" borderId="0" xfId="0" applyNumberFormat="1" applyFont="1" applyFill="1"/>
    <xf numFmtId="172" fontId="3" fillId="2" borderId="0" xfId="0" applyNumberFormat="1" applyFont="1" applyFill="1" applyBorder="1"/>
    <xf numFmtId="174" fontId="2" fillId="2" borderId="0" xfId="0" applyNumberFormat="1" applyFont="1" applyFill="1" applyBorder="1"/>
    <xf numFmtId="174" fontId="0" fillId="2" borderId="0" xfId="0" applyNumberFormat="1" applyFill="1" applyBorder="1" applyAlignment="1">
      <alignment horizontal="right"/>
    </xf>
    <xf numFmtId="2" fontId="2" fillId="2" borderId="0" xfId="0" applyNumberFormat="1" applyFont="1" applyFill="1" applyBorder="1"/>
    <xf numFmtId="174" fontId="2" fillId="2" borderId="0" xfId="0" applyNumberFormat="1" applyFont="1" applyFill="1" applyBorder="1" applyAlignment="1">
      <alignment horizontal="right"/>
    </xf>
    <xf numFmtId="0" fontId="0" fillId="2" borderId="2" xfId="0" applyFill="1" applyBorder="1"/>
    <xf numFmtId="2" fontId="2" fillId="2" borderId="1" xfId="0" applyNumberFormat="1" applyFont="1" applyFill="1" applyBorder="1"/>
    <xf numFmtId="174" fontId="1" fillId="2" borderId="0" xfId="0" applyNumberFormat="1" applyFont="1" applyFill="1" applyBorder="1"/>
    <xf numFmtId="174" fontId="1" fillId="2" borderId="2" xfId="0" applyNumberFormat="1" applyFont="1" applyFill="1" applyBorder="1"/>
    <xf numFmtId="2" fontId="1" fillId="2" borderId="1" xfId="0" applyNumberFormat="1" applyFont="1" applyFill="1" applyBorder="1"/>
    <xf numFmtId="2" fontId="1" fillId="2" borderId="0" xfId="0" applyNumberFormat="1" applyFont="1" applyFill="1" applyBorder="1"/>
    <xf numFmtId="174" fontId="2" fillId="2" borderId="2" xfId="0" applyNumberFormat="1" applyFont="1" applyFill="1" applyBorder="1"/>
    <xf numFmtId="172" fontId="0" fillId="2" borderId="2" xfId="0" applyNumberFormat="1" applyFill="1" applyBorder="1"/>
    <xf numFmtId="174" fontId="0" fillId="2" borderId="0" xfId="0" applyNumberFormat="1" applyFill="1" applyBorder="1"/>
    <xf numFmtId="172" fontId="1" fillId="2" borderId="0" xfId="0" applyNumberFormat="1" applyFont="1" applyFill="1" applyBorder="1"/>
    <xf numFmtId="172" fontId="1" fillId="2" borderId="0" xfId="0" applyNumberFormat="1" applyFont="1" applyFill="1" applyAlignment="1">
      <alignment horizontal="center"/>
    </xf>
    <xf numFmtId="172" fontId="1" fillId="2" borderId="0" xfId="0" applyNumberFormat="1" applyFont="1" applyFill="1" applyBorder="1" applyAlignment="1">
      <alignment horizontal="center"/>
    </xf>
    <xf numFmtId="174" fontId="2" fillId="3" borderId="0" xfId="0" applyNumberFormat="1" applyFont="1" applyFill="1"/>
    <xf numFmtId="174" fontId="2" fillId="3" borderId="0" xfId="0" applyNumberFormat="1" applyFont="1" applyFill="1" applyBorder="1"/>
    <xf numFmtId="172" fontId="2" fillId="3" borderId="0" xfId="0" applyNumberFormat="1" applyFont="1" applyFill="1" applyBorder="1"/>
    <xf numFmtId="172" fontId="2" fillId="3" borderId="0" xfId="0" applyNumberFormat="1" applyFont="1" applyFill="1"/>
    <xf numFmtId="172" fontId="0" fillId="0" borderId="0" xfId="0" applyNumberFormat="1" applyFont="1" applyBorder="1"/>
    <xf numFmtId="0" fontId="9" fillId="0" borderId="0" xfId="1"/>
    <xf numFmtId="0" fontId="9" fillId="0" borderId="0" xfId="1" applyFill="1"/>
    <xf numFmtId="174" fontId="0" fillId="0" borderId="0" xfId="0" applyNumberFormat="1" applyBorder="1" applyAlignment="1">
      <alignment horizontal="left"/>
    </xf>
    <xf numFmtId="172" fontId="0" fillId="3" borderId="0" xfId="0" applyNumberFormat="1" applyFont="1" applyFill="1" applyBorder="1"/>
    <xf numFmtId="0" fontId="0" fillId="4" borderId="0" xfId="0" applyFill="1"/>
    <xf numFmtId="174" fontId="0" fillId="4" borderId="0" xfId="0" applyNumberFormat="1" applyFill="1" applyBorder="1" applyAlignment="1">
      <alignment horizontal="right"/>
    </xf>
    <xf numFmtId="172" fontId="0" fillId="4" borderId="0" xfId="0" applyNumberFormat="1" applyFill="1" applyBorder="1"/>
    <xf numFmtId="172" fontId="0" fillId="4" borderId="0" xfId="0" applyNumberFormat="1" applyFill="1"/>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41"/>
  <sheetViews>
    <sheetView tabSelected="1" topLeftCell="A93" workbookViewId="0">
      <selection activeCell="D111" sqref="D111"/>
    </sheetView>
  </sheetViews>
  <sheetFormatPr defaultColWidth="12.44140625" defaultRowHeight="13.2"/>
  <cols>
    <col min="1" max="1" width="20.33203125" customWidth="1"/>
    <col min="2" max="6" width="6.5546875" style="63" customWidth="1"/>
    <col min="7" max="7" width="6.5546875" style="64" customWidth="1"/>
    <col min="8" max="10" width="6.5546875" customWidth="1"/>
    <col min="11" max="11" width="58.88671875" customWidth="1"/>
    <col min="12" max="14" width="6.5546875" customWidth="1"/>
    <col min="15" max="44" width="6.5546875" style="14" customWidth="1"/>
    <col min="45" max="220" width="6.5546875" customWidth="1"/>
  </cols>
  <sheetData>
    <row r="1" spans="1:6">
      <c r="A1" s="39" t="s">
        <v>14</v>
      </c>
      <c r="E1" s="64"/>
      <c r="F1" s="64"/>
    </row>
    <row r="2" spans="1:6">
      <c r="A2" s="39" t="s">
        <v>15</v>
      </c>
      <c r="E2" s="64"/>
      <c r="F2" s="64"/>
    </row>
    <row r="3" spans="1:6">
      <c r="E3" s="64"/>
      <c r="F3" s="64"/>
    </row>
    <row r="4" spans="1:6">
      <c r="A4" s="10" t="s">
        <v>16</v>
      </c>
      <c r="E4" s="64"/>
      <c r="F4" s="64"/>
    </row>
    <row r="5" spans="1:6">
      <c r="A5" t="s">
        <v>17</v>
      </c>
      <c r="B5" s="63" t="s">
        <v>18</v>
      </c>
      <c r="E5" s="64"/>
      <c r="F5" s="64"/>
    </row>
    <row r="6" spans="1:6">
      <c r="B6" s="63" t="s">
        <v>161</v>
      </c>
      <c r="E6" s="64"/>
      <c r="F6" s="64"/>
    </row>
    <row r="7" spans="1:6">
      <c r="B7" s="63" t="s">
        <v>40</v>
      </c>
      <c r="E7" s="64"/>
      <c r="F7" s="64"/>
    </row>
    <row r="8" spans="1:6">
      <c r="B8" s="63" t="s">
        <v>41</v>
      </c>
      <c r="E8" s="64"/>
      <c r="F8" s="64"/>
    </row>
    <row r="9" spans="1:6">
      <c r="B9" s="63" t="s">
        <v>157</v>
      </c>
      <c r="E9" s="64"/>
      <c r="F9" s="64"/>
    </row>
    <row r="10" spans="1:6">
      <c r="B10" s="63" t="s">
        <v>158</v>
      </c>
      <c r="E10" s="64"/>
      <c r="F10" s="64"/>
    </row>
    <row r="11" spans="1:6">
      <c r="B11" s="63" t="s">
        <v>159</v>
      </c>
      <c r="E11" s="64"/>
      <c r="F11" s="64"/>
    </row>
    <row r="12" spans="1:6">
      <c r="B12" s="63" t="s">
        <v>160</v>
      </c>
      <c r="E12" s="64"/>
      <c r="F12" s="64"/>
    </row>
    <row r="13" spans="1:6">
      <c r="E13" s="64"/>
      <c r="F13" s="64"/>
    </row>
    <row r="14" spans="1:6">
      <c r="A14" t="s">
        <v>125</v>
      </c>
      <c r="E14" s="64"/>
      <c r="F14" s="64"/>
    </row>
    <row r="15" spans="1:6">
      <c r="B15" s="63" t="s">
        <v>42</v>
      </c>
      <c r="E15" s="64"/>
      <c r="F15" s="64"/>
    </row>
    <row r="16" spans="1:6">
      <c r="A16" s="14"/>
      <c r="B16" s="65" t="s">
        <v>43</v>
      </c>
      <c r="E16" s="64"/>
      <c r="F16" s="64"/>
    </row>
    <row r="17" spans="1:44">
      <c r="A17" s="14"/>
      <c r="B17" s="65"/>
      <c r="E17" s="64"/>
      <c r="F17" s="64"/>
    </row>
    <row r="18" spans="1:44">
      <c r="A18" s="15" t="s">
        <v>78</v>
      </c>
      <c r="E18" s="64"/>
      <c r="F18" s="66" t="s">
        <v>79</v>
      </c>
    </row>
    <row r="19" spans="1:44">
      <c r="A19" s="16" t="s">
        <v>80</v>
      </c>
      <c r="B19" s="67" t="s">
        <v>81</v>
      </c>
      <c r="C19" s="67" t="s">
        <v>81</v>
      </c>
      <c r="D19" s="67" t="s">
        <v>81</v>
      </c>
      <c r="E19" s="67" t="s">
        <v>81</v>
      </c>
      <c r="F19" s="67" t="s">
        <v>81</v>
      </c>
      <c r="G19" s="67" t="s">
        <v>81</v>
      </c>
      <c r="H19" s="36" t="s">
        <v>81</v>
      </c>
      <c r="I19" s="36" t="s">
        <v>81</v>
      </c>
      <c r="J19" s="36"/>
      <c r="K19" s="36"/>
      <c r="L19" s="36"/>
      <c r="M19" s="36"/>
      <c r="N19" s="36"/>
    </row>
    <row r="20" spans="1:44" s="7" customFormat="1">
      <c r="A20" s="7" t="s">
        <v>82</v>
      </c>
      <c r="B20" s="68" t="s">
        <v>83</v>
      </c>
      <c r="C20" s="68" t="s">
        <v>83</v>
      </c>
      <c r="D20" s="68" t="s">
        <v>83</v>
      </c>
      <c r="E20" s="68" t="s">
        <v>83</v>
      </c>
      <c r="F20" s="68" t="s">
        <v>83</v>
      </c>
      <c r="G20" s="68" t="s">
        <v>83</v>
      </c>
      <c r="H20" s="37" t="s">
        <v>84</v>
      </c>
      <c r="I20" s="37" t="s">
        <v>84</v>
      </c>
      <c r="J20" s="37"/>
      <c r="K20" s="37"/>
      <c r="L20" s="37"/>
      <c r="M20" s="37"/>
      <c r="N20" s="37"/>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row>
    <row r="21" spans="1:44">
      <c r="A21" s="17" t="s">
        <v>86</v>
      </c>
      <c r="B21" s="69" t="s">
        <v>87</v>
      </c>
      <c r="C21" s="69" t="s">
        <v>88</v>
      </c>
      <c r="D21" s="69" t="s">
        <v>89</v>
      </c>
      <c r="E21" s="69" t="s">
        <v>90</v>
      </c>
      <c r="F21" s="69" t="s">
        <v>91</v>
      </c>
      <c r="G21" s="69" t="s">
        <v>92</v>
      </c>
      <c r="H21" s="38" t="s">
        <v>90</v>
      </c>
      <c r="I21" s="38" t="s">
        <v>93</v>
      </c>
      <c r="J21" s="38"/>
      <c r="K21" s="38"/>
      <c r="L21" s="38"/>
      <c r="M21" s="38"/>
      <c r="N21" s="38"/>
    </row>
    <row r="22" spans="1:44" s="1" customFormat="1">
      <c r="A22" s="1" t="s">
        <v>99</v>
      </c>
      <c r="B22" s="63">
        <v>40.700000000000003</v>
      </c>
      <c r="C22" s="63">
        <v>39.799999999999997</v>
      </c>
      <c r="D22" s="63">
        <v>41.3</v>
      </c>
      <c r="E22" s="63">
        <v>41.1</v>
      </c>
      <c r="F22" s="63">
        <v>42.4</v>
      </c>
      <c r="G22" s="63">
        <v>42</v>
      </c>
      <c r="H22" s="30">
        <v>48.66</v>
      </c>
      <c r="I22" s="30">
        <v>48.59</v>
      </c>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s="1" customFormat="1">
      <c r="A23" s="1" t="s">
        <v>100</v>
      </c>
      <c r="B23" s="63">
        <v>3.04</v>
      </c>
      <c r="C23" s="63">
        <v>2.72</v>
      </c>
      <c r="D23" s="63">
        <v>3.17</v>
      </c>
      <c r="E23" s="63">
        <v>2.71</v>
      </c>
      <c r="F23" s="63">
        <v>2.75</v>
      </c>
      <c r="G23" s="63">
        <v>2.62</v>
      </c>
      <c r="H23" s="30">
        <v>0.64</v>
      </c>
      <c r="I23" s="30">
        <v>0.6</v>
      </c>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s="1" customFormat="1">
      <c r="A24" s="1" t="s">
        <v>101</v>
      </c>
      <c r="B24" s="63">
        <v>14</v>
      </c>
      <c r="C24" s="63">
        <v>13.6</v>
      </c>
      <c r="D24" s="63">
        <v>13.4</v>
      </c>
      <c r="E24" s="63">
        <v>13.4</v>
      </c>
      <c r="F24" s="63">
        <v>12.7</v>
      </c>
      <c r="G24" s="63">
        <v>13.1</v>
      </c>
      <c r="H24" s="30">
        <v>5.84</v>
      </c>
      <c r="I24" s="30">
        <v>5.2</v>
      </c>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s="1" customFormat="1">
      <c r="A25" s="1" t="s">
        <v>102</v>
      </c>
      <c r="B25" s="63">
        <v>10.6</v>
      </c>
      <c r="C25" s="63">
        <v>11.4</v>
      </c>
      <c r="D25" s="63">
        <v>11.2</v>
      </c>
      <c r="E25" s="63">
        <v>13</v>
      </c>
      <c r="F25" s="63">
        <v>10</v>
      </c>
      <c r="G25" s="63">
        <v>10.8</v>
      </c>
      <c r="H25" s="30">
        <v>14.31</v>
      </c>
      <c r="I25" s="30">
        <v>13.68</v>
      </c>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s="1" customFormat="1">
      <c r="A26" s="1" t="s">
        <v>103</v>
      </c>
      <c r="B26" s="63">
        <v>14.7</v>
      </c>
      <c r="C26" s="63">
        <v>14.2</v>
      </c>
      <c r="D26" s="63">
        <v>13.7</v>
      </c>
      <c r="E26" s="63">
        <v>13.4</v>
      </c>
      <c r="F26" s="63">
        <v>15.1</v>
      </c>
      <c r="G26" s="63">
        <v>14.6</v>
      </c>
      <c r="H26" s="30">
        <v>14.39</v>
      </c>
      <c r="I26" s="30">
        <v>14.49</v>
      </c>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s="1" customFormat="1">
      <c r="A27" s="1" t="s">
        <v>104</v>
      </c>
      <c r="B27" s="63">
        <v>0.13</v>
      </c>
      <c r="C27" s="63">
        <v>0.14000000000000001</v>
      </c>
      <c r="D27" s="63">
        <v>0.16</v>
      </c>
      <c r="E27" s="63">
        <v>0.19</v>
      </c>
      <c r="F27" s="63">
        <v>0.15</v>
      </c>
      <c r="G27" s="63">
        <v>0.2</v>
      </c>
      <c r="H27" s="30">
        <v>0.89</v>
      </c>
      <c r="I27" s="30">
        <v>0.87</v>
      </c>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s="1" customFormat="1">
      <c r="A28" s="1" t="s">
        <v>105</v>
      </c>
      <c r="B28" s="63">
        <v>11.9</v>
      </c>
      <c r="C28" s="63">
        <v>12</v>
      </c>
      <c r="D28" s="63">
        <v>11.8</v>
      </c>
      <c r="E28" s="63">
        <v>11.6</v>
      </c>
      <c r="F28" s="63">
        <v>11.8</v>
      </c>
      <c r="G28" s="63">
        <v>11.7</v>
      </c>
      <c r="H28" s="30">
        <v>11.66</v>
      </c>
      <c r="I28" s="30">
        <v>11.06</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s="1" customFormat="1">
      <c r="A29" s="1" t="s">
        <v>106</v>
      </c>
      <c r="B29" s="63">
        <v>2.74</v>
      </c>
      <c r="C29" s="63">
        <v>2.67</v>
      </c>
      <c r="D29" s="63">
        <v>2.77</v>
      </c>
      <c r="E29" s="63">
        <v>2.76</v>
      </c>
      <c r="F29" s="63">
        <v>2.39</v>
      </c>
      <c r="G29" s="63">
        <v>2.52</v>
      </c>
      <c r="H29" s="30">
        <v>1.24</v>
      </c>
      <c r="I29" s="30">
        <v>1.1100000000000001</v>
      </c>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s="1" customFormat="1">
      <c r="A30" s="1" t="s">
        <v>107</v>
      </c>
      <c r="B30" s="63">
        <v>0.46</v>
      </c>
      <c r="C30" s="63">
        <v>0.49</v>
      </c>
      <c r="D30" s="63">
        <v>0.49</v>
      </c>
      <c r="E30" s="63">
        <v>0.46</v>
      </c>
      <c r="F30" s="63">
        <v>0.82</v>
      </c>
      <c r="G30" s="63">
        <v>0.73</v>
      </c>
      <c r="H30" s="30">
        <v>0.59</v>
      </c>
      <c r="I30" s="30">
        <v>0.56000000000000005</v>
      </c>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s="1" customFormat="1">
      <c r="A31" s="1" t="s">
        <v>108</v>
      </c>
      <c r="B31" s="70">
        <v>0</v>
      </c>
      <c r="C31" s="70">
        <v>0</v>
      </c>
      <c r="D31" s="70">
        <v>0</v>
      </c>
      <c r="E31" s="70">
        <v>0</v>
      </c>
      <c r="F31" s="70">
        <v>0</v>
      </c>
      <c r="G31" s="70">
        <v>0</v>
      </c>
      <c r="H31" s="30">
        <v>0</v>
      </c>
      <c r="I31" s="30">
        <v>0</v>
      </c>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s="6" customFormat="1">
      <c r="A32" s="6" t="s">
        <v>109</v>
      </c>
      <c r="B32" s="71">
        <v>0</v>
      </c>
      <c r="C32" s="71">
        <v>0</v>
      </c>
      <c r="D32" s="71">
        <v>0</v>
      </c>
      <c r="E32" s="71">
        <v>0</v>
      </c>
      <c r="F32" s="71">
        <v>0</v>
      </c>
      <c r="G32" s="71">
        <v>0</v>
      </c>
      <c r="H32" s="35">
        <v>0</v>
      </c>
      <c r="I32" s="35">
        <v>0</v>
      </c>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row>
    <row r="33" spans="1:44" s="1" customFormat="1">
      <c r="A33" s="1" t="s">
        <v>110</v>
      </c>
      <c r="B33" s="72">
        <f>SUM(B22:B32)</f>
        <v>98.27</v>
      </c>
      <c r="C33" s="72">
        <v>96.1</v>
      </c>
      <c r="D33" s="72">
        <f t="shared" ref="D33:I33" si="0">SUM(D22:D32)</f>
        <v>97.989999999999981</v>
      </c>
      <c r="E33" s="72">
        <f t="shared" si="0"/>
        <v>98.62</v>
      </c>
      <c r="F33" s="72">
        <f t="shared" si="0"/>
        <v>98.109999999999985</v>
      </c>
      <c r="G33" s="70">
        <f t="shared" si="0"/>
        <v>98.27</v>
      </c>
      <c r="H33" s="1">
        <f t="shared" si="0"/>
        <v>98.22</v>
      </c>
      <c r="I33" s="1">
        <f t="shared" si="0"/>
        <v>96.160000000000011</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s="1" customFormat="1" ht="12.75" customHeight="1">
      <c r="B34" s="72"/>
      <c r="C34" s="72"/>
      <c r="D34" s="72"/>
      <c r="E34" s="70"/>
      <c r="F34" s="72"/>
      <c r="G34" s="7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s="1" customFormat="1" ht="12.75" customHeight="1">
      <c r="A35" s="18"/>
      <c r="B35" s="73"/>
      <c r="C35" s="73"/>
      <c r="D35" s="73"/>
      <c r="E35" s="74"/>
      <c r="F35" s="72"/>
      <c r="G35" s="7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s="1" customFormat="1" ht="12.75" customHeight="1">
      <c r="A36" s="20" t="s">
        <v>111</v>
      </c>
      <c r="B36" s="75"/>
      <c r="C36" s="75"/>
      <c r="D36" s="75"/>
      <c r="E36" s="76"/>
      <c r="F36" s="72"/>
      <c r="G36" s="7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s="1" customFormat="1" ht="12.75" customHeight="1">
      <c r="A37" s="22" t="s">
        <v>112</v>
      </c>
      <c r="B37" s="77" t="s">
        <v>113</v>
      </c>
      <c r="C37" s="77" t="s">
        <v>114</v>
      </c>
      <c r="D37" s="77" t="s">
        <v>115</v>
      </c>
      <c r="E37" s="77" t="s">
        <v>116</v>
      </c>
      <c r="F37" s="77" t="s">
        <v>117</v>
      </c>
      <c r="G37" s="77" t="s">
        <v>118</v>
      </c>
      <c r="H37" s="23" t="s">
        <v>119</v>
      </c>
      <c r="I37" s="23" t="s">
        <v>120</v>
      </c>
      <c r="J37" s="23"/>
      <c r="K37" s="23"/>
      <c r="L37" s="23"/>
      <c r="M37" s="23"/>
      <c r="N37" s="23"/>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s="1" customFormat="1" ht="12.75" customHeight="1">
      <c r="A38" s="22" t="s">
        <v>45</v>
      </c>
      <c r="B38">
        <v>0.14514065671808099</v>
      </c>
      <c r="C38">
        <v>0.181179728400653</v>
      </c>
      <c r="D38">
        <v>0.197081984706895</v>
      </c>
      <c r="E38">
        <v>0.29982476320277901</v>
      </c>
      <c r="F38">
        <v>0.14845065975728999</v>
      </c>
      <c r="G38">
        <v>0.18389716356604499</v>
      </c>
      <c r="H38">
        <v>0.15136176622367201</v>
      </c>
      <c r="I38">
        <v>0.17769784724137799</v>
      </c>
      <c r="J38" s="33"/>
      <c r="K38" s="33"/>
      <c r="L38" s="33"/>
      <c r="M38" s="33"/>
      <c r="N38" s="33"/>
      <c r="O38" s="30"/>
      <c r="P38" s="30"/>
      <c r="Q38" s="30"/>
      <c r="R38">
        <v>0.14514065671808099</v>
      </c>
      <c r="S38">
        <v>0.181179728400653</v>
      </c>
      <c r="T38">
        <v>0.197081984706895</v>
      </c>
      <c r="U38">
        <v>0.29982476320277901</v>
      </c>
      <c r="V38">
        <v>0.14845065975728999</v>
      </c>
      <c r="W38">
        <v>0.18389716356604499</v>
      </c>
      <c r="X38">
        <v>0.15136176622367201</v>
      </c>
      <c r="Y38">
        <v>0.17769784724137799</v>
      </c>
      <c r="Z38" s="30"/>
      <c r="AA38" s="30"/>
      <c r="AB38" s="30"/>
      <c r="AC38" s="30"/>
      <c r="AD38" s="30"/>
      <c r="AE38" s="30"/>
      <c r="AF38" s="30"/>
      <c r="AG38" s="30"/>
      <c r="AH38" s="30"/>
      <c r="AI38" s="30"/>
      <c r="AJ38" s="30"/>
      <c r="AK38" s="30"/>
      <c r="AL38" s="30"/>
      <c r="AM38" s="30"/>
      <c r="AN38" s="30"/>
      <c r="AO38" s="30"/>
      <c r="AP38" s="30"/>
      <c r="AQ38" s="30"/>
      <c r="AR38" s="30"/>
    </row>
    <row r="39" spans="1:44" s="1" customFormat="1" ht="12.75" customHeight="1">
      <c r="A39" s="22" t="s">
        <v>46</v>
      </c>
      <c r="B39">
        <v>0.85189352447228595</v>
      </c>
      <c r="C39">
        <v>0.81472965402389397</v>
      </c>
      <c r="D39">
        <v>0.799348961554886</v>
      </c>
      <c r="E39">
        <v>0.69608959542924997</v>
      </c>
      <c r="F39">
        <v>0.84507674973056901</v>
      </c>
      <c r="G39">
        <v>0.80905427548402598</v>
      </c>
      <c r="H39">
        <v>0.84629487567879302</v>
      </c>
      <c r="I39">
        <v>0.81996372711328802</v>
      </c>
      <c r="J39" s="30"/>
      <c r="K39" s="30"/>
      <c r="L39" s="30"/>
      <c r="M39" s="30"/>
      <c r="N39" s="30"/>
      <c r="O39" s="30"/>
      <c r="P39" s="30"/>
      <c r="Q39" s="30"/>
      <c r="R39">
        <v>0.85189352447228595</v>
      </c>
      <c r="S39">
        <v>0.81472965402389397</v>
      </c>
      <c r="T39">
        <v>0.799348961554886</v>
      </c>
      <c r="U39">
        <v>0.69608959542924997</v>
      </c>
      <c r="V39">
        <v>0.84507674973056901</v>
      </c>
      <c r="W39">
        <v>0.80905427548402598</v>
      </c>
      <c r="X39">
        <v>0.84629487567879302</v>
      </c>
      <c r="Y39">
        <v>0.81996372711328802</v>
      </c>
      <c r="Z39" s="30"/>
      <c r="AA39" s="30"/>
      <c r="AB39" s="30"/>
      <c r="AC39" s="30"/>
      <c r="AD39" s="30"/>
      <c r="AE39" s="30"/>
      <c r="AF39" s="30"/>
      <c r="AG39" s="30"/>
      <c r="AH39" s="30"/>
      <c r="AI39" s="30"/>
      <c r="AJ39" s="30"/>
      <c r="AK39" s="30"/>
      <c r="AL39" s="30"/>
      <c r="AM39" s="30"/>
      <c r="AN39" s="30"/>
      <c r="AO39" s="30"/>
      <c r="AP39" s="30"/>
      <c r="AQ39" s="30"/>
      <c r="AR39" s="30"/>
    </row>
    <row r="40" spans="1:44" s="1" customFormat="1" ht="12.75" customHeight="1">
      <c r="B40" s="72"/>
      <c r="C40" s="72"/>
      <c r="D40" s="72"/>
      <c r="E40" s="72"/>
      <c r="F40" s="72"/>
      <c r="G40" s="7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s="1" customFormat="1" ht="12.75" customHeight="1">
      <c r="A41" s="24" t="s">
        <v>47</v>
      </c>
      <c r="B41" s="72"/>
      <c r="C41" s="72"/>
      <c r="D41" s="72"/>
      <c r="E41" s="72"/>
      <c r="F41" s="72"/>
      <c r="G41" s="7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s="1" customFormat="1">
      <c r="A42" s="1" t="s">
        <v>48</v>
      </c>
      <c r="B42" s="72">
        <f>B60*159.7*B192/46/B241</f>
        <v>6.081565997947755</v>
      </c>
      <c r="C42" s="72">
        <f>C60*159.7*C192/46/C241</f>
        <v>6.9108117854242153</v>
      </c>
      <c r="D42" s="72">
        <f>D60*159.7*D192/46/D241</f>
        <v>3.6511315497397967</v>
      </c>
      <c r="E42" s="72">
        <f>E60*159.7*E192/46/E241</f>
        <v>6.0280897226757286</v>
      </c>
      <c r="F42" s="72">
        <f>F60*159.7*F192/46/F241</f>
        <v>4.6725445644985157</v>
      </c>
      <c r="G42" s="70">
        <f>G60*159.7*G192/46/G241</f>
        <v>5.1439231913815266</v>
      </c>
      <c r="H42" s="1">
        <f>H60*159.7*H192/46/H241</f>
        <v>4.5585578036048373</v>
      </c>
      <c r="I42" s="1">
        <f>I60*159.7*I192/46/I241</f>
        <v>4.2247764854523284</v>
      </c>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s="1" customFormat="1">
      <c r="A43" s="1" t="s">
        <v>49</v>
      </c>
      <c r="B43" s="72">
        <f>(B63+B67)*71.85*B192*2/46/B241</f>
        <v>5.1277330375385564</v>
      </c>
      <c r="C43" s="72">
        <f>(C63+C67)*71.85*C192*2/46/C241</f>
        <v>5.1815676044742647</v>
      </c>
      <c r="D43" s="72">
        <f>(D63+D67)*71.85*D192*2/46/D241</f>
        <v>7.9146674784119648</v>
      </c>
      <c r="E43" s="72">
        <f>(E63+E67)*71.85*E192*2/46/E241</f>
        <v>7.5758516396461992</v>
      </c>
      <c r="F43" s="72">
        <f>(F63+F67)*71.85*F192*2/46/F241</f>
        <v>5.7955876398344595</v>
      </c>
      <c r="G43" s="70">
        <f>(G63+G67)*71.85*G192*2/46/G241</f>
        <v>6.1714354251626471</v>
      </c>
      <c r="H43" s="1">
        <f>(H63+H67)*71.85*H192*2/46/H241</f>
        <v>10.208154311972356</v>
      </c>
      <c r="I43" s="1">
        <f>(I63+I67)*71.85*I192*2/46/I241</f>
        <v>9.8784947967470291</v>
      </c>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s="1" customFormat="1">
      <c r="A44" s="1" t="s">
        <v>50</v>
      </c>
      <c r="B44" s="72">
        <f>B222/2*B192/23*18.016</f>
        <v>2.0506663522440034</v>
      </c>
      <c r="C44" s="72">
        <f>C222/2*C192/23*18.016</f>
        <v>2.0115873343233113</v>
      </c>
      <c r="D44" s="72">
        <f>D222/2*D192/23*18.016</f>
        <v>2.0417037986644924</v>
      </c>
      <c r="E44" s="72">
        <f>E222/2*E192/23*18.016</f>
        <v>2.0384275432547763</v>
      </c>
      <c r="F44" s="72">
        <f>F222/2*F192/23*18.016</f>
        <v>2.0579576957356358</v>
      </c>
      <c r="G44" s="70">
        <f>G222/2*G192/23*18.016</f>
        <v>2.0532589166147717</v>
      </c>
      <c r="H44" s="1">
        <f>H222/2*H192/23*18.016</f>
        <v>2.0446189150457577</v>
      </c>
      <c r="I44" s="1">
        <f>I222/2*I192/23*18.016</f>
        <v>2.011837164771006</v>
      </c>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s="1" customFormat="1">
      <c r="A45" s="6" t="s">
        <v>51</v>
      </c>
      <c r="B45" s="79">
        <f t="shared" ref="B45:I45" si="1">16/38*B31+16/70.914*B32</f>
        <v>0</v>
      </c>
      <c r="C45" s="79">
        <f t="shared" si="1"/>
        <v>0</v>
      </c>
      <c r="D45" s="79">
        <f t="shared" si="1"/>
        <v>0</v>
      </c>
      <c r="E45" s="79">
        <f t="shared" si="1"/>
        <v>0</v>
      </c>
      <c r="F45" s="79">
        <f t="shared" si="1"/>
        <v>0</v>
      </c>
      <c r="G45" s="71">
        <f t="shared" si="1"/>
        <v>0</v>
      </c>
      <c r="H45" s="6">
        <f t="shared" si="1"/>
        <v>0</v>
      </c>
      <c r="I45" s="6">
        <f t="shared" si="1"/>
        <v>0</v>
      </c>
      <c r="J45" s="6"/>
      <c r="K45" s="6"/>
      <c r="L45" s="6"/>
      <c r="M45" s="6"/>
      <c r="N45" s="6"/>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s="1" customFormat="1">
      <c r="A46" s="1" t="s">
        <v>52</v>
      </c>
      <c r="B46" s="72">
        <f t="shared" ref="B46:I46" si="2">B22+B23+B24+B26+B27+B28+B29+B30+B31+B32+B42+B43+B44-B45</f>
        <v>100.92996538773031</v>
      </c>
      <c r="C46" s="72">
        <f t="shared" si="2"/>
        <v>99.723966724221782</v>
      </c>
      <c r="D46" s="72">
        <f t="shared" si="2"/>
        <v>100.39750282681624</v>
      </c>
      <c r="E46" s="72">
        <f t="shared" si="2"/>
        <v>101.26236890557669</v>
      </c>
      <c r="F46" s="72">
        <f t="shared" si="2"/>
        <v>100.6360899000686</v>
      </c>
      <c r="G46" s="70">
        <f t="shared" si="2"/>
        <v>100.83861753315894</v>
      </c>
      <c r="H46" s="1">
        <f t="shared" si="2"/>
        <v>100.72133103062295</v>
      </c>
      <c r="I46" s="1">
        <f t="shared" si="2"/>
        <v>98.595108446970386</v>
      </c>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s="1" customFormat="1">
      <c r="B47" s="72"/>
      <c r="C47" s="72"/>
      <c r="D47" s="72"/>
      <c r="E47" s="72"/>
      <c r="F47" s="72"/>
      <c r="G47" s="7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s="1" customFormat="1" ht="12.75" customHeight="1">
      <c r="A48" s="18" t="s">
        <v>53</v>
      </c>
      <c r="B48" s="80">
        <f t="shared" ref="B48:I48" si="3">B60/(B60+B63+B67)</f>
        <v>0.51625160023221162</v>
      </c>
      <c r="C48" s="80">
        <f t="shared" si="3"/>
        <v>0.54547652592331008</v>
      </c>
      <c r="D48" s="80">
        <f t="shared" si="3"/>
        <v>0.29333326085607436</v>
      </c>
      <c r="E48" s="80">
        <f t="shared" si="3"/>
        <v>0.41724218156567705</v>
      </c>
      <c r="F48" s="80">
        <f t="shared" si="3"/>
        <v>0.42044123601655409</v>
      </c>
      <c r="G48" s="80">
        <f t="shared" si="3"/>
        <v>0.42857079396642161</v>
      </c>
      <c r="H48" s="19">
        <f t="shared" si="3"/>
        <v>0.28664190692017094</v>
      </c>
      <c r="I48" s="19">
        <f t="shared" si="3"/>
        <v>0.27788780725533418</v>
      </c>
      <c r="J48" s="19"/>
      <c r="K48" s="19"/>
      <c r="L48" s="19"/>
      <c r="M48" s="19"/>
      <c r="N48" s="19"/>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50" spans="1:44" s="8" customFormat="1">
      <c r="A50" s="8" t="s">
        <v>54</v>
      </c>
      <c r="B50" s="63"/>
      <c r="C50" s="63"/>
      <c r="D50" s="63"/>
      <c r="E50" s="63"/>
      <c r="F50" s="63"/>
      <c r="G50" s="64"/>
      <c r="H50"/>
      <c r="I50"/>
      <c r="J50"/>
      <c r="K50"/>
      <c r="L50"/>
      <c r="M50"/>
      <c r="N50"/>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row>
    <row r="51" spans="1:44" s="2" customFormat="1">
      <c r="A51" s="4" t="s">
        <v>55</v>
      </c>
      <c r="B51" s="63"/>
      <c r="C51" s="63"/>
      <c r="D51" s="63"/>
      <c r="E51" s="63"/>
      <c r="F51" s="63"/>
      <c r="G51" s="64"/>
      <c r="H51"/>
      <c r="I51"/>
      <c r="J51"/>
      <c r="K51"/>
      <c r="L51"/>
      <c r="M51"/>
      <c r="N51"/>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row>
    <row r="52" spans="1:44" s="3" customFormat="1">
      <c r="A52" s="3" t="s">
        <v>56</v>
      </c>
      <c r="B52" s="81">
        <f>B$241*B195</f>
        <v>5.8652130843813604</v>
      </c>
      <c r="C52" s="81">
        <f>C$241*C195</f>
        <v>5.8336879224218103</v>
      </c>
      <c r="D52" s="81">
        <f>D$241*D195</f>
        <v>6.0120252711823445</v>
      </c>
      <c r="E52" s="81">
        <f>E$241*E195</f>
        <v>5.9586603406296161</v>
      </c>
      <c r="F52" s="81">
        <f>F$241*F195</f>
        <v>6.1090806985977641</v>
      </c>
      <c r="G52" s="82">
        <f>G$241*G195</f>
        <v>6.0583967662769282</v>
      </c>
      <c r="H52" s="3">
        <f>H$241*H195</f>
        <v>7.0581751245761719</v>
      </c>
      <c r="I52" s="3">
        <f>I$241*I195</f>
        <v>7.1673711734574415</v>
      </c>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spans="1:44" s="3" customFormat="1">
      <c r="A53" s="3" t="s">
        <v>57</v>
      </c>
      <c r="B53" s="81">
        <f t="shared" ref="B53:I53" si="4">8-B52</f>
        <v>2.1347869156186396</v>
      </c>
      <c r="C53" s="81">
        <f t="shared" si="4"/>
        <v>2.1663120775781897</v>
      </c>
      <c r="D53" s="81">
        <f t="shared" si="4"/>
        <v>1.9879747288176555</v>
      </c>
      <c r="E53" s="81">
        <f t="shared" si="4"/>
        <v>2.0413396593703839</v>
      </c>
      <c r="F53" s="81">
        <f t="shared" si="4"/>
        <v>1.8909193014022359</v>
      </c>
      <c r="G53" s="82">
        <f t="shared" si="4"/>
        <v>1.9416032337230718</v>
      </c>
      <c r="H53" s="3">
        <f t="shared" si="4"/>
        <v>0.94182487542382809</v>
      </c>
      <c r="I53" s="3">
        <f t="shared" si="4"/>
        <v>0.83262882654255854</v>
      </c>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spans="1:44" s="3" customFormat="1">
      <c r="B54" s="81"/>
      <c r="C54" s="81"/>
      <c r="D54" s="81"/>
      <c r="E54" s="81"/>
      <c r="F54" s="81"/>
      <c r="G54" s="82"/>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spans="1:44" s="3" customFormat="1">
      <c r="A55" s="3" t="s">
        <v>58</v>
      </c>
      <c r="B55" s="81">
        <f>B$241*B198</f>
        <v>2.3785100545084634</v>
      </c>
      <c r="C55" s="81">
        <f>C$241*C198</f>
        <v>2.3501013891870781</v>
      </c>
      <c r="D55" s="81">
        <f>D$241*D198</f>
        <v>2.2996572643299422</v>
      </c>
      <c r="E55" s="81">
        <f>E$241*E198</f>
        <v>2.290335882056957</v>
      </c>
      <c r="F55" s="81">
        <f>F$241*F198</f>
        <v>2.1572540689723119</v>
      </c>
      <c r="G55" s="82">
        <f>G$241*G198</f>
        <v>2.2277542850047674</v>
      </c>
      <c r="H55" s="3">
        <f>H$241*H198</f>
        <v>0.99866709973532297</v>
      </c>
      <c r="I55" s="3">
        <f>I$241*I198</f>
        <v>0.90428205100446268</v>
      </c>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spans="1:44" s="3" customFormat="1">
      <c r="B56" s="81"/>
      <c r="C56" s="81"/>
      <c r="D56" s="81"/>
      <c r="E56" s="81"/>
      <c r="F56" s="81"/>
      <c r="G56" s="82"/>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spans="1:44" s="3" customFormat="1">
      <c r="A57" s="5" t="s">
        <v>59</v>
      </c>
      <c r="B57" s="81"/>
      <c r="C57" s="81"/>
      <c r="D57" s="81"/>
      <c r="E57" s="81"/>
      <c r="F57" s="81"/>
      <c r="G57" s="82"/>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spans="1:44" s="3" customFormat="1">
      <c r="A58" s="3" t="s">
        <v>60</v>
      </c>
      <c r="B58" s="81">
        <f t="shared" ref="B58:I58" si="5">B55-B53</f>
        <v>0.24372313888982378</v>
      </c>
      <c r="C58" s="81">
        <f t="shared" si="5"/>
        <v>0.18378931160888845</v>
      </c>
      <c r="D58" s="81">
        <f t="shared" si="5"/>
        <v>0.31168253551228675</v>
      </c>
      <c r="E58" s="81">
        <f t="shared" si="5"/>
        <v>0.24899622268657318</v>
      </c>
      <c r="F58" s="81">
        <f t="shared" si="5"/>
        <v>0.26633476757007601</v>
      </c>
      <c r="G58" s="82">
        <f t="shared" si="5"/>
        <v>0.2861510512816956</v>
      </c>
      <c r="H58" s="3">
        <f t="shared" si="5"/>
        <v>5.6842224311494882E-2</v>
      </c>
      <c r="I58" s="3">
        <f t="shared" si="5"/>
        <v>7.1653224461904141E-2</v>
      </c>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spans="1:44" s="3" customFormat="1">
      <c r="A59" s="3" t="s">
        <v>61</v>
      </c>
      <c r="B59" s="81">
        <f>B$241*B202</f>
        <v>0.3294719101859655</v>
      </c>
      <c r="C59" s="81">
        <f>C$241*C202</f>
        <v>0.29983646509853662</v>
      </c>
      <c r="D59" s="81">
        <f>D$241*D202</f>
        <v>0.34704471309134916</v>
      </c>
      <c r="E59" s="81">
        <f>E$241*E202</f>
        <v>0.29548233608417307</v>
      </c>
      <c r="F59" s="81">
        <f>F$241*F202</f>
        <v>0.2979875530561592</v>
      </c>
      <c r="G59" s="82">
        <f>G$241*G202</f>
        <v>0.28422687335843061</v>
      </c>
      <c r="H59" s="3">
        <f>H$241*H202</f>
        <v>6.9816122308377804E-2</v>
      </c>
      <c r="I59" s="3">
        <f>I$241*I202</f>
        <v>6.6560974496530464E-2</v>
      </c>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spans="1:44" s="3" customFormat="1">
      <c r="A60" s="3" t="s">
        <v>62</v>
      </c>
      <c r="B60" s="81">
        <f>IF(46*(1-B241)&lt;B241*(B206+B210),46*(1-B241),B241*(B206+B210))</f>
        <v>0.65952626134793269</v>
      </c>
      <c r="C60" s="81">
        <f>IF(46*(1-C241)&lt;C241*(C206+C210),46*(1-C241),C241*(C206+C210))</f>
        <v>0.76228341190542004</v>
      </c>
      <c r="D60" s="81">
        <f>IF(46*(1-D241)&lt;D241*(D206+D210),46*(1-D241),D241*(D206+D210))</f>
        <v>0.39996824290396171</v>
      </c>
      <c r="E60" s="81">
        <f>IF(46*(1-E241)&lt;E241*(E206+E210),46*(1-E241),E241*(E206+E210))</f>
        <v>0.65767873465311766</v>
      </c>
      <c r="F60" s="81">
        <f>IF(46*(1-F241)&lt;F241*(F206+F210),46*(1-F241),F241*(F206+F210))</f>
        <v>0.50662981132136187</v>
      </c>
      <c r="G60" s="82">
        <f>IF(46*(1-G241)&lt;G241*(G206+G210),46*(1-G241),G241*(G206+G210))</f>
        <v>0.55838041900144386</v>
      </c>
      <c r="H60" s="3">
        <f>IF(46*(1-H241)&lt;H241*(H206+H210),46*(1-H241),H241*(H206+H210))</f>
        <v>0.49759393101100136</v>
      </c>
      <c r="I60" s="3">
        <f>IF(46*(1-I241)&lt;I241*(I206+I210),46*(1-I241),I241*(I206+I210))</f>
        <v>0.46896887222184414</v>
      </c>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spans="1:44" s="3" customFormat="1">
      <c r="A61" s="3" t="s">
        <v>63</v>
      </c>
      <c r="B61" s="81">
        <f>B$241*B204</f>
        <v>3.1571004551639685</v>
      </c>
      <c r="C61" s="81">
        <f>C$241*C204</f>
        <v>3.1019168031802344</v>
      </c>
      <c r="D61" s="81">
        <f>D$241*D204</f>
        <v>2.9721655329226091</v>
      </c>
      <c r="E61" s="81">
        <f>E$241*E204</f>
        <v>2.8952981128086082</v>
      </c>
      <c r="F61" s="81">
        <f>F$241*F204</f>
        <v>3.2424152496999064</v>
      </c>
      <c r="G61" s="82">
        <f>G$241*G204</f>
        <v>3.1386504987537069</v>
      </c>
      <c r="H61" s="3">
        <f>H$241*H204</f>
        <v>3.1107334527453343</v>
      </c>
      <c r="I61" s="3">
        <f>I$241*I204</f>
        <v>3.1853933029238028</v>
      </c>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spans="1:44" s="3" customFormat="1">
      <c r="A62" s="3" t="s">
        <v>64</v>
      </c>
      <c r="B62" s="81">
        <f>B$241*B205</f>
        <v>1.5868787981975243E-2</v>
      </c>
      <c r="C62" s="81">
        <f>C$241*C205</f>
        <v>1.7381977202110682E-2</v>
      </c>
      <c r="D62" s="81">
        <f>D$241*D205</f>
        <v>1.9728848976919261E-2</v>
      </c>
      <c r="E62" s="81">
        <f>E$241*E205</f>
        <v>2.3333045565733696E-2</v>
      </c>
      <c r="F62" s="81">
        <f>F$241*F205</f>
        <v>1.8306793568844699E-2</v>
      </c>
      <c r="G62" s="82">
        <f>G$241*G205</f>
        <v>2.4437087121617237E-2</v>
      </c>
      <c r="H62" s="3">
        <f>H$241*H205</f>
        <v>0.10935064564841451</v>
      </c>
      <c r="I62" s="3">
        <f>I$241*I205</f>
        <v>0.10870343530160045</v>
      </c>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spans="1:44" s="3" customFormat="1">
      <c r="A63" s="3" t="s">
        <v>65</v>
      </c>
      <c r="B63" s="81">
        <f>IF((B241*(B206+B210)-B60+B62+B61+B60+B59+B58)&gt;5,5-(B62+B61+B60+B59+B58),B241*(B206+B210)-B60)</f>
        <v>0.59430944643033357</v>
      </c>
      <c r="C63" s="81">
        <f>IF((C241*(C206+C210)-C60+C62+C61+C60+C59+C58)&gt;5,5-(C62+C61+C60+C59+C58),C241*(C206+C210)-C60)</f>
        <v>0.6347920310048103</v>
      </c>
      <c r="D63" s="81">
        <f>IF((D241*(D206+D210)-D60+D62+D61+D60+D59+D58)&gt;5,5-(D62+D61+D60+D59+D58),D241*(D206+D210)-D60)</f>
        <v>0.94941012659287427</v>
      </c>
      <c r="E63" s="81">
        <f>IF((E241*(E206+E210)-E60+E62+E61+E60+E59+E58)&gt;5,5-(E62+E61+E60+E59+E58),E241*(E206+E210)-E60)</f>
        <v>0.87921154820179392</v>
      </c>
      <c r="F63" s="81">
        <f>IF((F241*(F206+F210)-F60+F62+F61+F60+F59+F58)&gt;5,5-(F62+F61+F60+F59+F58),F241*(F206+F210)-F60)</f>
        <v>0.66832582478365232</v>
      </c>
      <c r="G63" s="82">
        <f>IF((G241*(G206+G210)-G60+G62+G61+G60+G59+G58)&gt;5,5-(G62+G61+G60+G59+G58),G241*(G206+G210)-G60)</f>
        <v>0.70815407048310597</v>
      </c>
      <c r="H63" s="3">
        <f>IF((H241*(H206+H210)-H60+H62+H61+H60+H59+H58)&gt;5,5-(H62+H61+H60+H59+H58),H241*(H206+H210)-H60)</f>
        <v>1.1556636239753773</v>
      </c>
      <c r="I63" s="3">
        <f>IF((I241*(I206+I210)-I60+I62+I61+I60+I59+I58)&gt;5,5-(I62+I61+I60+I59+I58),I241*(I206+I210)-I60)</f>
        <v>1.0987201905943178</v>
      </c>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spans="1:44" s="3" customFormat="1">
      <c r="A64" s="3" t="s">
        <v>66</v>
      </c>
      <c r="B64" s="83">
        <f t="shared" ref="B64:I64" si="6">IF(SUM(B58:B63)&gt;=5,0,5-SUM(B58:B63))</f>
        <v>0</v>
      </c>
      <c r="C64" s="83">
        <f t="shared" si="6"/>
        <v>0</v>
      </c>
      <c r="D64" s="83">
        <f t="shared" si="6"/>
        <v>0</v>
      </c>
      <c r="E64" s="83">
        <f t="shared" si="6"/>
        <v>0</v>
      </c>
      <c r="F64" s="83">
        <f t="shared" si="6"/>
        <v>0</v>
      </c>
      <c r="G64" s="84">
        <f t="shared" si="6"/>
        <v>0</v>
      </c>
      <c r="H64" s="5">
        <f t="shared" si="6"/>
        <v>0</v>
      </c>
      <c r="I64" s="5">
        <f t="shared" si="6"/>
        <v>0</v>
      </c>
      <c r="J64" s="5"/>
      <c r="K64" s="5"/>
      <c r="L64" s="5"/>
      <c r="M64" s="5"/>
      <c r="N64" s="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spans="1:44" s="3" customFormat="1">
      <c r="B65" s="81">
        <f t="shared" ref="B65:I65" si="7">SUM(B58:B64)</f>
        <v>4.9999999999999991</v>
      </c>
      <c r="C65" s="81">
        <f t="shared" si="7"/>
        <v>5.0000000000000009</v>
      </c>
      <c r="D65" s="81">
        <f t="shared" si="7"/>
        <v>5.0000000000000009</v>
      </c>
      <c r="E65" s="81">
        <f t="shared" si="7"/>
        <v>4.9999999999999991</v>
      </c>
      <c r="F65" s="81">
        <f t="shared" si="7"/>
        <v>5</v>
      </c>
      <c r="G65" s="82">
        <f t="shared" si="7"/>
        <v>5</v>
      </c>
      <c r="H65" s="3">
        <f t="shared" si="7"/>
        <v>5</v>
      </c>
      <c r="I65" s="3">
        <f t="shared" si="7"/>
        <v>5</v>
      </c>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spans="1:44" s="3" customFormat="1">
      <c r="A66" s="5" t="s">
        <v>67</v>
      </c>
      <c r="B66" s="81"/>
      <c r="C66" s="81"/>
      <c r="D66" s="81"/>
      <c r="E66" s="81"/>
      <c r="F66" s="81"/>
      <c r="G66" s="82"/>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spans="1:44" s="3" customFormat="1">
      <c r="A67" s="3" t="s">
        <v>68</v>
      </c>
      <c r="B67" s="81">
        <f>B241*(B206+B210)-B60-B63</f>
        <v>2.369304186875798E-2</v>
      </c>
      <c r="C67" s="81">
        <f>C241*(C206+C210)-C60-C63</f>
        <v>3.87831270318717E-4</v>
      </c>
      <c r="D67" s="81">
        <f>D241*(D206+D210)-D60-D63</f>
        <v>1.4150068214864309E-2</v>
      </c>
      <c r="E67" s="81">
        <f>E241*(E206+E210)-E60-E63</f>
        <v>3.9361504980192752E-2</v>
      </c>
      <c r="F67" s="81">
        <f>F241*(F206+F210)-F60-F63</f>
        <v>3.0039896972084534E-2</v>
      </c>
      <c r="G67" s="82">
        <f>G241*(G206+G210)-G60-G63</f>
        <v>3.6355084099395363E-2</v>
      </c>
      <c r="H67" s="3">
        <f>H241*(H206+H210)-H60-H63</f>
        <v>8.2685163080941759E-2</v>
      </c>
      <c r="I67" s="3">
        <f>I241*(I206+I210)-I60-I63</f>
        <v>0.11993040078605799</v>
      </c>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spans="1:44" s="3" customFormat="1">
      <c r="A68" s="3" t="s">
        <v>66</v>
      </c>
      <c r="B68" s="81">
        <f>IF(B$241*(B211+B215+B207)-B64&lt;2-B67,B$241*(B211+B215+B207)-B64,2-B67)</f>
        <v>1.837513531678886</v>
      </c>
      <c r="C68" s="81">
        <f>IF(C$241*(C211+C215+C207)-C64&lt;2-C67,C$241*(C211+C215+C207)-C64,2-C67)</f>
        <v>1.8846710760919074</v>
      </c>
      <c r="D68" s="81">
        <f>IF(D$241*(D211+D215+D207)-D64&lt;2-D67,D$241*(D211+D215+D207)-D64,2-D67)</f>
        <v>1.8405471700904175</v>
      </c>
      <c r="E68" s="81">
        <f>IF(E$241*(E211+E215+E207)-E64&lt;2-E67,E$241*(E211+E215+E207)-E64,2-E67)</f>
        <v>1.8020174682994705</v>
      </c>
      <c r="F68" s="81">
        <f>IF(F$241*(F211+F215+F207)-F64&lt;2-F67,F$241*(F211+F215+F207)-F64,2-F67)</f>
        <v>1.8217392346803791</v>
      </c>
      <c r="G68" s="82">
        <f>IF(G$241*(G211+G215+G207)-G64&lt;2-G67,G$241*(G211+G215+G207)-G64,2-G67)</f>
        <v>1.8083749497831727</v>
      </c>
      <c r="H68" s="3">
        <f>IF(H$241*(H211+H215+H207)-H64&lt;2-H67,H$241*(H211+H215+H207)-H64,2-H67)</f>
        <v>1.8122289945904084</v>
      </c>
      <c r="I68" s="3">
        <f>IF(I$241*(I211+I215+I207)-I64&lt;2-I67,I$241*(I211+I215+I207)-I64,2-I67)</f>
        <v>1.7480840999981277</v>
      </c>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spans="1:44" s="3" customFormat="1">
      <c r="A69" s="3" t="s">
        <v>69</v>
      </c>
      <c r="B69" s="83">
        <f t="shared" ref="B69:I69" si="8">IF(B67+B68&gt;=2,0,2-B67-B68)</f>
        <v>0.13879342645235604</v>
      </c>
      <c r="C69" s="83">
        <f t="shared" si="8"/>
        <v>0.11494109263777386</v>
      </c>
      <c r="D69" s="83">
        <f t="shared" si="8"/>
        <v>0.14530276169471823</v>
      </c>
      <c r="E69" s="83">
        <f t="shared" si="8"/>
        <v>0.15862102672033673</v>
      </c>
      <c r="F69" s="83">
        <f t="shared" si="8"/>
        <v>0.14822086834753634</v>
      </c>
      <c r="G69" s="84">
        <f t="shared" si="8"/>
        <v>0.15526996611743193</v>
      </c>
      <c r="H69" s="5">
        <f t="shared" si="8"/>
        <v>0.10508584232864981</v>
      </c>
      <c r="I69" s="5">
        <f t="shared" si="8"/>
        <v>0.13198549921581426</v>
      </c>
      <c r="J69" s="5"/>
      <c r="K69" s="5"/>
      <c r="L69" s="5"/>
      <c r="M69" s="5"/>
      <c r="N69" s="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spans="1:44" s="3" customFormat="1">
      <c r="B70" s="81">
        <f t="shared" ref="B70:I70" si="9">SUM(B67:B69)</f>
        <v>2</v>
      </c>
      <c r="C70" s="81">
        <f t="shared" si="9"/>
        <v>2</v>
      </c>
      <c r="D70" s="81">
        <f t="shared" si="9"/>
        <v>2</v>
      </c>
      <c r="E70" s="81">
        <f t="shared" si="9"/>
        <v>2</v>
      </c>
      <c r="F70" s="81">
        <f t="shared" si="9"/>
        <v>2</v>
      </c>
      <c r="G70" s="82">
        <f t="shared" si="9"/>
        <v>2</v>
      </c>
      <c r="H70" s="3">
        <f t="shared" si="9"/>
        <v>2</v>
      </c>
      <c r="I70" s="3">
        <f t="shared" si="9"/>
        <v>2</v>
      </c>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spans="1:44" s="3" customFormat="1">
      <c r="A71" s="5" t="s">
        <v>70</v>
      </c>
      <c r="B71" s="81"/>
      <c r="C71" s="81"/>
      <c r="D71" s="81"/>
      <c r="E71" s="81"/>
      <c r="F71" s="81"/>
      <c r="G71" s="82"/>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spans="1:44" s="3" customFormat="1">
      <c r="A72" s="9" t="s">
        <v>66</v>
      </c>
      <c r="B72" s="81">
        <f>IF(B69&gt;=0,0,B241*(B215+B211+B207)-B68-B64)</f>
        <v>0</v>
      </c>
      <c r="C72" s="81">
        <f>IF(C69&gt;=0,0,C241*(C215+C211+C207)-C68-C64)</f>
        <v>0</v>
      </c>
      <c r="D72" s="81">
        <f>IF(D69&gt;=0,0,D241*(D215+D211+D207)-D68-D64)</f>
        <v>0</v>
      </c>
      <c r="E72" s="81">
        <f>IF(E69&gt;=0,0,E241*(E215+E211+E207)-E68-E64)</f>
        <v>0</v>
      </c>
      <c r="F72" s="81">
        <f>IF(F69&gt;=0,0,F241*(F215+F211+F207)-F68-F64)</f>
        <v>0</v>
      </c>
      <c r="G72" s="82">
        <f>IF(G69&gt;=0,0,G241*(G215+G211+G207)-G68-G64)</f>
        <v>0</v>
      </c>
      <c r="H72" s="3">
        <f>IF(H69&gt;=0,0,H241*(H215+H211+H207)-H68-H64)</f>
        <v>0</v>
      </c>
      <c r="I72" s="3">
        <f>IF(I69&gt;=0,0,I241*(I215+I211+I207)-I68-I64)</f>
        <v>0</v>
      </c>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spans="1:44" s="3" customFormat="1">
      <c r="A73" s="3" t="s">
        <v>69</v>
      </c>
      <c r="B73" s="81">
        <f>B241*(B212+B216)-B69</f>
        <v>0.62681474894080447</v>
      </c>
      <c r="C73" s="81">
        <f>C241*(C212+C216)-C69</f>
        <v>0.6438775564300071</v>
      </c>
      <c r="D73" s="81">
        <f>D241*(D212+D216)-D69</f>
        <v>0.63653587564974212</v>
      </c>
      <c r="E73" s="81">
        <f>E241*(E212+E216)-E69</f>
        <v>0.61723744096985678</v>
      </c>
      <c r="F73" s="81">
        <f>F241*(F212+F216)-F69</f>
        <v>0.519468591280417</v>
      </c>
      <c r="G73" s="82">
        <f>G241*(G212+G216)-G69</f>
        <v>0.5495457449320611</v>
      </c>
      <c r="H73" s="3">
        <f>H241*(H212+H216)-H69</f>
        <v>0.24365966714511073</v>
      </c>
      <c r="I73" s="3">
        <f>I241*(I212+I216)-I69</f>
        <v>0.18548442576900881</v>
      </c>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spans="1:44" s="3" customFormat="1">
      <c r="A74" s="3" t="s">
        <v>71</v>
      </c>
      <c r="B74" s="83">
        <f>B241*B217</f>
        <v>8.4572372520497929E-2</v>
      </c>
      <c r="C74" s="83">
        <f>C241*C217</f>
        <v>9.1629960074566044E-2</v>
      </c>
      <c r="D74" s="83">
        <f>D241*D217</f>
        <v>9.1001410263680943E-2</v>
      </c>
      <c r="E74" s="83">
        <f>E241*E217</f>
        <v>8.5083615612833632E-2</v>
      </c>
      <c r="F74" s="83">
        <f>F241*F217</f>
        <v>0.15073189346561236</v>
      </c>
      <c r="G74" s="84">
        <f>G241*G217</f>
        <v>0.13434223790843894</v>
      </c>
      <c r="H74" s="5">
        <f>H241*H217</f>
        <v>0.10918265066810108</v>
      </c>
      <c r="I74" s="5">
        <f>I241*I217</f>
        <v>0.1053858543125534</v>
      </c>
      <c r="J74" s="5"/>
      <c r="K74" s="5"/>
      <c r="L74" s="5"/>
      <c r="M74" s="5"/>
      <c r="N74" s="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spans="1:44" s="3" customFormat="1">
      <c r="A75" s="3" t="s">
        <v>72</v>
      </c>
      <c r="B75" s="81">
        <f t="shared" ref="B75:I75" si="10">B73+B74+B72</f>
        <v>0.71138712146130234</v>
      </c>
      <c r="C75" s="81">
        <f t="shared" si="10"/>
        <v>0.73550751650457313</v>
      </c>
      <c r="D75" s="81">
        <f t="shared" si="10"/>
        <v>0.72753728591342304</v>
      </c>
      <c r="E75" s="81">
        <f t="shared" si="10"/>
        <v>0.7023210565826904</v>
      </c>
      <c r="F75" s="81">
        <f t="shared" si="10"/>
        <v>0.67020048474602933</v>
      </c>
      <c r="G75" s="82">
        <f t="shared" si="10"/>
        <v>0.68388798284050001</v>
      </c>
      <c r="H75" s="3">
        <f t="shared" si="10"/>
        <v>0.35284231781321179</v>
      </c>
      <c r="I75" s="3">
        <f t="shared" si="10"/>
        <v>0.29087028008156224</v>
      </c>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spans="1:44" s="3" customFormat="1">
      <c r="B76" s="81"/>
      <c r="C76" s="81"/>
      <c r="D76" s="81"/>
      <c r="E76" s="81"/>
      <c r="F76" s="81"/>
      <c r="G76" s="82"/>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spans="1:44" s="3" customFormat="1">
      <c r="A77" s="5" t="s">
        <v>73</v>
      </c>
      <c r="B77" s="81"/>
      <c r="C77" s="81"/>
      <c r="D77" s="81"/>
      <c r="E77" s="81"/>
      <c r="F77" s="81"/>
      <c r="G77" s="82"/>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spans="1:44" s="3" customFormat="1">
      <c r="A78" s="3" t="s">
        <v>74</v>
      </c>
      <c r="B78" s="81">
        <v>0</v>
      </c>
      <c r="C78" s="81">
        <v>0</v>
      </c>
      <c r="D78" s="81">
        <v>0</v>
      </c>
      <c r="E78" s="81">
        <v>0</v>
      </c>
      <c r="F78" s="81">
        <v>0</v>
      </c>
      <c r="G78" s="82">
        <v>0</v>
      </c>
      <c r="H78" s="3">
        <v>0</v>
      </c>
      <c r="I78" s="3">
        <v>0</v>
      </c>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spans="1:44" s="3" customFormat="1">
      <c r="A79" s="3" t="s">
        <v>75</v>
      </c>
      <c r="B79" s="81">
        <f t="shared" ref="B79:I79" si="11">2-(B78+B80+B81)</f>
        <v>2</v>
      </c>
      <c r="C79" s="81">
        <f t="shared" si="11"/>
        <v>2</v>
      </c>
      <c r="D79" s="81">
        <f t="shared" si="11"/>
        <v>2</v>
      </c>
      <c r="E79" s="81">
        <f t="shared" si="11"/>
        <v>2</v>
      </c>
      <c r="F79" s="81">
        <f t="shared" si="11"/>
        <v>2</v>
      </c>
      <c r="G79" s="82">
        <f t="shared" si="11"/>
        <v>2</v>
      </c>
      <c r="H79" s="3">
        <f t="shared" si="11"/>
        <v>2</v>
      </c>
      <c r="I79" s="3">
        <f t="shared" si="11"/>
        <v>2</v>
      </c>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spans="1:44" s="3" customFormat="1">
      <c r="A80" s="3" t="s">
        <v>108</v>
      </c>
      <c r="B80" s="81">
        <f>B223</f>
        <v>0</v>
      </c>
      <c r="C80" s="81">
        <f>C223</f>
        <v>0</v>
      </c>
      <c r="D80" s="81">
        <f>D223</f>
        <v>0</v>
      </c>
      <c r="E80" s="81">
        <f>E223</f>
        <v>0</v>
      </c>
      <c r="F80" s="81">
        <f>F223</f>
        <v>0</v>
      </c>
      <c r="G80" s="82">
        <f>G223</f>
        <v>0</v>
      </c>
      <c r="H80" s="3">
        <f>H223</f>
        <v>0</v>
      </c>
      <c r="I80" s="3">
        <f>I223</f>
        <v>0</v>
      </c>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spans="1:44" s="3" customFormat="1">
      <c r="A81" s="3" t="s">
        <v>109</v>
      </c>
      <c r="B81" s="83">
        <f>B224</f>
        <v>0</v>
      </c>
      <c r="C81" s="83">
        <f>C224</f>
        <v>0</v>
      </c>
      <c r="D81" s="83">
        <f>D224</f>
        <v>0</v>
      </c>
      <c r="E81" s="83">
        <f>E224</f>
        <v>0</v>
      </c>
      <c r="F81" s="83">
        <f>F224</f>
        <v>0</v>
      </c>
      <c r="G81" s="84">
        <f>G224</f>
        <v>0</v>
      </c>
      <c r="H81" s="5">
        <f>H224</f>
        <v>0</v>
      </c>
      <c r="I81" s="5">
        <f>I224</f>
        <v>0</v>
      </c>
      <c r="J81" s="5"/>
      <c r="K81" s="5"/>
      <c r="L81" s="5"/>
      <c r="M81" s="5"/>
      <c r="N81" s="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spans="1:44" s="3" customFormat="1">
      <c r="B82" s="81">
        <f t="shared" ref="B82:I82" si="12">SUM(B78:B81)</f>
        <v>2</v>
      </c>
      <c r="C82" s="81">
        <f t="shared" si="12"/>
        <v>2</v>
      </c>
      <c r="D82" s="81">
        <f t="shared" si="12"/>
        <v>2</v>
      </c>
      <c r="E82" s="81">
        <f t="shared" si="12"/>
        <v>2</v>
      </c>
      <c r="F82" s="81">
        <f t="shared" si="12"/>
        <v>2</v>
      </c>
      <c r="G82" s="82">
        <f t="shared" si="12"/>
        <v>2</v>
      </c>
      <c r="H82" s="3">
        <f t="shared" si="12"/>
        <v>2</v>
      </c>
      <c r="I82" s="3">
        <f t="shared" si="12"/>
        <v>2</v>
      </c>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spans="1:44" s="3" customFormat="1">
      <c r="A83" s="3" t="s">
        <v>76</v>
      </c>
      <c r="B83" s="81">
        <f t="shared" ref="B83:I83" si="13">8+5+B70+B75</f>
        <v>15.711387121461302</v>
      </c>
      <c r="C83" s="81">
        <f t="shared" si="13"/>
        <v>15.735507516504573</v>
      </c>
      <c r="D83" s="81">
        <f t="shared" si="13"/>
        <v>15.727537285913423</v>
      </c>
      <c r="E83" s="81">
        <f t="shared" si="13"/>
        <v>15.70232105658269</v>
      </c>
      <c r="F83" s="81">
        <f t="shared" si="13"/>
        <v>15.670200484746029</v>
      </c>
      <c r="G83" s="82">
        <f t="shared" si="13"/>
        <v>15.683887982840499</v>
      </c>
      <c r="H83" s="3">
        <f t="shared" si="13"/>
        <v>15.352842317813211</v>
      </c>
      <c r="I83" s="3">
        <f t="shared" si="13"/>
        <v>15.290870280081561</v>
      </c>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spans="1:44" s="3" customFormat="1">
      <c r="A84" s="3" t="s">
        <v>77</v>
      </c>
      <c r="B84" s="81">
        <f t="shared" ref="B84:I84" si="14">(B52+B59)*4+(B53+B58+B60)*3+(B61+B62+B63+B64+B67+B68+B72)*2+B69+B73+B74</f>
        <v>45.999999999999993</v>
      </c>
      <c r="C84" s="81">
        <f t="shared" si="14"/>
        <v>45.999999999999979</v>
      </c>
      <c r="D84" s="81">
        <f t="shared" si="14"/>
        <v>45.999999999999993</v>
      </c>
      <c r="E84" s="81">
        <f t="shared" si="14"/>
        <v>46.000000000000014</v>
      </c>
      <c r="F84" s="81">
        <f t="shared" si="14"/>
        <v>46.000000000000014</v>
      </c>
      <c r="G84" s="82">
        <f t="shared" si="14"/>
        <v>46</v>
      </c>
      <c r="H84" s="3">
        <f t="shared" si="14"/>
        <v>45.999999999999986</v>
      </c>
      <c r="I84" s="3">
        <f t="shared" si="14"/>
        <v>46</v>
      </c>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spans="1:44" s="3" customFormat="1">
      <c r="A85" s="3" t="s">
        <v>129</v>
      </c>
      <c r="B85" s="82">
        <f t="shared" ref="B85:I85" si="15">(B60+B63+B67)/(B60+B63+B67+B61)</f>
        <v>0.28808017325576457</v>
      </c>
      <c r="C85" s="82">
        <f t="shared" si="15"/>
        <v>0.31059018134788557</v>
      </c>
      <c r="D85" s="82">
        <f t="shared" si="15"/>
        <v>0.31448908685596572</v>
      </c>
      <c r="E85" s="82">
        <f t="shared" si="15"/>
        <v>0.35250680924039146</v>
      </c>
      <c r="F85" s="82">
        <f t="shared" si="15"/>
        <v>0.2709431603987541</v>
      </c>
      <c r="G85" s="82">
        <f t="shared" si="15"/>
        <v>0.29334184817974951</v>
      </c>
      <c r="H85" s="25">
        <f t="shared" si="15"/>
        <v>0.35817179792646436</v>
      </c>
      <c r="I85" s="25">
        <f t="shared" si="15"/>
        <v>0.34631952438025854</v>
      </c>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spans="1:44" s="3" customFormat="1">
      <c r="A86" s="3" t="s">
        <v>130</v>
      </c>
      <c r="B86" s="82">
        <f t="shared" ref="B86:I86" si="16">B61/(B63+B67)</f>
        <v>5.1085562193336065</v>
      </c>
      <c r="C86" s="82">
        <f t="shared" si="16"/>
        <v>4.883525104321766</v>
      </c>
      <c r="D86" s="82">
        <f t="shared" si="16"/>
        <v>3.0845665366195956</v>
      </c>
      <c r="E86" s="82">
        <f t="shared" si="16"/>
        <v>3.151951935427606</v>
      </c>
      <c r="F86" s="82">
        <f t="shared" si="16"/>
        <v>4.6428613958145935</v>
      </c>
      <c r="G86" s="82">
        <f t="shared" si="16"/>
        <v>4.215731236392612</v>
      </c>
      <c r="H86" s="25">
        <f t="shared" si="16"/>
        <v>2.5120010495103435</v>
      </c>
      <c r="I86" s="25">
        <f t="shared" si="16"/>
        <v>2.6138692464061259</v>
      </c>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spans="1:44" s="3" customFormat="1">
      <c r="A87" s="3" t="s">
        <v>131</v>
      </c>
      <c r="B87" s="82">
        <f t="shared" ref="B87:I87" si="17">B61/(B60+B63+B67)</f>
        <v>2.4712558962264151</v>
      </c>
      <c r="C87" s="82">
        <f t="shared" si="17"/>
        <v>2.2196767961570587</v>
      </c>
      <c r="D87" s="82">
        <f t="shared" si="17"/>
        <v>2.1797605761054419</v>
      </c>
      <c r="E87" s="82">
        <f t="shared" si="17"/>
        <v>1.8368246336996337</v>
      </c>
      <c r="F87" s="82">
        <f t="shared" si="17"/>
        <v>2.6908110119047621</v>
      </c>
      <c r="G87" s="82">
        <f t="shared" si="17"/>
        <v>2.4089919532627864</v>
      </c>
      <c r="H87" s="25">
        <f t="shared" si="17"/>
        <v>1.7919562784932279</v>
      </c>
      <c r="I87" s="25">
        <f t="shared" si="17"/>
        <v>1.8875068530701751</v>
      </c>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spans="1:44" s="3" customFormat="1">
      <c r="A88" s="3" t="s">
        <v>132</v>
      </c>
      <c r="B88" s="82">
        <f t="shared" ref="B88:I88" si="18">B61/5</f>
        <v>0.63142009103279373</v>
      </c>
      <c r="C88" s="82">
        <f t="shared" si="18"/>
        <v>0.62038336063604693</v>
      </c>
      <c r="D88" s="82">
        <f t="shared" si="18"/>
        <v>0.59443310658452186</v>
      </c>
      <c r="E88" s="82">
        <f t="shared" si="18"/>
        <v>0.57905962256172161</v>
      </c>
      <c r="F88" s="82">
        <f t="shared" si="18"/>
        <v>0.64848304993998129</v>
      </c>
      <c r="G88" s="82">
        <f t="shared" si="18"/>
        <v>0.62773009975074134</v>
      </c>
      <c r="H88" s="25">
        <f t="shared" si="18"/>
        <v>0.62214669054906691</v>
      </c>
      <c r="I88" s="25">
        <f t="shared" si="18"/>
        <v>0.63707866058476059</v>
      </c>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spans="1:44" s="3" customFormat="1">
      <c r="A89" s="3" t="s">
        <v>133</v>
      </c>
      <c r="B89" s="82">
        <f t="shared" ref="B89:I89" si="19">B79/B82</f>
        <v>1</v>
      </c>
      <c r="C89" s="82">
        <f t="shared" si="19"/>
        <v>1</v>
      </c>
      <c r="D89" s="82">
        <f t="shared" si="19"/>
        <v>1</v>
      </c>
      <c r="E89" s="82">
        <f t="shared" si="19"/>
        <v>1</v>
      </c>
      <c r="F89" s="82">
        <f t="shared" si="19"/>
        <v>1</v>
      </c>
      <c r="G89" s="82">
        <f t="shared" si="19"/>
        <v>1</v>
      </c>
      <c r="H89" s="25">
        <f t="shared" si="19"/>
        <v>1</v>
      </c>
      <c r="I89" s="25">
        <f t="shared" si="19"/>
        <v>1</v>
      </c>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spans="1:44" s="3" customFormat="1">
      <c r="A90"/>
      <c r="B90" s="64"/>
      <c r="C90" s="64"/>
      <c r="D90" s="64"/>
      <c r="E90" s="64"/>
      <c r="F90" s="64"/>
      <c r="G90" s="64"/>
      <c r="H90" s="14"/>
      <c r="I90" s="14"/>
      <c r="J90" s="14"/>
      <c r="K90" s="14"/>
      <c r="L90" s="14"/>
      <c r="M90" s="14"/>
      <c r="N90" s="14"/>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spans="1:44" s="3" customFormat="1">
      <c r="A91" t="s">
        <v>19</v>
      </c>
      <c r="B91" s="82">
        <f t="shared" ref="B91:I91" si="20">(B52+B55+B59+B60+B61+B62+B63+B67)-13</f>
        <v>2.3693041868757092E-2</v>
      </c>
      <c r="C91" s="82">
        <f t="shared" si="20"/>
        <v>3.8783127032004927E-4</v>
      </c>
      <c r="D91" s="82">
        <f t="shared" si="20"/>
        <v>1.4150068214863865E-2</v>
      </c>
      <c r="E91" s="82">
        <f t="shared" si="20"/>
        <v>3.9361504980192308E-2</v>
      </c>
      <c r="F91" s="82">
        <f t="shared" si="20"/>
        <v>3.0039896972086311E-2</v>
      </c>
      <c r="G91" s="82">
        <f t="shared" si="20"/>
        <v>3.6355084099398027E-2</v>
      </c>
      <c r="H91" s="25">
        <f t="shared" si="20"/>
        <v>8.2685163080942203E-2</v>
      </c>
      <c r="I91" s="25">
        <f t="shared" si="20"/>
        <v>0.11993040078605866</v>
      </c>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spans="1:44" s="3" customFormat="1">
      <c r="A92" t="s">
        <v>20</v>
      </c>
      <c r="B92" s="82">
        <f t="shared" ref="B92:I92" si="21">(B52-4)/4</f>
        <v>0.46630327109534009</v>
      </c>
      <c r="C92" s="82">
        <f t="shared" si="21"/>
        <v>0.45842198060545258</v>
      </c>
      <c r="D92" s="82">
        <f t="shared" si="21"/>
        <v>0.50300631779558613</v>
      </c>
      <c r="E92" s="82">
        <f t="shared" si="21"/>
        <v>0.48966508515740403</v>
      </c>
      <c r="F92" s="82">
        <f t="shared" si="21"/>
        <v>0.52727017464944104</v>
      </c>
      <c r="G92" s="82">
        <f t="shared" si="21"/>
        <v>0.51459919156923206</v>
      </c>
      <c r="H92" s="25">
        <f t="shared" si="21"/>
        <v>0.76454378114404298</v>
      </c>
      <c r="I92" s="25">
        <f t="shared" si="21"/>
        <v>0.79184279336436036</v>
      </c>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spans="1:44" s="3" customFormat="1">
      <c r="A93" s="3" t="s">
        <v>21</v>
      </c>
      <c r="B93" s="82">
        <f t="shared" ref="B93:I93" si="22">(8-B52)/4</f>
        <v>0.53369672890465991</v>
      </c>
      <c r="C93" s="82">
        <f t="shared" si="22"/>
        <v>0.54157801939454742</v>
      </c>
      <c r="D93" s="82">
        <f t="shared" si="22"/>
        <v>0.49699368220441387</v>
      </c>
      <c r="E93" s="82">
        <f t="shared" si="22"/>
        <v>0.51033491484259597</v>
      </c>
      <c r="F93" s="82">
        <f t="shared" si="22"/>
        <v>0.47272982535055896</v>
      </c>
      <c r="G93" s="82">
        <f t="shared" si="22"/>
        <v>0.48540080843076794</v>
      </c>
      <c r="H93" s="25">
        <f t="shared" si="22"/>
        <v>0.23545621885595702</v>
      </c>
      <c r="I93" s="25">
        <f t="shared" si="22"/>
        <v>0.20815720663563964</v>
      </c>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spans="1:44" s="3" customFormat="1">
      <c r="A94" s="3" t="s">
        <v>22</v>
      </c>
      <c r="B94" s="82">
        <f t="shared" ref="B94:I94" si="23">(B52+B55-8)/2</f>
        <v>0.12186156944491167</v>
      </c>
      <c r="C94" s="82">
        <f t="shared" si="23"/>
        <v>9.1894655804444447E-2</v>
      </c>
      <c r="D94" s="82">
        <f t="shared" si="23"/>
        <v>0.15584126775614315</v>
      </c>
      <c r="E94" s="82">
        <f t="shared" si="23"/>
        <v>0.12449811134328659</v>
      </c>
      <c r="F94" s="82">
        <f t="shared" si="23"/>
        <v>0.13316738378503779</v>
      </c>
      <c r="G94" s="82">
        <f t="shared" si="23"/>
        <v>0.1430755256408478</v>
      </c>
      <c r="H94" s="25">
        <f t="shared" si="23"/>
        <v>2.8421112155747608E-2</v>
      </c>
      <c r="I94" s="25">
        <f t="shared" si="23"/>
        <v>3.5826612230952293E-2</v>
      </c>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spans="1:44" s="3" customFormat="1">
      <c r="A95" s="3" t="s">
        <v>23</v>
      </c>
      <c r="B95" s="82">
        <f t="shared" ref="B95:I95" si="24">3-B64-B68-B72-B69-B73-B74-B91</f>
        <v>0.28861287853869849</v>
      </c>
      <c r="C95" s="82">
        <f t="shared" si="24"/>
        <v>0.26449248349542553</v>
      </c>
      <c r="D95" s="82">
        <f t="shared" si="24"/>
        <v>0.27246271408657741</v>
      </c>
      <c r="E95" s="82">
        <f t="shared" si="24"/>
        <v>0.29767894341731005</v>
      </c>
      <c r="F95" s="82">
        <f t="shared" si="24"/>
        <v>0.32979951525396889</v>
      </c>
      <c r="G95" s="82">
        <f t="shared" si="24"/>
        <v>0.31611201715949733</v>
      </c>
      <c r="H95" s="25">
        <f t="shared" si="24"/>
        <v>0.64715768218678771</v>
      </c>
      <c r="I95" s="25">
        <f t="shared" si="24"/>
        <v>0.7091297199184371</v>
      </c>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spans="1:44" s="3" customFormat="1">
      <c r="A96" s="3" t="s">
        <v>24</v>
      </c>
      <c r="B96" s="82">
        <f t="shared" ref="B96:I96" si="25">B64+B68+B72+B69+B73+B91-2</f>
        <v>0.62681474894080358</v>
      </c>
      <c r="C96" s="82">
        <f t="shared" si="25"/>
        <v>0.64387755643000855</v>
      </c>
      <c r="D96" s="82">
        <f t="shared" si="25"/>
        <v>0.63653587564974146</v>
      </c>
      <c r="E96" s="82">
        <f t="shared" si="25"/>
        <v>0.61723744096985644</v>
      </c>
      <c r="F96" s="82">
        <f t="shared" si="25"/>
        <v>0.51946859128041867</v>
      </c>
      <c r="G96" s="82">
        <f t="shared" si="25"/>
        <v>0.54954574493206376</v>
      </c>
      <c r="H96" s="25">
        <f t="shared" si="25"/>
        <v>0.24365966714511123</v>
      </c>
      <c r="I96" s="25">
        <f t="shared" si="25"/>
        <v>0.18548442576900959</v>
      </c>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spans="1:44" s="3" customFormat="1">
      <c r="A97" s="3" t="s">
        <v>25</v>
      </c>
      <c r="B97" s="82">
        <f t="shared" ref="B97:I97" si="26">(2-B64-B68-B72-B91)/2</f>
        <v>6.9396713226178464E-2</v>
      </c>
      <c r="C97" s="82">
        <f t="shared" si="26"/>
        <v>5.7470546318886262E-2</v>
      </c>
      <c r="D97" s="82">
        <f t="shared" si="26"/>
        <v>7.2651380847359337E-2</v>
      </c>
      <c r="E97" s="82">
        <f t="shared" si="26"/>
        <v>7.9310513360168589E-2</v>
      </c>
      <c r="F97" s="82">
        <f t="shared" si="26"/>
        <v>7.4110434173767281E-2</v>
      </c>
      <c r="G97" s="82">
        <f t="shared" si="26"/>
        <v>7.7634983058714635E-2</v>
      </c>
      <c r="H97" s="25">
        <f t="shared" si="26"/>
        <v>5.2542921164324685E-2</v>
      </c>
      <c r="I97" s="25">
        <f t="shared" si="26"/>
        <v>6.5992749607906798E-2</v>
      </c>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spans="1:44" s="3" customFormat="1">
      <c r="A98" s="3" t="s">
        <v>26</v>
      </c>
      <c r="B98" s="82">
        <f t="shared" ref="B98:I98" si="27">(B64+B68+B72)/2</f>
        <v>0.91875676583944299</v>
      </c>
      <c r="C98" s="82">
        <f t="shared" si="27"/>
        <v>0.94233553804595371</v>
      </c>
      <c r="D98" s="82">
        <f t="shared" si="27"/>
        <v>0.92027358504520873</v>
      </c>
      <c r="E98" s="82">
        <f t="shared" si="27"/>
        <v>0.90100873414973526</v>
      </c>
      <c r="F98" s="82">
        <f t="shared" si="27"/>
        <v>0.91086961734018956</v>
      </c>
      <c r="G98" s="82">
        <f t="shared" si="27"/>
        <v>0.90418747489158635</v>
      </c>
      <c r="H98" s="25">
        <f t="shared" si="27"/>
        <v>0.90611449729520421</v>
      </c>
      <c r="I98" s="25">
        <f t="shared" si="27"/>
        <v>0.87404204999906387</v>
      </c>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spans="1:44" s="3" customFormat="1">
      <c r="A99" s="3" t="s">
        <v>27</v>
      </c>
      <c r="B99" s="82">
        <f t="shared" ref="B99:I99" si="28">B74</f>
        <v>8.4572372520497929E-2</v>
      </c>
      <c r="C99" s="82">
        <f t="shared" si="28"/>
        <v>9.1629960074566044E-2</v>
      </c>
      <c r="D99" s="82">
        <f t="shared" si="28"/>
        <v>9.1001410263680943E-2</v>
      </c>
      <c r="E99" s="82">
        <f t="shared" si="28"/>
        <v>8.5083615612833632E-2</v>
      </c>
      <c r="F99" s="82">
        <f t="shared" si="28"/>
        <v>0.15073189346561236</v>
      </c>
      <c r="G99" s="82">
        <f t="shared" si="28"/>
        <v>0.13434223790843894</v>
      </c>
      <c r="H99" s="25">
        <f t="shared" si="28"/>
        <v>0.10918265066810108</v>
      </c>
      <c r="I99" s="25">
        <f t="shared" si="28"/>
        <v>0.1053858543125534</v>
      </c>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spans="1:44" s="3" customFormat="1">
      <c r="A100" s="3" t="s">
        <v>28</v>
      </c>
      <c r="B100" s="82">
        <f t="shared" ref="B100:I100" si="29">(27/256)*(B95*B92*B38)/(B96*B93)</f>
        <v>6.1583349053296651E-3</v>
      </c>
      <c r="C100" s="82">
        <f t="shared" si="29"/>
        <v>6.6442788981443176E-3</v>
      </c>
      <c r="D100" s="82">
        <f t="shared" si="29"/>
        <v>9.0048708920347567E-3</v>
      </c>
      <c r="E100" s="82">
        <f t="shared" si="29"/>
        <v>1.4632920336607659E-2</v>
      </c>
      <c r="F100" s="82">
        <f t="shared" si="29"/>
        <v>1.108707160406067E-2</v>
      </c>
      <c r="G100" s="82">
        <f t="shared" si="29"/>
        <v>1.1827816834256759E-2</v>
      </c>
      <c r="H100" s="25">
        <f t="shared" si="29"/>
        <v>0.13767612836456625</v>
      </c>
      <c r="I100" s="25">
        <f t="shared" si="29"/>
        <v>0.27256602457264384</v>
      </c>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spans="1:44" s="3" customFormat="1">
      <c r="B101" s="82"/>
      <c r="C101" s="82"/>
      <c r="D101" s="82"/>
      <c r="E101" s="82"/>
      <c r="F101" s="82"/>
      <c r="G101" s="82"/>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spans="1:44" s="3" customFormat="1">
      <c r="A102" s="10" t="s">
        <v>29</v>
      </c>
      <c r="B102" s="82"/>
      <c r="C102" s="82"/>
      <c r="D102" s="82"/>
      <c r="E102" s="82"/>
      <c r="F102" s="82"/>
      <c r="G102" s="82"/>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1:44" s="3" customFormat="1">
      <c r="A103" s="3" t="s">
        <v>30</v>
      </c>
      <c r="B103" s="82">
        <v>5</v>
      </c>
      <c r="C103" s="82">
        <v>5</v>
      </c>
      <c r="D103" s="82">
        <v>5</v>
      </c>
      <c r="E103" s="82">
        <v>5</v>
      </c>
      <c r="F103" s="82">
        <v>5</v>
      </c>
      <c r="G103" s="82">
        <v>5</v>
      </c>
      <c r="H103" s="82">
        <v>5</v>
      </c>
      <c r="I103" s="82">
        <v>5</v>
      </c>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1:44" s="104" customFormat="1">
      <c r="A104" s="101" t="s">
        <v>31</v>
      </c>
      <c r="B104" s="102">
        <f>((-76.95+B103*0.79+39.4*B$96+22.4*B$99+(41.5-2.89*B103)*B$94)/(-0.065-0.0083144*LN(B$100)))-273.15</f>
        <v>1627.7528426726212</v>
      </c>
      <c r="C104" s="102">
        <f t="shared" ref="C104:I104" si="30">((-76.95+C103*0.79+39.4*C$96+22.4*C$99+(41.5-2.89*C103)*C$94)/(-0.065-0.0083144*LN(C$100)))-273.15</f>
        <v>1575.4126049009151</v>
      </c>
      <c r="D104" s="102">
        <f t="shared" si="30"/>
        <v>1339.3785763295491</v>
      </c>
      <c r="E104" s="102">
        <f t="shared" si="30"/>
        <v>1179.7667118889653</v>
      </c>
      <c r="F104" s="102">
        <f t="shared" si="30"/>
        <v>1379.2399403783293</v>
      </c>
      <c r="G104" s="102">
        <f t="shared" si="30"/>
        <v>1308.9905536520228</v>
      </c>
      <c r="H104" s="102">
        <f t="shared" si="30"/>
        <v>967.43205093874701</v>
      </c>
      <c r="I104" s="102">
        <f t="shared" si="30"/>
        <v>877.60633804357906</v>
      </c>
      <c r="J104" s="102"/>
      <c r="K104" s="102"/>
      <c r="L104" s="102"/>
      <c r="M104" s="102"/>
      <c r="N104" s="102"/>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row>
    <row r="105" spans="1:44" s="104" customFormat="1">
      <c r="A105" s="101" t="s">
        <v>32</v>
      </c>
      <c r="B105" s="102">
        <f>((78.44+3-33.6*B$97-(66.8-2.92*B103)*B$94+78.5*B$93+9.4*B$96)/(0.0721-0.0083144*LN((27*B$97*B$92*B$39)/(64*B$98*B$93*B$38))))-273.15</f>
        <v>1109.7397230145198</v>
      </c>
      <c r="C105" s="102">
        <f t="shared" ref="B105:I105" si="31">((78.44+3-33.6*C$97-(66.8-2.92*C103)*C$94+78.5*C$93+9.4*C$96)/(0.0721-0.0083144*LN((27*C$97*C$92*C$39)/(64*C$98*C$93*C$38))))-273.15</f>
        <v>1075.3603191042689</v>
      </c>
      <c r="D105" s="102">
        <f t="shared" si="31"/>
        <v>1033.8871086552972</v>
      </c>
      <c r="E105" s="102">
        <f t="shared" si="31"/>
        <v>999.61057609995703</v>
      </c>
      <c r="F105" s="102">
        <f t="shared" si="31"/>
        <v>1071.6017930545122</v>
      </c>
      <c r="G105" s="102">
        <f t="shared" si="31"/>
        <v>1046.2201045002766</v>
      </c>
      <c r="H105" s="102">
        <f t="shared" si="31"/>
        <v>981.97880365274102</v>
      </c>
      <c r="I105" s="102">
        <f t="shared" si="31"/>
        <v>967.34903348950877</v>
      </c>
      <c r="J105" s="102"/>
      <c r="K105" s="102"/>
      <c r="L105" s="102"/>
      <c r="M105" s="102"/>
      <c r="N105" s="102"/>
      <c r="O105" s="109" t="s">
        <v>162</v>
      </c>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103"/>
      <c r="AQ105" s="103"/>
      <c r="AR105" s="103"/>
    </row>
    <row r="106" spans="1:44" s="3" customFormat="1">
      <c r="A106" t="s">
        <v>33</v>
      </c>
      <c r="B106" s="86">
        <f t="shared" ref="B106:I106" si="32">(0.677*B103-48.98)/(-0.0429-0.008314*LN(B$38*(B$52-4)/(8-B$52)))-273.15</f>
        <v>1498.8213701489062</v>
      </c>
      <c r="C106" s="86">
        <f t="shared" si="32"/>
        <v>1396.2896446329914</v>
      </c>
      <c r="D106" s="86">
        <f t="shared" si="32"/>
        <v>1272.6047645356603</v>
      </c>
      <c r="E106" s="86">
        <f t="shared" si="32"/>
        <v>1127.9811206593045</v>
      </c>
      <c r="F106" s="86">
        <f t="shared" si="32"/>
        <v>1358.2247260881263</v>
      </c>
      <c r="G106" s="86">
        <f t="shared" si="32"/>
        <v>1282.6270034456584</v>
      </c>
      <c r="H106" s="29">
        <f t="shared" si="32"/>
        <v>959.33612329270693</v>
      </c>
      <c r="I106" s="29">
        <f t="shared" si="32"/>
        <v>876.95442645283458</v>
      </c>
      <c r="J106" s="29"/>
      <c r="K106" s="29"/>
      <c r="L106" s="29"/>
      <c r="M106" s="29"/>
      <c r="N106" s="29"/>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1:44" s="3" customFormat="1">
      <c r="A107" t="s">
        <v>193</v>
      </c>
      <c r="B107" s="86">
        <f>IF(B38&gt;0.5,0,(12*(1-B38)^2-3))</f>
        <v>5.7694139615567259</v>
      </c>
      <c r="C107" s="86">
        <f t="shared" ref="C107:I107" si="33">IF(C38&gt;0.5,0,(12*(1-C38)^2-3))</f>
        <v>5.0455996461843409</v>
      </c>
      <c r="D107" s="86">
        <f t="shared" si="33"/>
        <v>4.7361280713866254</v>
      </c>
      <c r="E107" s="86">
        <f t="shared" si="33"/>
        <v>2.8829443466885332</v>
      </c>
      <c r="F107" s="86">
        <f t="shared" si="33"/>
        <v>5.7016353464135356</v>
      </c>
      <c r="G107" s="86">
        <f t="shared" si="33"/>
        <v>4.9922860756265601</v>
      </c>
      <c r="H107" s="86">
        <f t="shared" si="33"/>
        <v>5.6422422219240662</v>
      </c>
      <c r="I107" s="86">
        <f t="shared" si="33"/>
        <v>5.1141699651775703</v>
      </c>
      <c r="J107" s="29"/>
      <c r="K107" s="108" t="s">
        <v>196</v>
      </c>
      <c r="L107" s="29"/>
      <c r="M107" s="29"/>
      <c r="N107" s="29"/>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1:44" s="3" customFormat="1">
      <c r="A108" t="s">
        <v>194</v>
      </c>
      <c r="B108" s="86">
        <f>IF(B38&gt;0.5,3,(12*(2*B38-1)+3))</f>
        <v>-5.516624238766056</v>
      </c>
      <c r="C108" s="86">
        <f t="shared" ref="C108:I108" si="34">IF(C38&gt;0.5,3,(12*(2*C38-1)+3))</f>
        <v>-4.6516865183843281</v>
      </c>
      <c r="D108" s="86">
        <f t="shared" si="34"/>
        <v>-4.2700323670345206</v>
      </c>
      <c r="E108" s="86">
        <f t="shared" si="34"/>
        <v>-1.8042056831333042</v>
      </c>
      <c r="F108" s="86">
        <f t="shared" si="34"/>
        <v>-5.437184165825041</v>
      </c>
      <c r="G108" s="86">
        <f t="shared" si="34"/>
        <v>-4.5864680744149195</v>
      </c>
      <c r="H108" s="86">
        <f t="shared" si="34"/>
        <v>-5.3673176106318721</v>
      </c>
      <c r="I108" s="86">
        <f t="shared" si="34"/>
        <v>-4.7352516662069277</v>
      </c>
      <c r="J108" s="29"/>
      <c r="K108" s="29"/>
      <c r="L108" s="29"/>
      <c r="M108" s="29"/>
      <c r="N108" s="29"/>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1:44" s="113" customFormat="1">
      <c r="A109" s="110" t="s">
        <v>197</v>
      </c>
      <c r="B109" s="111">
        <f>((-76.95+B103*0.79+B107+39.4*B$96+22.4*B$99+(41.5-2.89*B103)*B$94)/(-0.065-0.0083144*LN(B$100)))-273.15</f>
        <v>1373.3709614881336</v>
      </c>
      <c r="C109" s="111">
        <f t="shared" ref="C109:I109" si="35">((-76.95+C103*0.79+C107+39.4*C$96+22.4*C$99+(41.5-2.89*C103)*C$94)/(-0.065-0.0083144*LN(C$100)))-273.15</f>
        <v>1358.9710739865254</v>
      </c>
      <c r="D109" s="111">
        <f t="shared" si="35"/>
        <v>1156.0866524765534</v>
      </c>
      <c r="E109" s="111">
        <f t="shared" si="35"/>
        <v>1083.2696199008456</v>
      </c>
      <c r="F109" s="111">
        <f t="shared" si="35"/>
        <v>1172.4249663145151</v>
      </c>
      <c r="G109" s="111">
        <f t="shared" si="35"/>
        <v>1131.370234322505</v>
      </c>
      <c r="H109" s="111">
        <f t="shared" si="35"/>
        <v>851.13020767369369</v>
      </c>
      <c r="I109" s="111">
        <f t="shared" si="35"/>
        <v>783.23559395668588</v>
      </c>
      <c r="J109" s="111"/>
      <c r="K109" s="111"/>
      <c r="L109" s="111"/>
      <c r="M109" s="111"/>
      <c r="N109" s="111"/>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row>
    <row r="110" spans="1:44" s="113" customFormat="1">
      <c r="A110" s="110" t="s">
        <v>198</v>
      </c>
      <c r="B110" s="111">
        <f>((78.44+B108-33.6*B$97-(66.8-2.92*B103)*B$94+78.5*B$93+9.4*B$96)/(0.0721-0.0083144*LN((27*B$97*B$92*B$39)/(64*B$98*B$93*B$38))))-273.15</f>
        <v>1012.0285535937631</v>
      </c>
      <c r="C110" s="111">
        <f t="shared" ref="C110:I110" si="36">((78.44+C108-33.6*C$97-(66.8-2.92*C103)*C$94+78.5*C$93+9.4*C$96)/(0.0721-0.0083144*LN((27*C$97*C$92*C$39)/(64*C$98*C$93*C$38))))-273.15</f>
        <v>991.66052083871057</v>
      </c>
      <c r="D110" s="111">
        <f t="shared" si="36"/>
        <v>951.87361023388041</v>
      </c>
      <c r="E110" s="111">
        <f t="shared" si="36"/>
        <v>947.85317186649525</v>
      </c>
      <c r="F110" s="111">
        <f t="shared" si="36"/>
        <v>972.06820126376704</v>
      </c>
      <c r="G110" s="111">
        <f t="shared" si="36"/>
        <v>958.90325210028971</v>
      </c>
      <c r="H110" s="111">
        <f t="shared" si="36"/>
        <v>875.85952657736641</v>
      </c>
      <c r="I110" s="111">
        <f t="shared" si="36"/>
        <v>866.80486644161067</v>
      </c>
      <c r="J110" s="111"/>
      <c r="K110" s="111"/>
      <c r="L110" s="111"/>
      <c r="M110" s="111"/>
      <c r="N110" s="111"/>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row>
    <row r="111" spans="1:44" s="3" customFormat="1">
      <c r="A111" s="3" t="s">
        <v>30</v>
      </c>
      <c r="B111" s="82">
        <v>8</v>
      </c>
      <c r="C111" s="82">
        <v>8</v>
      </c>
      <c r="D111" s="82">
        <v>8</v>
      </c>
      <c r="E111" s="82">
        <v>8</v>
      </c>
      <c r="F111" s="82">
        <v>8</v>
      </c>
      <c r="G111" s="82">
        <v>8</v>
      </c>
      <c r="H111" s="25">
        <v>8</v>
      </c>
      <c r="I111" s="25">
        <v>8</v>
      </c>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spans="1:44" s="9" customFormat="1">
      <c r="A112" s="27" t="s">
        <v>31</v>
      </c>
      <c r="B112" s="85">
        <f t="shared" ref="B112:I112" si="37">((-76.95+B111*0.79+39.4*B$96+22.4*B$99+(41.5-2.89*B111)*B$94)/(-0.065-0.0083144*LN(B$100)))-273.15</f>
        <v>1569.8404659632374</v>
      </c>
      <c r="C112" s="85">
        <f t="shared" si="37"/>
        <v>1507.9237605861981</v>
      </c>
      <c r="D112" s="85">
        <f t="shared" si="37"/>
        <v>1299.9480305798015</v>
      </c>
      <c r="E112" s="85">
        <f t="shared" si="37"/>
        <v>1136.5680702943041</v>
      </c>
      <c r="F112" s="85">
        <f t="shared" si="37"/>
        <v>1335.1524242494129</v>
      </c>
      <c r="G112" s="85">
        <f t="shared" si="37"/>
        <v>1268.8028723811672</v>
      </c>
      <c r="H112" s="28">
        <f t="shared" si="37"/>
        <v>923.6591499548723</v>
      </c>
      <c r="I112" s="28">
        <f t="shared" si="37"/>
        <v>839.60495501211096</v>
      </c>
      <c r="J112" s="28"/>
      <c r="K112" s="28"/>
      <c r="L112" s="28"/>
      <c r="M112" s="28"/>
      <c r="N112" s="28"/>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row>
    <row r="113" spans="1:44" s="9" customFormat="1">
      <c r="A113" s="27" t="s">
        <v>32</v>
      </c>
      <c r="B113" s="85">
        <f t="shared" ref="B113:I113" si="38">((78.44+3-33.6*B$97-(66.8-2.92*B111)*B$94+78.5*B$93+9.4*B$96)/(0.0721-0.0083144*LN((27*B$97*B$92*B$39)/(64*B$98*B$93*B$38))))-273.15</f>
        <v>1121.98722724237</v>
      </c>
      <c r="C113" s="85">
        <f t="shared" si="38"/>
        <v>1084.1659728401014</v>
      </c>
      <c r="D113" s="85">
        <f t="shared" si="38"/>
        <v>1049.2876352878288</v>
      </c>
      <c r="E113" s="85">
        <f t="shared" si="38"/>
        <v>1011.3600322267054</v>
      </c>
      <c r="F113" s="85">
        <f t="shared" si="38"/>
        <v>1085.3635575426715</v>
      </c>
      <c r="G113" s="85">
        <f t="shared" si="38"/>
        <v>1060.6455054672833</v>
      </c>
      <c r="H113" s="28">
        <f t="shared" si="38"/>
        <v>985.13637522108786</v>
      </c>
      <c r="I113" s="28">
        <f t="shared" si="38"/>
        <v>971.42839582618069</v>
      </c>
      <c r="J113" s="28"/>
      <c r="K113" s="28"/>
      <c r="L113" s="28"/>
      <c r="M113" s="28"/>
      <c r="N113" s="28"/>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row>
    <row r="114" spans="1:44" s="3" customFormat="1">
      <c r="A114" t="s">
        <v>33</v>
      </c>
      <c r="B114" s="86">
        <f t="shared" ref="B114:I114" si="39">(0.677*B111-48.98)/(-0.0429-0.008314*LN(B$38*(B$52-4)/(8-B$52)))-273.15</f>
        <v>1419.8900431882212</v>
      </c>
      <c r="C114" s="86">
        <f t="shared" si="39"/>
        <v>1321.925527553276</v>
      </c>
      <c r="D114" s="86">
        <f t="shared" si="39"/>
        <v>1203.7501110260228</v>
      </c>
      <c r="E114" s="86">
        <f t="shared" si="39"/>
        <v>1065.5686345082122</v>
      </c>
      <c r="F114" s="86">
        <f t="shared" si="39"/>
        <v>1285.5561863648018</v>
      </c>
      <c r="G114" s="86">
        <f t="shared" si="39"/>
        <v>1213.3259157387138</v>
      </c>
      <c r="H114" s="29">
        <f t="shared" si="39"/>
        <v>904.43582026808815</v>
      </c>
      <c r="I114" s="29">
        <f t="shared" si="39"/>
        <v>825.72376321946001</v>
      </c>
      <c r="J114" s="29"/>
      <c r="K114" s="29"/>
      <c r="L114" s="29"/>
      <c r="M114" s="29"/>
      <c r="N114" s="29"/>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row>
    <row r="115" spans="1:44" s="3" customFormat="1">
      <c r="A115"/>
      <c r="B115" s="86"/>
      <c r="C115" s="82"/>
      <c r="D115" s="82"/>
      <c r="E115" s="82"/>
      <c r="F115" s="82"/>
      <c r="G115" s="82"/>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row>
    <row r="116" spans="1:44" s="3" customFormat="1">
      <c r="A116" s="10" t="s">
        <v>34</v>
      </c>
      <c r="B116" s="64"/>
      <c r="C116" s="64"/>
      <c r="D116" s="64"/>
      <c r="E116" s="64"/>
      <c r="F116" s="64"/>
      <c r="G116" s="64"/>
      <c r="H116" s="14"/>
      <c r="I116" s="14"/>
      <c r="J116" s="14"/>
      <c r="K116" s="14"/>
      <c r="L116" s="14"/>
      <c r="M116" s="14"/>
      <c r="N116" s="14"/>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row>
    <row r="117" spans="1:44" s="9" customFormat="1">
      <c r="A117" s="40" t="s">
        <v>35</v>
      </c>
      <c r="B117" s="87">
        <f>4.76*B55-3.01</f>
        <v>8.3117078594602862</v>
      </c>
      <c r="C117" s="87">
        <f>4.76*C55-3.01</f>
        <v>8.1764826125304921</v>
      </c>
      <c r="D117" s="87">
        <f>4.76*D55-3.01</f>
        <v>7.9363685782105247</v>
      </c>
      <c r="E117" s="87">
        <f>4.76*E55-3.01</f>
        <v>7.891998798591116</v>
      </c>
      <c r="F117" s="87">
        <f>4.76*F55-3.01</f>
        <v>7.2585293683082046</v>
      </c>
      <c r="G117" s="87">
        <f>4.76*G55-3.01</f>
        <v>7.5941103966226926</v>
      </c>
      <c r="H117" s="26">
        <f>4.76*H55-3.01</f>
        <v>1.743655394740137</v>
      </c>
      <c r="I117" s="26">
        <f>4.76*I55-3.01</f>
        <v>1.2943825627812426</v>
      </c>
      <c r="J117" s="26"/>
      <c r="K117" s="26"/>
      <c r="L117" s="26"/>
      <c r="M117" s="26"/>
      <c r="N117" s="26"/>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spans="1:44" s="9" customFormat="1">
      <c r="A118" s="27" t="s">
        <v>31</v>
      </c>
      <c r="B118" s="85">
        <f>((-76.95+B117*0.79+39.4*B$96+22.4*B$99+(41.5-2.89*B$117)*B$94)/(-0.065-0.0083144*LN(B$100)))-273.15</f>
        <v>1563.8232183031241</v>
      </c>
      <c r="C118" s="85">
        <f>((-76.95+C117*0.79+39.4*C$96+22.4*C$99+(41.5-2.89*C$117)*C$94)/(-0.065-0.0083144*LN(C$100)))-273.15</f>
        <v>1503.9535580657571</v>
      </c>
      <c r="D118" s="85">
        <f>((-76.95+D117*0.79+39.4*D$96+22.4*D$99+(41.5-2.89*D$117)*D$94)/(-0.065-0.0083144*LN(D$100)))-273.15</f>
        <v>1300.7843711424657</v>
      </c>
      <c r="E118" s="85">
        <f>((-76.95+E117*0.79+39.4*E$96+22.4*E$99+(41.5-2.89*E$117)*E$94)/(-0.065-0.0083144*LN(E$100)))-273.15</f>
        <v>1138.1232386914558</v>
      </c>
      <c r="F118" s="85">
        <f>((-76.95+F117*0.79+39.4*F$96+22.4*F$99+(41.5-2.89*F$117)*F$94)/(-0.065-0.0083144*LN(F$100)))-273.15</f>
        <v>1346.0489570606901</v>
      </c>
      <c r="G118" s="85">
        <f>((-76.95+G117*0.79+39.4*G$96+22.4*G$99+(41.5-2.89*G$117)*G$94)/(-0.065-0.0083144*LN(G$100)))-273.15</f>
        <v>1274.2401263850611</v>
      </c>
      <c r="H118" s="28">
        <f>((-76.95+H117*0.79+39.4*H$96+22.4*H$99+(41.5-2.89*H$117)*H$94)/(-0.065-0.0083144*LN(H$100)))-273.15</f>
        <v>1014.9452675972183</v>
      </c>
      <c r="I118" s="28">
        <f>((-76.95+I117*0.79+39.4*I$96+22.4*I$99+(41.5-2.89*I$117)*I$94)/(-0.065-0.0083144*LN(I$100)))-273.15</f>
        <v>924.54586724352555</v>
      </c>
      <c r="J118" s="28"/>
      <c r="K118" s="28"/>
      <c r="L118" s="28"/>
      <c r="M118" s="28"/>
      <c r="N118" s="28"/>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row>
    <row r="119" spans="1:44" s="9" customFormat="1">
      <c r="A119" s="27" t="s">
        <v>32</v>
      </c>
      <c r="B119" s="85">
        <f t="shared" ref="B119:I119" si="40">((78.44+3-33.6*B$97-(66.8-2.92*B117)*B$94+78.5*B$93+9.4*B$96)/(0.0721-0.0083144*LN((27*B$97*B$92*B$39)/(64*B$98*B$93*B$38))))-273.15</f>
        <v>1123.2597750179016</v>
      </c>
      <c r="C119" s="85">
        <f t="shared" si="40"/>
        <v>1084.6839877655475</v>
      </c>
      <c r="D119" s="85">
        <f t="shared" si="40"/>
        <v>1048.9609828191838</v>
      </c>
      <c r="E119" s="85">
        <f t="shared" si="40"/>
        <v>1010.9370471008425</v>
      </c>
      <c r="F119" s="85">
        <f t="shared" si="40"/>
        <v>1081.9622428065954</v>
      </c>
      <c r="G119" s="85">
        <f t="shared" si="40"/>
        <v>1058.6937987082642</v>
      </c>
      <c r="H119" s="28">
        <f t="shared" si="40"/>
        <v>978.55142327197143</v>
      </c>
      <c r="I119" s="28">
        <f t="shared" si="40"/>
        <v>962.3101814203402</v>
      </c>
      <c r="J119" s="28"/>
      <c r="K119" s="28"/>
      <c r="L119" s="28"/>
      <c r="M119" s="28"/>
      <c r="N119" s="28"/>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row>
    <row r="120" spans="1:44" s="9" customFormat="1">
      <c r="A120" s="41" t="s">
        <v>33</v>
      </c>
      <c r="B120" s="88">
        <f t="shared" ref="B120:I120" si="41">(0.677*B117-48.98)/(-0.0429-0.008314*LN(B$38*(B$52-4)/(8-B$52)))-273.15</f>
        <v>1411.6888715311293</v>
      </c>
      <c r="C120" s="88">
        <f t="shared" si="41"/>
        <v>1317.5508696663592</v>
      </c>
      <c r="D120" s="88">
        <f t="shared" si="41"/>
        <v>1205.2105508592358</v>
      </c>
      <c r="E120" s="88">
        <f t="shared" si="41"/>
        <v>1067.8155090039568</v>
      </c>
      <c r="F120" s="88">
        <f t="shared" si="41"/>
        <v>1303.5167157157261</v>
      </c>
      <c r="G120" s="88">
        <f t="shared" si="41"/>
        <v>1222.7021127397097</v>
      </c>
      <c r="H120" s="42">
        <f t="shared" si="41"/>
        <v>1018.9275584864898</v>
      </c>
      <c r="I120" s="42">
        <f t="shared" si="41"/>
        <v>940.23483945212581</v>
      </c>
      <c r="J120" s="42"/>
      <c r="K120" s="42"/>
      <c r="L120" s="42"/>
      <c r="M120" s="42"/>
      <c r="N120" s="42"/>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spans="1:44" s="3" customFormat="1">
      <c r="A121"/>
      <c r="B121" s="64"/>
      <c r="C121" s="64"/>
      <c r="D121" s="64"/>
      <c r="E121" s="64"/>
      <c r="F121" s="64"/>
      <c r="G121" s="64"/>
      <c r="H121" s="14"/>
      <c r="I121" s="14"/>
      <c r="J121" s="14"/>
      <c r="K121" s="14"/>
      <c r="L121" s="14"/>
      <c r="M121" s="14"/>
      <c r="N121" s="14"/>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row>
    <row r="122" spans="1:44" s="3" customFormat="1">
      <c r="A122" s="53" t="s">
        <v>155</v>
      </c>
      <c r="B122" s="89"/>
      <c r="C122" s="89"/>
      <c r="D122" s="89"/>
      <c r="E122" s="89"/>
      <c r="F122" s="89"/>
      <c r="G122" s="89"/>
      <c r="H122" s="47"/>
      <c r="I122" s="47"/>
      <c r="J122" s="47"/>
      <c r="K122" s="47"/>
      <c r="L122" s="47"/>
      <c r="M122" s="47"/>
      <c r="N122" s="47"/>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row>
    <row r="123" spans="1:44" s="9" customFormat="1">
      <c r="A123" s="48" t="str">
        <f t="shared" ref="A123:I128" si="42">A182</f>
        <v>T (C) HB1*</v>
      </c>
      <c r="B123" s="85">
        <f t="shared" si="42"/>
        <v>4.5361133821353965E+17</v>
      </c>
      <c r="C123" s="85">
        <f t="shared" si="42"/>
        <v>2.1470051470500221E+19</v>
      </c>
      <c r="D123" s="85">
        <f t="shared" si="42"/>
        <v>8985835.7588876616</v>
      </c>
      <c r="E123" s="85">
        <f t="shared" si="42"/>
        <v>189354.60933570701</v>
      </c>
      <c r="F123" s="85">
        <f t="shared" si="42"/>
        <v>894112994.2712003</v>
      </c>
      <c r="G123" s="85">
        <f t="shared" si="42"/>
        <v>4920933.3567064535</v>
      </c>
      <c r="H123" s="28">
        <f t="shared" si="42"/>
        <v>2196.6040120501698</v>
      </c>
      <c r="I123" s="28">
        <f t="shared" si="42"/>
        <v>1075.2617733809211</v>
      </c>
      <c r="J123" s="28"/>
      <c r="K123" s="28"/>
      <c r="L123" s="28"/>
      <c r="M123" s="28"/>
      <c r="N123" s="28"/>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row>
    <row r="124" spans="1:44" s="44" customFormat="1">
      <c r="A124" s="49" t="str">
        <f t="shared" si="42"/>
        <v xml:space="preserve">    P(Kb) HB1*</v>
      </c>
      <c r="B124" s="90">
        <f t="shared" si="42"/>
        <v>-1.2815419119402548E+31</v>
      </c>
      <c r="C124" s="90">
        <f t="shared" si="42"/>
        <v>-2.870986711897114E+34</v>
      </c>
      <c r="D124" s="90">
        <f t="shared" si="42"/>
        <v>-5028377122.2968445</v>
      </c>
      <c r="E124" s="90">
        <f t="shared" si="42"/>
        <v>-2219938.0779934884</v>
      </c>
      <c r="F124" s="90">
        <f t="shared" si="42"/>
        <v>-49790819417005.563</v>
      </c>
      <c r="G124" s="87">
        <f t="shared" si="42"/>
        <v>-1507858226.7124517</v>
      </c>
      <c r="H124" s="43">
        <f t="shared" si="42"/>
        <v>-151.93235654013955</v>
      </c>
      <c r="I124" s="43">
        <f t="shared" si="42"/>
        <v>-10.940703086663108</v>
      </c>
      <c r="J124" s="43"/>
      <c r="K124" s="43"/>
      <c r="L124" s="43"/>
      <c r="M124" s="43"/>
      <c r="N124" s="43"/>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spans="1:44" s="8" customFormat="1">
      <c r="A125" s="50" t="str">
        <f t="shared" si="42"/>
        <v>T (C) HB2</v>
      </c>
      <c r="B125" s="91">
        <f t="shared" si="42"/>
        <v>1061.8173275756217</v>
      </c>
      <c r="C125" s="91">
        <f t="shared" si="42"/>
        <v>1043.9341566336871</v>
      </c>
      <c r="D125" s="91">
        <f t="shared" si="42"/>
        <v>993.19956510224063</v>
      </c>
      <c r="E125" s="91">
        <f t="shared" si="42"/>
        <v>972.67615930581167</v>
      </c>
      <c r="F125" s="91">
        <f t="shared" si="42"/>
        <v>1025.3100637988541</v>
      </c>
      <c r="G125" s="92">
        <f t="shared" si="42"/>
        <v>1004.2587189832672</v>
      </c>
      <c r="H125" s="31">
        <f t="shared" si="42"/>
        <v>970.87360771993337</v>
      </c>
      <c r="I125" s="31">
        <f t="shared" si="42"/>
        <v>953.60056856839617</v>
      </c>
      <c r="J125" s="31"/>
      <c r="K125" s="31"/>
      <c r="L125" s="31"/>
      <c r="M125" s="31"/>
      <c r="N125" s="31"/>
      <c r="O125" s="58" t="s">
        <v>36</v>
      </c>
      <c r="P125" s="59"/>
      <c r="Q125" s="60"/>
      <c r="R125" s="56"/>
      <c r="S125" s="56"/>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row>
    <row r="126" spans="1:44" s="46" customFormat="1">
      <c r="A126" s="51" t="str">
        <f t="shared" si="42"/>
        <v xml:space="preserve">   P(Kb) HB2</v>
      </c>
      <c r="B126" s="93">
        <f t="shared" si="42"/>
        <v>-6.7442294429318626</v>
      </c>
      <c r="C126" s="93">
        <f t="shared" si="42"/>
        <v>-5.7071223991773188</v>
      </c>
      <c r="D126" s="93">
        <f t="shared" si="42"/>
        <v>-2.9324557545551482</v>
      </c>
      <c r="E126" s="93">
        <f t="shared" si="42"/>
        <v>-1.8779975235068829</v>
      </c>
      <c r="F126" s="93">
        <f t="shared" si="42"/>
        <v>-5.096643372522335</v>
      </c>
      <c r="G126" s="94">
        <f t="shared" si="42"/>
        <v>-3.7316358413077033</v>
      </c>
      <c r="H126" s="45">
        <f t="shared" si="42"/>
        <v>-5.5510159592055057</v>
      </c>
      <c r="I126" s="45">
        <f t="shared" si="42"/>
        <v>-5.110745778383686</v>
      </c>
      <c r="J126" s="45"/>
      <c r="K126" s="45"/>
      <c r="L126" s="45"/>
      <c r="M126" s="45"/>
      <c r="N126" s="45"/>
      <c r="O126" s="61" t="s">
        <v>37</v>
      </c>
      <c r="Q126" s="62"/>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row>
    <row r="127" spans="1:44" s="9" customFormat="1">
      <c r="A127" s="48" t="str">
        <f t="shared" si="42"/>
        <v>T (C) BH</v>
      </c>
      <c r="B127" s="85">
        <f t="shared" si="42"/>
        <v>2.2026212999094459E+20</v>
      </c>
      <c r="C127" s="85">
        <f t="shared" si="42"/>
        <v>7.337769259318528E+16</v>
      </c>
      <c r="D127" s="85">
        <f t="shared" si="42"/>
        <v>3818976598374.6719</v>
      </c>
      <c r="E127" s="85">
        <f t="shared" si="42"/>
        <v>39177428.824491657</v>
      </c>
      <c r="F127" s="85">
        <f t="shared" si="42"/>
        <v>7562974275110769</v>
      </c>
      <c r="G127" s="95">
        <f t="shared" si="42"/>
        <v>11570981359006.756</v>
      </c>
      <c r="H127" s="28">
        <f t="shared" si="42"/>
        <v>14659.077437749913</v>
      </c>
      <c r="I127" s="28">
        <f t="shared" si="42"/>
        <v>1534.5647716443618</v>
      </c>
      <c r="J127" s="28"/>
      <c r="K127" s="28"/>
      <c r="L127" s="28"/>
      <c r="M127" s="28"/>
      <c r="N127" s="28"/>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row>
    <row r="128" spans="1:44" s="9" customFormat="1">
      <c r="A128" s="49" t="str">
        <f t="shared" si="42"/>
        <v xml:space="preserve">   P(Kb) BH</v>
      </c>
      <c r="B128" s="90">
        <f t="shared" si="42"/>
        <v>-3.0216536338556975E+36</v>
      </c>
      <c r="C128" s="90">
        <f t="shared" si="42"/>
        <v>-3.3534598668197361E+29</v>
      </c>
      <c r="D128" s="90">
        <f t="shared" si="42"/>
        <v>-9.0836209948416606E+20</v>
      </c>
      <c r="E128" s="90">
        <f t="shared" si="42"/>
        <v>-95592638353.87825</v>
      </c>
      <c r="F128" s="90">
        <f t="shared" si="42"/>
        <v>-3.5624621401926012E+27</v>
      </c>
      <c r="G128" s="87">
        <f t="shared" si="42"/>
        <v>-8.3388353553983078E+21</v>
      </c>
      <c r="H128" s="43">
        <f t="shared" si="42"/>
        <v>-12264.924475194079</v>
      </c>
      <c r="I128" s="43">
        <f t="shared" si="42"/>
        <v>-49.569658847252875</v>
      </c>
      <c r="J128" s="43"/>
      <c r="K128" s="43"/>
      <c r="L128" s="43"/>
      <c r="M128" s="43"/>
      <c r="N128" s="43"/>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row>
    <row r="129" spans="1:44" s="3" customFormat="1">
      <c r="A129" s="52" t="s">
        <v>156</v>
      </c>
      <c r="B129" s="72" t="s">
        <v>134</v>
      </c>
      <c r="C129" s="72"/>
      <c r="D129" s="72"/>
      <c r="E129" s="81"/>
      <c r="F129" s="81"/>
      <c r="G129" s="96"/>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row>
    <row r="130" spans="1:44" s="25" customFormat="1">
      <c r="A130" s="34"/>
      <c r="B130" s="72" t="s">
        <v>135</v>
      </c>
      <c r="C130" s="97"/>
      <c r="D130" s="97"/>
      <c r="E130" s="97"/>
      <c r="F130" s="94"/>
      <c r="G130" s="91"/>
      <c r="H130" s="32"/>
      <c r="I130" s="31"/>
      <c r="J130" s="26"/>
      <c r="K130" s="28"/>
    </row>
    <row r="131" spans="1:44" s="25" customFormat="1">
      <c r="A131" s="34"/>
      <c r="B131" s="72" t="s">
        <v>136</v>
      </c>
      <c r="C131" s="97"/>
      <c r="D131" s="97"/>
      <c r="E131" s="97"/>
      <c r="F131" s="94"/>
      <c r="G131" s="91"/>
      <c r="H131" s="32"/>
      <c r="I131" s="31"/>
      <c r="J131" s="26"/>
      <c r="K131" s="28"/>
    </row>
    <row r="132" spans="1:44" s="25" customFormat="1">
      <c r="A132" s="34"/>
      <c r="B132" s="70"/>
      <c r="C132" s="97"/>
      <c r="D132" s="97"/>
      <c r="E132" s="97"/>
      <c r="F132" s="94"/>
      <c r="G132" s="91"/>
      <c r="H132" s="32"/>
      <c r="I132" s="31"/>
      <c r="J132" s="26"/>
      <c r="K132" s="28"/>
    </row>
    <row r="133" spans="1:44" s="25" customFormat="1">
      <c r="A133" s="54" t="s">
        <v>137</v>
      </c>
      <c r="B133" s="87"/>
      <c r="C133" s="85"/>
      <c r="D133" s="85"/>
      <c r="E133" s="82"/>
      <c r="F133" s="82"/>
      <c r="G133" s="82"/>
    </row>
    <row r="134" spans="1:44" s="25" customFormat="1">
      <c r="A134" s="26" t="s">
        <v>138</v>
      </c>
      <c r="B134" s="85">
        <f>IF(B59&lt;0.345,1204*B59+545,273*B59+877)</f>
        <v>941.6841798639025</v>
      </c>
      <c r="C134" s="85">
        <f>IF(C59&lt;0.345,1204*C59+545,273*C59+877)</f>
        <v>906.00310397863814</v>
      </c>
      <c r="D134" s="85">
        <f>IF(D59&lt;0.345,1204*D59+545,273*D59+877)</f>
        <v>971.74320667393829</v>
      </c>
      <c r="E134" s="85">
        <f>IF(E59&lt;0.345,1204*E59+545,273*E59+877)</f>
        <v>900.76073264534443</v>
      </c>
      <c r="F134" s="85">
        <f>IF(F59&lt;0.345,1204*F59+545,273*F59+877)</f>
        <v>903.77701387961565</v>
      </c>
      <c r="G134" s="85">
        <f>IF(G59&lt;0.345,1204*G59+545,273*G59+877)</f>
        <v>887.20915552355041</v>
      </c>
      <c r="H134" s="28">
        <f>IF(H59&lt;0.345,1204*H59+545,273*H59+877)</f>
        <v>629.05861125928686</v>
      </c>
      <c r="I134" s="28">
        <f>IF(I59&lt;0.345,1204*I59+545,273*I59+877)</f>
        <v>625.13941329382271</v>
      </c>
      <c r="J134" s="28"/>
      <c r="K134" s="28"/>
      <c r="L134" s="28"/>
      <c r="M134" s="28"/>
      <c r="N134" s="28"/>
    </row>
    <row r="135" spans="1:44" s="25" customFormat="1">
      <c r="A135" s="26"/>
      <c r="B135" s="85"/>
      <c r="C135" s="85"/>
      <c r="D135" s="85"/>
      <c r="E135" s="85"/>
      <c r="F135" s="85"/>
      <c r="G135" s="85"/>
      <c r="H135" s="28"/>
      <c r="I135" s="28"/>
      <c r="J135" s="28"/>
      <c r="K135" s="28"/>
      <c r="L135" s="28"/>
      <c r="M135" s="28"/>
      <c r="N135" s="28"/>
    </row>
    <row r="136" spans="1:44" s="25" customFormat="1">
      <c r="A136" s="26"/>
      <c r="B136" s="85"/>
      <c r="C136" s="85"/>
      <c r="D136" s="85"/>
      <c r="E136" s="85"/>
      <c r="F136" s="85"/>
      <c r="G136" s="85"/>
      <c r="H136" s="28"/>
      <c r="I136" s="28"/>
      <c r="J136" s="28"/>
      <c r="K136" s="28"/>
      <c r="L136" s="28"/>
      <c r="M136" s="28"/>
      <c r="N136" s="28"/>
    </row>
    <row r="137" spans="1:44" s="25" customFormat="1">
      <c r="A137" s="26" t="s">
        <v>38</v>
      </c>
      <c r="B137" s="85"/>
      <c r="C137" s="85"/>
      <c r="D137" s="85"/>
      <c r="E137" s="85"/>
      <c r="F137" s="85"/>
      <c r="G137" s="85"/>
      <c r="H137" s="28"/>
      <c r="I137" s="28"/>
      <c r="J137" s="28"/>
      <c r="K137" s="28"/>
      <c r="L137" s="28"/>
      <c r="M137" s="28"/>
      <c r="N137" s="28"/>
    </row>
    <row r="138" spans="1:44" s="25" customFormat="1">
      <c r="A138" s="26" t="s">
        <v>39</v>
      </c>
      <c r="B138" s="85"/>
      <c r="C138" s="85"/>
      <c r="D138" s="85"/>
      <c r="E138" s="85"/>
      <c r="F138" s="85"/>
      <c r="G138" s="85"/>
      <c r="H138" s="28"/>
      <c r="I138" s="28"/>
      <c r="J138" s="28"/>
      <c r="K138" s="28"/>
      <c r="L138" s="28"/>
      <c r="M138" s="28"/>
      <c r="N138" s="28"/>
    </row>
    <row r="139" spans="1:44" s="3" customFormat="1">
      <c r="A139" s="14"/>
      <c r="B139" s="64"/>
      <c r="C139" s="64"/>
      <c r="D139" s="64"/>
      <c r="E139" s="81"/>
      <c r="F139" s="81"/>
      <c r="G139" s="82"/>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spans="1:44" s="3" customFormat="1">
      <c r="A140" s="10" t="s">
        <v>139</v>
      </c>
      <c r="B140" s="63"/>
      <c r="C140" s="64"/>
      <c r="D140" s="64"/>
      <c r="E140" s="81"/>
      <c r="F140" s="81"/>
      <c r="G140" s="82"/>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spans="1:44" s="3" customFormat="1">
      <c r="A141" s="10" t="s">
        <v>140</v>
      </c>
      <c r="B141" s="64"/>
      <c r="C141" s="64"/>
      <c r="D141" s="64"/>
      <c r="E141" s="81"/>
      <c r="F141" s="81"/>
      <c r="G141" s="82"/>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spans="1:44" s="3" customFormat="1">
      <c r="A142" t="s">
        <v>141</v>
      </c>
      <c r="B142" s="70">
        <f t="shared" ref="B142:I144" si="43">4.76*B$55-3.01-((B118-675)/85)*(0.53*B$55+0.005294*(B118-675))</f>
        <v>-54.073648261261795</v>
      </c>
      <c r="C142" s="70">
        <f t="shared" si="43"/>
        <v>-46.768840034671719</v>
      </c>
      <c r="D142" s="70">
        <f t="shared" si="43"/>
        <v>-25.426926220103901</v>
      </c>
      <c r="E142" s="70">
        <f t="shared" si="43"/>
        <v>-12.080340394070733</v>
      </c>
      <c r="F142" s="70">
        <f t="shared" si="43"/>
        <v>-29.81398738249888</v>
      </c>
      <c r="G142" s="70">
        <f t="shared" si="43"/>
        <v>-23.094647298978341</v>
      </c>
      <c r="H142" s="30">
        <f t="shared" si="43"/>
        <v>-7.5707001988046576</v>
      </c>
      <c r="I142" s="30">
        <f t="shared" si="43"/>
        <v>-3.9911906395106946</v>
      </c>
      <c r="J142" s="30"/>
      <c r="K142" s="30"/>
      <c r="L142" s="30"/>
      <c r="M142" s="30"/>
      <c r="N142" s="30"/>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spans="1:44" s="3" customFormat="1">
      <c r="A143" t="s">
        <v>142</v>
      </c>
      <c r="B143" s="70">
        <f t="shared" si="43"/>
        <v>-10.851121066693571</v>
      </c>
      <c r="C143" s="70">
        <f t="shared" si="43"/>
        <v>-8.2803822808681566</v>
      </c>
      <c r="D143" s="70">
        <f t="shared" si="43"/>
        <v>-6.1358614869222183</v>
      </c>
      <c r="E143" s="70">
        <f t="shared" si="43"/>
        <v>-3.9342845249054452</v>
      </c>
      <c r="F143" s="70">
        <f t="shared" si="43"/>
        <v>-8.5306613564234972</v>
      </c>
      <c r="G143" s="70">
        <f t="shared" si="43"/>
        <v>-6.9049322719202415</v>
      </c>
      <c r="H143" s="30">
        <f t="shared" si="43"/>
        <v>-5.8854660918324289</v>
      </c>
      <c r="I143" s="30">
        <f t="shared" si="43"/>
        <v>-5.4668358403916537</v>
      </c>
      <c r="J143" s="30"/>
      <c r="K143" s="30"/>
      <c r="L143" s="30"/>
      <c r="M143" s="30"/>
      <c r="N143" s="30"/>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spans="1:44" s="3" customFormat="1">
      <c r="A144" t="s">
        <v>143</v>
      </c>
      <c r="B144" s="70">
        <f t="shared" si="43"/>
        <v>-36.415197468655485</v>
      </c>
      <c r="C144" s="70">
        <f t="shared" si="43"/>
        <v>-26.953799661739424</v>
      </c>
      <c r="D144" s="70">
        <f t="shared" si="43"/>
        <v>-17.175357529044753</v>
      </c>
      <c r="E144" s="70">
        <f t="shared" si="43"/>
        <v>-7.3281849069246157</v>
      </c>
      <c r="F144" s="70">
        <f t="shared" si="43"/>
        <v>-25.799321421671948</v>
      </c>
      <c r="G144" s="70">
        <f t="shared" si="43"/>
        <v>-18.697168112785093</v>
      </c>
      <c r="H144" s="30">
        <f t="shared" si="43"/>
        <v>-7.7651164038760188</v>
      </c>
      <c r="I144" s="30">
        <f t="shared" si="43"/>
        <v>-4.58266831534476</v>
      </c>
      <c r="J144" s="30"/>
      <c r="K144" s="30"/>
      <c r="L144" s="30"/>
      <c r="M144" s="30"/>
      <c r="N144" s="30"/>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spans="1:44" s="3" customFormat="1">
      <c r="A145" s="10"/>
      <c r="B145" s="64"/>
      <c r="C145" s="64"/>
      <c r="D145" s="64"/>
      <c r="E145" s="64"/>
      <c r="F145" s="64"/>
      <c r="G145" s="64"/>
      <c r="H145" s="14"/>
      <c r="I145" s="14"/>
      <c r="J145" s="14"/>
      <c r="K145" s="14"/>
      <c r="L145" s="14"/>
      <c r="M145" s="14"/>
      <c r="N145" s="14"/>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spans="1:44" s="3" customFormat="1">
      <c r="A146" s="10" t="s">
        <v>144</v>
      </c>
      <c r="B146" s="64"/>
      <c r="C146" s="64"/>
      <c r="D146" s="64"/>
      <c r="E146" s="64"/>
      <c r="F146" s="64"/>
      <c r="G146" s="64"/>
      <c r="H146" s="14"/>
      <c r="I146" s="14"/>
      <c r="J146" s="14"/>
      <c r="K146" s="14"/>
      <c r="L146" s="14"/>
      <c r="M146" s="14"/>
      <c r="N146" s="14"/>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spans="1:44" s="3" customFormat="1">
      <c r="A147" s="27" t="s">
        <v>145</v>
      </c>
      <c r="B147" s="85">
        <f t="shared" ref="B147:I147" si="44">((-76.95+B142*0.79+39.4*B$96+22.4*B$99+(41.5-2.89*B142)*B$94)/(-0.065-0.0083144*LN(B$100)))-273.15</f>
        <v>2768.1179665738982</v>
      </c>
      <c r="C147" s="85">
        <f t="shared" si="44"/>
        <v>2740.0190000520588</v>
      </c>
      <c r="D147" s="85">
        <f t="shared" si="44"/>
        <v>1739.2953451115523</v>
      </c>
      <c r="E147" s="85">
        <f t="shared" si="44"/>
        <v>1425.7158795550563</v>
      </c>
      <c r="F147" s="85">
        <f t="shared" si="44"/>
        <v>1890.8606837909329</v>
      </c>
      <c r="G147" s="85">
        <f t="shared" si="44"/>
        <v>1685.34346400817</v>
      </c>
      <c r="H147" s="28">
        <f t="shared" si="44"/>
        <v>1150.8507226388292</v>
      </c>
      <c r="I147" s="28">
        <f t="shared" si="44"/>
        <v>991.49889784391246</v>
      </c>
      <c r="J147" s="28"/>
      <c r="K147" s="28"/>
      <c r="L147" s="28"/>
      <c r="M147" s="28"/>
      <c r="N147" s="28"/>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spans="1:44" s="3" customFormat="1">
      <c r="A148" s="1" t="s">
        <v>146</v>
      </c>
      <c r="B148" s="70">
        <f t="shared" ref="B148:I148" si="45">4.76*B$55-3.01-((B147-675)/85)*(0.53*B$55+0.005294*(B147-675))</f>
        <v>-295.59860070390249</v>
      </c>
      <c r="C148" s="70">
        <f t="shared" si="45"/>
        <v>-287.67427861348125</v>
      </c>
      <c r="D148" s="70">
        <f t="shared" si="45"/>
        <v>-77.873356500273957</v>
      </c>
      <c r="E148" s="70">
        <f t="shared" si="45"/>
        <v>-37.929648450905852</v>
      </c>
      <c r="F148" s="70">
        <f t="shared" si="45"/>
        <v>-101.1692245772574</v>
      </c>
      <c r="G148" s="70">
        <f t="shared" si="45"/>
        <v>-70.017717691392249</v>
      </c>
      <c r="H148" s="30">
        <f t="shared" si="45"/>
        <v>-15.322295724832948</v>
      </c>
      <c r="I148" s="30">
        <f t="shared" si="45"/>
        <v>-6.7291052311590214</v>
      </c>
      <c r="J148" s="30"/>
      <c r="K148" s="30"/>
      <c r="L148" s="30"/>
      <c r="M148" s="30"/>
      <c r="N148" s="30"/>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spans="1:44" s="3" customFormat="1">
      <c r="A149" s="27" t="s">
        <v>147</v>
      </c>
      <c r="B149" s="85">
        <f t="shared" ref="B149:I149" si="46">((78.44+3-33.6*B$97-(66.8-2.92*B143)*B$94+78.5*B$93+9.4*B$96)/(0.0721-0.0083144*LN((27*B$97*B$92*B$39)/(64*B$98*B$93*B$38))))-273.15</f>
        <v>1045.0274989210197</v>
      </c>
      <c r="C149" s="85">
        <f t="shared" si="46"/>
        <v>1036.3795031559985</v>
      </c>
      <c r="D149" s="85">
        <f t="shared" si="46"/>
        <v>976.72106485345341</v>
      </c>
      <c r="E149" s="85">
        <f t="shared" si="46"/>
        <v>964.61958141686944</v>
      </c>
      <c r="F149" s="85">
        <f t="shared" si="46"/>
        <v>1009.5332014024654</v>
      </c>
      <c r="G149" s="85">
        <f t="shared" si="46"/>
        <v>988.97563066444206</v>
      </c>
      <c r="H149" s="28">
        <f t="shared" si="46"/>
        <v>970.5215909061493</v>
      </c>
      <c r="I149" s="28">
        <f t="shared" si="46"/>
        <v>953.11636151903474</v>
      </c>
      <c r="J149" s="28"/>
      <c r="K149" s="28"/>
      <c r="L149" s="28"/>
      <c r="M149" s="28"/>
      <c r="N149" s="28"/>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spans="1:44" s="3" customFormat="1">
      <c r="A150" s="1" t="s">
        <v>148</v>
      </c>
      <c r="B150" s="70">
        <f t="shared" ref="B150:I150" si="47">4.76*B$55-3.01-((B149-675)/85)*(0.53*B$55+0.005294*(B149-675))</f>
        <v>-5.7037841380607013</v>
      </c>
      <c r="C150" s="70">
        <f t="shared" si="47"/>
        <v>-5.2527913826695123</v>
      </c>
      <c r="D150" s="70">
        <f t="shared" si="47"/>
        <v>-2.0599330926376531</v>
      </c>
      <c r="E150" s="70">
        <f t="shared" si="47"/>
        <v>-1.4682473965552951</v>
      </c>
      <c r="F150" s="70">
        <f t="shared" si="47"/>
        <v>-4.2114862380670743</v>
      </c>
      <c r="G150" s="70">
        <f t="shared" si="47"/>
        <v>-2.9070696394830744</v>
      </c>
      <c r="H150" s="30">
        <f t="shared" si="47"/>
        <v>-5.5358579506075847</v>
      </c>
      <c r="I150" s="30">
        <f t="shared" si="47"/>
        <v>-5.0912263730255356</v>
      </c>
      <c r="J150" s="30"/>
      <c r="K150" s="30"/>
      <c r="L150" s="30"/>
      <c r="M150" s="30"/>
      <c r="N150" s="30"/>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spans="1:44" s="3" customFormat="1">
      <c r="A151" t="s">
        <v>149</v>
      </c>
      <c r="B151" s="86">
        <f t="shared" ref="B151:I151" si="48">(0.677*B144-48.98)/(-0.0429-0.008314*LN(B$38*(B$52-4)/(8-B$52)))-273.15</f>
        <v>2588.4735343288316</v>
      </c>
      <c r="C151" s="86">
        <f t="shared" si="48"/>
        <v>2188.3616776954404</v>
      </c>
      <c r="D151" s="86">
        <f t="shared" si="48"/>
        <v>1781.5636175738969</v>
      </c>
      <c r="E151" s="86">
        <f t="shared" si="48"/>
        <v>1384.4586772498164</v>
      </c>
      <c r="F151" s="86">
        <f t="shared" si="48"/>
        <v>2104.271963482196</v>
      </c>
      <c r="G151" s="86">
        <f t="shared" si="48"/>
        <v>1830.0401787091005</v>
      </c>
      <c r="H151" s="29">
        <f t="shared" si="48"/>
        <v>1192.9390428651482</v>
      </c>
      <c r="I151" s="29">
        <f t="shared" si="48"/>
        <v>1040.5965775663531</v>
      </c>
      <c r="J151" s="29"/>
      <c r="K151" s="29"/>
      <c r="L151" s="29"/>
      <c r="M151" s="29"/>
      <c r="N151" s="29"/>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spans="1:44" s="3" customFormat="1">
      <c r="A152" s="1" t="s">
        <v>150</v>
      </c>
      <c r="B152" s="70">
        <f t="shared" ref="B152:I152" si="49">4.76*B$55-3.01-((B151-675)/85)*(0.53*B$55+0.005294*(B151-675))</f>
        <v>-248.1058843580638</v>
      </c>
      <c r="C152" s="70">
        <f t="shared" si="49"/>
        <v>-156.6426776041277</v>
      </c>
      <c r="D152" s="70">
        <f t="shared" si="49"/>
        <v>-84.194375598502575</v>
      </c>
      <c r="E152" s="70">
        <f t="shared" si="49"/>
        <v>-33.588399565946311</v>
      </c>
      <c r="F152" s="70">
        <f t="shared" si="49"/>
        <v>-139.19830338225958</v>
      </c>
      <c r="G152" s="70">
        <f t="shared" si="49"/>
        <v>-91.542206480612094</v>
      </c>
      <c r="H152" s="30">
        <f t="shared" si="49"/>
        <v>-18.189459340401655</v>
      </c>
      <c r="I152" s="30">
        <f t="shared" si="49"/>
        <v>-9.0917334836360073</v>
      </c>
      <c r="J152" s="30"/>
      <c r="K152" s="30"/>
      <c r="L152" s="30"/>
      <c r="M152" s="30"/>
      <c r="N152" s="30"/>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1:44" s="3" customFormat="1">
      <c r="A153" s="10" t="s">
        <v>151</v>
      </c>
      <c r="B153" s="64"/>
      <c r="C153" s="64"/>
      <c r="D153" s="64"/>
      <c r="E153" s="64"/>
      <c r="F153" s="64"/>
      <c r="G153" s="64"/>
      <c r="H153" s="14"/>
      <c r="I153" s="14"/>
      <c r="J153" s="14"/>
      <c r="K153" s="14"/>
      <c r="L153" s="14"/>
      <c r="M153" s="14"/>
      <c r="N153" s="14"/>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spans="1:44" s="3" customFormat="1">
      <c r="A154" s="27" t="s">
        <v>145</v>
      </c>
      <c r="B154" s="85">
        <f t="shared" ref="B154:I154" si="50">((-76.95+B148*0.79+39.4*B$96+22.4*B$99+(41.5-2.89*B148)*B$94)/(-0.065-0.0083144*LN(B$100)))-273.15</f>
        <v>7430.5459767653047</v>
      </c>
      <c r="C154" s="85">
        <f t="shared" si="50"/>
        <v>8159.4955463233273</v>
      </c>
      <c r="D154" s="85">
        <f t="shared" si="50"/>
        <v>2428.6258013026204</v>
      </c>
      <c r="E154" s="85">
        <f t="shared" si="50"/>
        <v>1797.9342109607915</v>
      </c>
      <c r="F154" s="85">
        <f t="shared" si="50"/>
        <v>2939.4857406931214</v>
      </c>
      <c r="G154" s="85">
        <f t="shared" si="50"/>
        <v>2313.9199297349164</v>
      </c>
      <c r="H154" s="28">
        <f t="shared" si="50"/>
        <v>1263.9539971147897</v>
      </c>
      <c r="I154" s="28">
        <f t="shared" si="50"/>
        <v>1026.1804115454706</v>
      </c>
      <c r="J154" s="28"/>
      <c r="K154" s="28"/>
      <c r="L154" s="28"/>
      <c r="M154" s="28"/>
      <c r="N154" s="28"/>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spans="1:44" s="3" customFormat="1">
      <c r="A155" s="1" t="s">
        <v>146</v>
      </c>
      <c r="B155" s="70">
        <f t="shared" ref="B155:I155" si="51">4.76*B$55-3.01-((B154-675)/85)*(0.53*B$55+0.005294*(B154-675))</f>
        <v>-2934.2825778010038</v>
      </c>
      <c r="C155" s="70">
        <f t="shared" si="51"/>
        <v>-3590.4106390329284</v>
      </c>
      <c r="D155" s="70">
        <f t="shared" si="51"/>
        <v>-208.73984760286069</v>
      </c>
      <c r="E155" s="70">
        <f t="shared" si="51"/>
        <v>-86.681411197816331</v>
      </c>
      <c r="F155" s="70">
        <f t="shared" si="51"/>
        <v>-342.57873354229781</v>
      </c>
      <c r="G155" s="70">
        <f t="shared" si="51"/>
        <v>-182.46568566255908</v>
      </c>
      <c r="H155" s="30">
        <f t="shared" si="51"/>
        <v>-23.527432316221521</v>
      </c>
      <c r="I155" s="30">
        <f t="shared" si="51"/>
        <v>-8.3668739232269651</v>
      </c>
      <c r="J155" s="30"/>
      <c r="K155" s="30"/>
      <c r="L155" s="30"/>
      <c r="M155" s="30"/>
      <c r="N155" s="30"/>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spans="1:44" s="3" customFormat="1">
      <c r="A156" s="27" t="s">
        <v>147</v>
      </c>
      <c r="B156" s="85">
        <f t="shared" ref="B156:I156" si="52">((78.44+3-33.6*B$97-(66.8-2.92*B150)*B$94+78.5*B$93+9.4*B$96)/(0.0721-0.0083144*LN((27*B$97*B$92*B$39)/(64*B$98*B$93*B$38))))-273.15</f>
        <v>1066.0415091862205</v>
      </c>
      <c r="C156" s="85">
        <f t="shared" si="52"/>
        <v>1045.2661421904304</v>
      </c>
      <c r="D156" s="85">
        <f t="shared" si="52"/>
        <v>997.64487944961058</v>
      </c>
      <c r="E156" s="85">
        <f t="shared" si="52"/>
        <v>974.27777976569666</v>
      </c>
      <c r="F156" s="85">
        <f t="shared" si="52"/>
        <v>1029.3463583231119</v>
      </c>
      <c r="G156" s="85">
        <f t="shared" si="52"/>
        <v>1008.1992211590813</v>
      </c>
      <c r="H156" s="28">
        <f t="shared" si="52"/>
        <v>970.88956181508058</v>
      </c>
      <c r="I156" s="28">
        <f t="shared" si="52"/>
        <v>953.62711055719149</v>
      </c>
      <c r="J156" s="28"/>
      <c r="K156" s="28"/>
      <c r="L156" s="28"/>
      <c r="M156" s="28"/>
      <c r="N156" s="28"/>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spans="1:44" s="3" customFormat="1">
      <c r="A157" s="1" t="s">
        <v>148</v>
      </c>
      <c r="B157" s="70">
        <f t="shared" ref="B157:I157" si="53">4.76*B$55-3.01-((B156-675)/85)*(0.53*B$55+0.005294*(B156-675))</f>
        <v>-7.0115254680505217</v>
      </c>
      <c r="C157" s="70">
        <f t="shared" si="53"/>
        <v>-5.787964208665219</v>
      </c>
      <c r="D157" s="70">
        <f t="shared" si="53"/>
        <v>-3.1736244567742649</v>
      </c>
      <c r="E157" s="70">
        <f t="shared" si="53"/>
        <v>-1.9604178954082894</v>
      </c>
      <c r="F157" s="70">
        <f t="shared" si="53"/>
        <v>-5.3280795503969571</v>
      </c>
      <c r="G157" s="70">
        <f t="shared" si="53"/>
        <v>-3.9489550975317798</v>
      </c>
      <c r="H157" s="30">
        <f t="shared" si="53"/>
        <v>-5.5517033156398297</v>
      </c>
      <c r="I157" s="30">
        <f t="shared" si="53"/>
        <v>-5.1118165861377278</v>
      </c>
      <c r="J157" s="30"/>
      <c r="K157" s="30"/>
      <c r="L157" s="30"/>
      <c r="M157" s="30"/>
      <c r="N157" s="30"/>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spans="1:44" s="3" customFormat="1">
      <c r="A158" t="s">
        <v>149</v>
      </c>
      <c r="B158" s="86">
        <f t="shared" ref="B158:I158" si="54">(0.677*B152-48.98)/(-0.0429-0.008314*LN(B$38*(B$52-4)/(8-B$52)))-273.15</f>
        <v>8158.1491414621196</v>
      </c>
      <c r="C158" s="86">
        <f t="shared" si="54"/>
        <v>5403.0946454436507</v>
      </c>
      <c r="D158" s="86">
        <f t="shared" si="54"/>
        <v>3319.7540401501165</v>
      </c>
      <c r="E158" s="86">
        <f t="shared" si="54"/>
        <v>1930.7804384934498</v>
      </c>
      <c r="F158" s="86">
        <f t="shared" si="54"/>
        <v>4851.1181052113743</v>
      </c>
      <c r="G158" s="86">
        <f t="shared" si="54"/>
        <v>3512.7869763572721</v>
      </c>
      <c r="H158" s="29">
        <f t="shared" si="54"/>
        <v>1383.7055715477486</v>
      </c>
      <c r="I158" s="29">
        <f t="shared" si="54"/>
        <v>1117.5973772777088</v>
      </c>
      <c r="J158" s="29"/>
      <c r="K158" s="29"/>
      <c r="L158" s="29"/>
      <c r="M158" s="29"/>
      <c r="N158" s="29"/>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spans="1:44" s="3" customFormat="1">
      <c r="A159" s="1" t="s">
        <v>150</v>
      </c>
      <c r="B159" s="70">
        <f t="shared" ref="B159:I159" si="55">4.76*B$55-3.01-((B158-675)/85)*(0.53*B$55+0.005294*(B158-675))</f>
        <v>-3590.3260764081074</v>
      </c>
      <c r="C159" s="70">
        <f t="shared" si="55"/>
        <v>-1453.4214615222384</v>
      </c>
      <c r="D159" s="70">
        <f t="shared" si="55"/>
        <v>-465.63472855524935</v>
      </c>
      <c r="E159" s="70">
        <f t="shared" si="55"/>
        <v>-108.26000430079729</v>
      </c>
      <c r="F159" s="70">
        <f t="shared" si="55"/>
        <v>-1135.1168049627365</v>
      </c>
      <c r="G159" s="70">
        <f t="shared" si="55"/>
        <v>-533.38670953844985</v>
      </c>
      <c r="H159" s="30">
        <f t="shared" si="55"/>
        <v>-33.951600220755594</v>
      </c>
      <c r="I159" s="30">
        <f t="shared" si="55"/>
        <v>-13.40182904565386</v>
      </c>
      <c r="J159" s="30"/>
      <c r="K159" s="30"/>
      <c r="L159" s="30"/>
      <c r="M159" s="30"/>
      <c r="N159" s="30"/>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spans="1:44" s="3" customFormat="1">
      <c r="A160" s="10" t="s">
        <v>152</v>
      </c>
      <c r="B160" s="64"/>
      <c r="C160" s="64"/>
      <c r="D160" s="64"/>
      <c r="E160" s="64"/>
      <c r="F160" s="64"/>
      <c r="G160" s="64"/>
      <c r="H160" s="14"/>
      <c r="I160" s="14"/>
      <c r="J160" s="14"/>
      <c r="K160" s="14"/>
      <c r="L160" s="14"/>
      <c r="M160" s="14"/>
      <c r="N160" s="14"/>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spans="1:44" s="3" customFormat="1">
      <c r="A161" s="27" t="s">
        <v>145</v>
      </c>
      <c r="B161" s="85">
        <f t="shared" ref="B161:I161" si="56">((-76.95+B155*0.79+39.4*B$96+22.4*B$99+(41.5-2.89*B155)*B$94)/(-0.065-0.0083144*LN(B$100)))-273.15</f>
        <v>58368.032809652817</v>
      </c>
      <c r="C161" s="85">
        <f t="shared" si="56"/>
        <v>82458.782226623967</v>
      </c>
      <c r="D161" s="85">
        <f t="shared" si="56"/>
        <v>4148.6715228124576</v>
      </c>
      <c r="E161" s="85">
        <f t="shared" si="56"/>
        <v>2499.937519631369</v>
      </c>
      <c r="F161" s="85">
        <f t="shared" si="56"/>
        <v>6487.2009474164533</v>
      </c>
      <c r="G161" s="85">
        <f t="shared" si="56"/>
        <v>3820.2609618617835</v>
      </c>
      <c r="H161" s="28">
        <f t="shared" si="56"/>
        <v>1383.6748743061285</v>
      </c>
      <c r="I161" s="28">
        <f t="shared" si="56"/>
        <v>1046.9262366735443</v>
      </c>
      <c r="J161" s="28"/>
      <c r="K161" s="28"/>
      <c r="L161" s="28"/>
      <c r="M161" s="28"/>
      <c r="N161" s="28"/>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spans="1:44" s="3" customFormat="1">
      <c r="A162" s="1" t="s">
        <v>146</v>
      </c>
      <c r="B162" s="70">
        <f t="shared" ref="B162:I162" si="57">4.76*B$55-3.01-((B161-675)/85)*(0.53*B$55+0.005294*(B161-675))</f>
        <v>-208153.25889410806</v>
      </c>
      <c r="C162" s="70">
        <f t="shared" si="57"/>
        <v>-417771.18658037181</v>
      </c>
      <c r="D162" s="70">
        <f t="shared" si="57"/>
        <v>-793.39614468797754</v>
      </c>
      <c r="E162" s="70">
        <f t="shared" si="57"/>
        <v>-225.59474231469349</v>
      </c>
      <c r="F162" s="70">
        <f t="shared" si="57"/>
        <v>-2174.9245534390293</v>
      </c>
      <c r="G162" s="70">
        <f t="shared" si="57"/>
        <v>-652.23432369270756</v>
      </c>
      <c r="H162" s="30">
        <f t="shared" si="57"/>
        <v>-33.948699184926873</v>
      </c>
      <c r="I162" s="30">
        <f t="shared" si="57"/>
        <v>-9.4181737572166497</v>
      </c>
      <c r="J162" s="30"/>
      <c r="K162" s="30"/>
      <c r="L162" s="30"/>
      <c r="M162" s="30"/>
      <c r="N162" s="30"/>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spans="1:44" s="3" customFormat="1">
      <c r="A163" s="27" t="s">
        <v>147</v>
      </c>
      <c r="B163" s="85">
        <f t="shared" ref="B163:I163" si="58">((78.44+3-33.6*B$97-(66.8-2.92*B157)*B$94+78.5*B$93+9.4*B$96)/(0.0721-0.0083144*LN((27*B$97*B$92*B$39)/(64*B$98*B$93*B$38))))-273.15</f>
        <v>1060.702653363559</v>
      </c>
      <c r="C163" s="85">
        <f t="shared" si="58"/>
        <v>1043.695293325582</v>
      </c>
      <c r="D163" s="85">
        <f t="shared" si="58"/>
        <v>991.92773494500864</v>
      </c>
      <c r="E163" s="85">
        <f t="shared" si="58"/>
        <v>972.35020120464594</v>
      </c>
      <c r="F163" s="85">
        <f t="shared" si="58"/>
        <v>1024.2242602586657</v>
      </c>
      <c r="G163" s="85">
        <f t="shared" si="58"/>
        <v>1003.1893493277329</v>
      </c>
      <c r="H163" s="28">
        <f t="shared" si="58"/>
        <v>970.87288419037566</v>
      </c>
      <c r="I163" s="28">
        <f t="shared" si="58"/>
        <v>953.59911224390009</v>
      </c>
      <c r="J163" s="28"/>
      <c r="K163" s="28"/>
      <c r="L163" s="28"/>
      <c r="M163" s="28"/>
      <c r="N163" s="28"/>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spans="1:44" s="3" customFormat="1">
      <c r="A164" s="1" t="s">
        <v>148</v>
      </c>
      <c r="B164" s="70">
        <f t="shared" ref="B164:I164" si="59">4.76*B$55-3.01-((B163-675)/85)*(0.53*B$55+0.005294*(B163-675))</f>
        <v>-6.6740661945546407</v>
      </c>
      <c r="C164" s="70">
        <f t="shared" si="59"/>
        <v>-5.6926485078097748</v>
      </c>
      <c r="D164" s="70">
        <f t="shared" si="59"/>
        <v>-2.8639088630835428</v>
      </c>
      <c r="E164" s="70">
        <f t="shared" si="59"/>
        <v>-1.8612626521714173</v>
      </c>
      <c r="F164" s="70">
        <f t="shared" si="59"/>
        <v>-5.034731118215765</v>
      </c>
      <c r="G164" s="70">
        <f t="shared" si="59"/>
        <v>-3.6729936242832366</v>
      </c>
      <c r="H164" s="30">
        <f t="shared" si="59"/>
        <v>-5.5509847878540688</v>
      </c>
      <c r="I164" s="30">
        <f t="shared" si="59"/>
        <v>-5.1106870270907674</v>
      </c>
      <c r="J164" s="30"/>
      <c r="K164" s="30"/>
      <c r="L164" s="30"/>
      <c r="M164" s="30"/>
      <c r="N164" s="30"/>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spans="1:44" s="3" customFormat="1">
      <c r="A165" t="s">
        <v>149</v>
      </c>
      <c r="B165" s="86">
        <f t="shared" ref="B165:I165" si="60">(0.677*B159-48.98)/(-0.0429-0.008314*LN(B$38*(B$52-4)/(8-B$52)))-273.15</f>
        <v>96093.440725897162</v>
      </c>
      <c r="C165" s="86">
        <f t="shared" si="60"/>
        <v>37547.697750035921</v>
      </c>
      <c r="D165" s="86">
        <f t="shared" si="60"/>
        <v>12074.401819293675</v>
      </c>
      <c r="E165" s="86">
        <f t="shared" si="60"/>
        <v>3484.2606039580214</v>
      </c>
      <c r="F165" s="86">
        <f t="shared" si="60"/>
        <v>28975.099169642974</v>
      </c>
      <c r="G165" s="86">
        <f t="shared" si="60"/>
        <v>13719.555196104773</v>
      </c>
      <c r="H165" s="29">
        <f t="shared" si="60"/>
        <v>1672.1543417638022</v>
      </c>
      <c r="I165" s="29">
        <f t="shared" si="60"/>
        <v>1191.2003953581748</v>
      </c>
      <c r="J165" s="29"/>
      <c r="K165" s="29"/>
      <c r="L165" s="29"/>
      <c r="M165" s="29"/>
      <c r="N165" s="29"/>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spans="1:44" s="3" customFormat="1">
      <c r="A166" s="1" t="s">
        <v>150</v>
      </c>
      <c r="B166" s="70">
        <f t="shared" ref="B166:I166" si="61">4.76*B$55-3.01-((B165-675)/85)*(0.53*B$55+0.005294*(B165-675))</f>
        <v>-568467.63183259277</v>
      </c>
      <c r="C166" s="70">
        <f t="shared" si="61"/>
        <v>-85210.968223856398</v>
      </c>
      <c r="D166" s="70">
        <f t="shared" si="61"/>
        <v>-8248.8852747903566</v>
      </c>
      <c r="E166" s="70">
        <f t="shared" si="61"/>
        <v>-523.75573377480021</v>
      </c>
      <c r="F166" s="70">
        <f t="shared" si="61"/>
        <v>-50255.072558268745</v>
      </c>
      <c r="G166" s="70">
        <f t="shared" si="61"/>
        <v>-10771.595285578398</v>
      </c>
      <c r="H166" s="30">
        <f t="shared" si="61"/>
        <v>-66.393996540165062</v>
      </c>
      <c r="I166" s="30">
        <f t="shared" si="61"/>
        <v>-18.212128224163109</v>
      </c>
      <c r="J166" s="30"/>
      <c r="K166" s="30"/>
      <c r="L166" s="30"/>
      <c r="M166" s="30"/>
      <c r="N166" s="30"/>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1:44" s="3" customFormat="1">
      <c r="A167" s="10" t="s">
        <v>153</v>
      </c>
      <c r="B167" s="64"/>
      <c r="C167" s="64"/>
      <c r="D167" s="64"/>
      <c r="E167" s="64"/>
      <c r="F167" s="64"/>
      <c r="G167" s="64"/>
      <c r="H167" s="14"/>
      <c r="I167" s="14"/>
      <c r="J167" s="14"/>
      <c r="K167" s="14"/>
      <c r="L167" s="14"/>
      <c r="M167" s="14"/>
      <c r="N167" s="14"/>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spans="1:44" s="3" customFormat="1">
      <c r="A168" s="27" t="s">
        <v>145</v>
      </c>
      <c r="B168" s="85">
        <f t="shared" ref="B168:I168" si="62">((-76.95+B162*0.79+39.4*B$96+22.4*B$99+(41.5-2.89*B162)*B$94)/(-0.065-0.0083144*LN(B$100)))-273.15</f>
        <v>4019940.9209243534</v>
      </c>
      <c r="C168" s="85">
        <f t="shared" si="62"/>
        <v>9399986.0841111429</v>
      </c>
      <c r="D168" s="85">
        <f t="shared" si="62"/>
        <v>11833.110479510078</v>
      </c>
      <c r="E168" s="85">
        <f t="shared" si="62"/>
        <v>4500.2265875108542</v>
      </c>
      <c r="F168" s="85">
        <f t="shared" si="62"/>
        <v>33415.05957689965</v>
      </c>
      <c r="G168" s="85">
        <f t="shared" si="62"/>
        <v>10113.2317272616</v>
      </c>
      <c r="H168" s="28">
        <f t="shared" si="62"/>
        <v>1535.7312352295853</v>
      </c>
      <c r="I168" s="28">
        <f t="shared" si="62"/>
        <v>1060.2431858976647</v>
      </c>
      <c r="J168" s="28"/>
      <c r="K168" s="28"/>
      <c r="L168" s="28"/>
      <c r="M168" s="28"/>
      <c r="N168" s="28"/>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spans="1:44" s="3" customFormat="1">
      <c r="A169" s="1" t="s">
        <v>146</v>
      </c>
      <c r="B169" s="70">
        <f t="shared" ref="B169:I169" si="63">4.76*B$55-3.01-((B168-675)/85)*(0.53*B$55+0.005294*(B168-675))</f>
        <v>-1006199780.1038977</v>
      </c>
      <c r="C169" s="70">
        <f t="shared" si="63"/>
        <v>-5502599803.4722834</v>
      </c>
      <c r="D169" s="70">
        <f t="shared" si="63"/>
        <v>-7906.4267541820709</v>
      </c>
      <c r="E169" s="70">
        <f t="shared" si="63"/>
        <v>-958.07346094921229</v>
      </c>
      <c r="F169" s="70">
        <f t="shared" si="63"/>
        <v>-67194.302164635592</v>
      </c>
      <c r="G169" s="70">
        <f t="shared" si="63"/>
        <v>-5671.6351512703723</v>
      </c>
      <c r="H169" s="30">
        <f t="shared" si="63"/>
        <v>-49.758499039291749</v>
      </c>
      <c r="I169" s="30">
        <f t="shared" si="63"/>
        <v>-10.121265499586906</v>
      </c>
      <c r="J169" s="30"/>
      <c r="K169" s="30"/>
      <c r="L169" s="30"/>
      <c r="M169" s="30"/>
      <c r="N169" s="30"/>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spans="1:44" s="3" customFormat="1">
      <c r="A170" s="27" t="s">
        <v>147</v>
      </c>
      <c r="B170" s="85">
        <f t="shared" ref="B170:I170" si="64">((78.44+3-33.6*B$97-(66.8-2.92*B164)*B$94+78.5*B$93+9.4*B$96)/(0.0721-0.0083144*LN((27*B$97*B$92*B$39)/(64*B$98*B$93*B$38))))-273.15</f>
        <v>1062.0803313231818</v>
      </c>
      <c r="C170" s="85">
        <f t="shared" si="64"/>
        <v>1043.9750656780225</v>
      </c>
      <c r="D170" s="85">
        <f t="shared" si="64"/>
        <v>993.5176626947233</v>
      </c>
      <c r="E170" s="85">
        <f t="shared" si="64"/>
        <v>972.7385412646953</v>
      </c>
      <c r="F170" s="85">
        <f t="shared" si="64"/>
        <v>1025.569924270882</v>
      </c>
      <c r="G170" s="85">
        <f t="shared" si="64"/>
        <v>1004.5163009620848</v>
      </c>
      <c r="H170" s="28">
        <f t="shared" si="64"/>
        <v>970.87364045801121</v>
      </c>
      <c r="I170" s="28">
        <f t="shared" si="64"/>
        <v>953.60064820411128</v>
      </c>
      <c r="J170" s="28"/>
      <c r="K170" s="28"/>
      <c r="L170" s="28"/>
      <c r="M170" s="28"/>
      <c r="N170" s="28"/>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spans="1:44" s="3" customFormat="1">
      <c r="A171" s="1" t="s">
        <v>148</v>
      </c>
      <c r="B171" s="70">
        <f t="shared" ref="B171:I171" si="65">4.76*B$55-3.01-((B170-675)/85)*(0.53*B$55+0.005294*(B170-675))</f>
        <v>-6.7608067997642305</v>
      </c>
      <c r="C171" s="70">
        <f t="shared" si="65"/>
        <v>-5.7096019902812625</v>
      </c>
      <c r="D171" s="70">
        <f t="shared" si="65"/>
        <v>-2.9496315252020189</v>
      </c>
      <c r="E171" s="70">
        <f t="shared" si="65"/>
        <v>-1.8812017570036375</v>
      </c>
      <c r="F171" s="70">
        <f t="shared" si="65"/>
        <v>-5.1114823327593903</v>
      </c>
      <c r="G171" s="70">
        <f t="shared" si="65"/>
        <v>-3.745782439730446</v>
      </c>
      <c r="H171" s="30">
        <f t="shared" si="65"/>
        <v>-5.5510173696402747</v>
      </c>
      <c r="I171" s="30">
        <f t="shared" si="65"/>
        <v>-5.1107489910689985</v>
      </c>
      <c r="J171" s="30"/>
      <c r="K171" s="30"/>
      <c r="L171" s="30"/>
      <c r="M171" s="30"/>
      <c r="N171" s="30"/>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spans="1:44" s="3" customFormat="1">
      <c r="A172" t="s">
        <v>149</v>
      </c>
      <c r="B172" s="86">
        <f t="shared" ref="B172:I172" si="66">(0.677*B166-48.98)/(-0.0429-0.008314*LN(B$38*(B$52-4)/(8-B$52)))-273.15</f>
        <v>14958265.21182996</v>
      </c>
      <c r="C172" s="86">
        <f t="shared" si="66"/>
        <v>2113733.0356646767</v>
      </c>
      <c r="D172" s="86">
        <f t="shared" si="66"/>
        <v>190712.07499919899</v>
      </c>
      <c r="E172" s="86">
        <f t="shared" si="66"/>
        <v>12128.301091169405</v>
      </c>
      <c r="F172" s="86">
        <f t="shared" si="66"/>
        <v>1218800.251125331</v>
      </c>
      <c r="G172" s="86">
        <f t="shared" si="66"/>
        <v>250225.88535948322</v>
      </c>
      <c r="H172" s="29">
        <f t="shared" si="66"/>
        <v>2265.8534713572531</v>
      </c>
      <c r="I172" s="29">
        <f t="shared" si="66"/>
        <v>1273.3453344468367</v>
      </c>
      <c r="J172" s="29"/>
      <c r="K172" s="29"/>
      <c r="L172" s="29"/>
      <c r="M172" s="29"/>
      <c r="N172" s="29"/>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spans="1:44" s="3" customFormat="1">
      <c r="A173" s="1" t="s">
        <v>150</v>
      </c>
      <c r="B173" s="70">
        <f t="shared" ref="B173:I173" si="67">4.76*B$55-3.01-((B172-675)/85)*(0.53*B$55+0.005294*(B172-675))</f>
        <v>-13934621813.708441</v>
      </c>
      <c r="C173" s="70">
        <f t="shared" si="67"/>
        <v>-278122549.8331666</v>
      </c>
      <c r="D173" s="70">
        <f t="shared" si="67"/>
        <v>-2251987.5044372235</v>
      </c>
      <c r="E173" s="70">
        <f t="shared" si="67"/>
        <v>-8325.7527421115647</v>
      </c>
      <c r="F173" s="70">
        <f t="shared" si="67"/>
        <v>-92432747.301550791</v>
      </c>
      <c r="G173" s="70">
        <f t="shared" si="67"/>
        <v>-3882132.5063135657</v>
      </c>
      <c r="H173" s="30">
        <f t="shared" si="67"/>
        <v>-165.78766084154691</v>
      </c>
      <c r="I173" s="30">
        <f t="shared" si="67"/>
        <v>-24.377516222169248</v>
      </c>
      <c r="J173" s="30"/>
      <c r="K173" s="30"/>
      <c r="L173" s="30"/>
      <c r="M173" s="30"/>
      <c r="N173" s="30"/>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spans="1:44" s="3" customFormat="1">
      <c r="A174" s="10" t="s">
        <v>154</v>
      </c>
      <c r="B174" s="64"/>
      <c r="C174" s="64"/>
      <c r="D174" s="64"/>
      <c r="E174" s="64"/>
      <c r="F174" s="64"/>
      <c r="G174" s="64"/>
      <c r="H174" s="14"/>
      <c r="I174" s="14"/>
      <c r="J174" s="14"/>
      <c r="K174" s="14"/>
      <c r="L174" s="14"/>
      <c r="M174" s="14"/>
      <c r="N174" s="14"/>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spans="1:44" s="3" customFormat="1">
      <c r="A175" s="27" t="s">
        <v>145</v>
      </c>
      <c r="B175" s="85">
        <f t="shared" ref="B175:I175" si="68">((-76.95+B169*0.79+39.4*B$96+22.4*B$99+(41.5-2.89*B169)*B$94)/(-0.065-0.0083144*LN(B$100)))-273.15</f>
        <v>19423808627.698841</v>
      </c>
      <c r="C175" s="85">
        <f t="shared" si="68"/>
        <v>123788035508.80446</v>
      </c>
      <c r="D175" s="85">
        <f t="shared" si="68"/>
        <v>105323.33676851456</v>
      </c>
      <c r="E175" s="85">
        <f t="shared" si="68"/>
        <v>15047.588468180573</v>
      </c>
      <c r="F175" s="85">
        <f t="shared" si="68"/>
        <v>988929.34595214308</v>
      </c>
      <c r="G175" s="85">
        <f t="shared" si="68"/>
        <v>77352.591937047851</v>
      </c>
      <c r="H175" s="28">
        <f t="shared" si="68"/>
        <v>1766.4115030962475</v>
      </c>
      <c r="I175" s="28">
        <f t="shared" si="68"/>
        <v>1069.149338767023</v>
      </c>
      <c r="J175" s="28"/>
      <c r="K175" s="28"/>
      <c r="L175" s="28"/>
      <c r="M175" s="28"/>
      <c r="N175" s="28"/>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spans="1:44" s="3" customFormat="1">
      <c r="A176" s="1" t="s">
        <v>146</v>
      </c>
      <c r="B176" s="70">
        <f t="shared" ref="B176:I176" si="69">4.76*B$55-3.01-((B175-675)/85)*(0.53*B$55+0.005294*(B175-675))</f>
        <v>-2.349815517794334E+16</v>
      </c>
      <c r="C176" s="70">
        <f t="shared" si="69"/>
        <v>-9.5438223999125926E+17</v>
      </c>
      <c r="D176" s="70">
        <f t="shared" si="69"/>
        <v>-683563.7568718571</v>
      </c>
      <c r="E176" s="70">
        <f t="shared" si="69"/>
        <v>-13063.108325453084</v>
      </c>
      <c r="F176" s="70">
        <f t="shared" si="69"/>
        <v>-60841137.359899834</v>
      </c>
      <c r="G176" s="70">
        <f t="shared" si="69"/>
        <v>-367243.68496361183</v>
      </c>
      <c r="H176" s="30">
        <f t="shared" si="69"/>
        <v>-79.241980779220427</v>
      </c>
      <c r="I176" s="30">
        <f t="shared" si="69"/>
        <v>-10.603808564572473</v>
      </c>
      <c r="J176" s="30"/>
      <c r="K176" s="30"/>
      <c r="L176" s="30"/>
      <c r="M176" s="30"/>
      <c r="N176" s="30"/>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spans="1:44" s="3" customFormat="1">
      <c r="A177" s="27" t="s">
        <v>147</v>
      </c>
      <c r="B177" s="85">
        <f t="shared" ref="B177:I177" si="70">((78.44+3-33.6*B$97-(66.8-2.92*B171)*B$94+78.5*B$93+9.4*B$96)/(0.0721-0.0083144*LN((27*B$97*B$92*B$39)/(64*B$98*B$93*B$38))))-273.15</f>
        <v>1061.7262126801716</v>
      </c>
      <c r="C177" s="85">
        <f t="shared" si="70"/>
        <v>1043.9253035126021</v>
      </c>
      <c r="D177" s="85">
        <f t="shared" si="70"/>
        <v>993.07760464773435</v>
      </c>
      <c r="E177" s="85">
        <f t="shared" si="70"/>
        <v>972.6604500522177</v>
      </c>
      <c r="F177" s="85">
        <f t="shared" si="70"/>
        <v>1025.2178468913057</v>
      </c>
      <c r="G177" s="85">
        <f t="shared" si="70"/>
        <v>1004.1662983458385</v>
      </c>
      <c r="H177" s="28">
        <f t="shared" si="70"/>
        <v>970.87360616490412</v>
      </c>
      <c r="I177" s="28">
        <f t="shared" si="70"/>
        <v>953.60056394627156</v>
      </c>
      <c r="J177" s="28"/>
      <c r="K177" s="28"/>
      <c r="L177" s="28"/>
      <c r="M177" s="28"/>
      <c r="N177" s="28"/>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spans="1:44" s="3" customFormat="1">
      <c r="A178" s="1" t="s">
        <v>148</v>
      </c>
      <c r="B178" s="70">
        <f t="shared" ref="B178:I178" si="71">4.76*B$55-3.01-((B177-675)/85)*(0.53*B$55+0.005294*(B177-675))</f>
        <v>-6.7384884007446999</v>
      </c>
      <c r="C178" s="70">
        <f t="shared" si="71"/>
        <v>-5.7065858186201996</v>
      </c>
      <c r="D178" s="70">
        <f t="shared" si="71"/>
        <v>-2.925873807544102</v>
      </c>
      <c r="E178" s="70">
        <f t="shared" si="71"/>
        <v>-1.8771906980853768</v>
      </c>
      <c r="F178" s="70">
        <f t="shared" si="71"/>
        <v>-5.0913794801866583</v>
      </c>
      <c r="G178" s="70">
        <f t="shared" si="71"/>
        <v>-3.726562044198964</v>
      </c>
      <c r="H178" s="30">
        <f t="shared" si="71"/>
        <v>-5.551015892211125</v>
      </c>
      <c r="I178" s="30">
        <f t="shared" si="71"/>
        <v>-5.1107455919167233</v>
      </c>
      <c r="J178" s="30"/>
      <c r="K178" s="30"/>
      <c r="L178" s="30"/>
      <c r="M178" s="30"/>
      <c r="N178" s="30"/>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spans="1:44" s="3" customFormat="1">
      <c r="A179" t="s">
        <v>149</v>
      </c>
      <c r="B179" s="86">
        <f t="shared" ref="B179:I179" si="72">(0.677*B173-48.98)/(-0.0429-0.008314*LN(B$38*(B$52-4)/(8-B$52)))-273.15</f>
        <v>366626065114.14459</v>
      </c>
      <c r="C179" s="86">
        <f t="shared" si="72"/>
        <v>6894114139.6639977</v>
      </c>
      <c r="D179" s="86">
        <f t="shared" si="72"/>
        <v>51687993.804539882</v>
      </c>
      <c r="E179" s="86">
        <f t="shared" si="72"/>
        <v>174442.311169063</v>
      </c>
      <c r="F179" s="86">
        <f t="shared" si="72"/>
        <v>2238985735.6785483</v>
      </c>
      <c r="G179" s="86">
        <f t="shared" si="72"/>
        <v>89680066.565488458</v>
      </c>
      <c r="H179" s="29">
        <f t="shared" si="72"/>
        <v>4084.7675676482818</v>
      </c>
      <c r="I179" s="29">
        <f t="shared" si="72"/>
        <v>1378.6309731898168</v>
      </c>
      <c r="J179" s="29"/>
      <c r="K179" s="29"/>
      <c r="L179" s="29"/>
      <c r="M179" s="29"/>
      <c r="N179" s="29"/>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spans="1:44" s="3" customFormat="1">
      <c r="A180" s="1" t="s">
        <v>150</v>
      </c>
      <c r="B180" s="70">
        <f t="shared" ref="B180:I180" si="73">4.76*B$55-3.01-((B179-675)/85)*(0.53*B$55+0.005294*(B179-675))</f>
        <v>-8.371661992987478E+18</v>
      </c>
      <c r="C180" s="70">
        <f t="shared" si="73"/>
        <v>-2960205626371903</v>
      </c>
      <c r="D180" s="70">
        <f t="shared" si="73"/>
        <v>-166392962668.21384</v>
      </c>
      <c r="E180" s="70">
        <f t="shared" si="73"/>
        <v>-1883094.1966189495</v>
      </c>
      <c r="F180" s="70">
        <f t="shared" si="73"/>
        <v>-312224835007181.94</v>
      </c>
      <c r="G180" s="70">
        <f t="shared" si="73"/>
        <v>-500900421933.02258</v>
      </c>
      <c r="H180" s="30">
        <f t="shared" si="73"/>
        <v>-743.61561192005979</v>
      </c>
      <c r="I180" s="30">
        <f t="shared" si="73"/>
        <v>-33.508793583007382</v>
      </c>
      <c r="J180" s="30"/>
      <c r="K180" s="30"/>
      <c r="L180" s="30"/>
      <c r="M180" s="30"/>
      <c r="N180" s="30"/>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spans="1:44" s="3" customFormat="1">
      <c r="A181" s="10" t="s">
        <v>126</v>
      </c>
      <c r="B181" s="64"/>
      <c r="C181" s="64"/>
      <c r="D181" s="64"/>
      <c r="E181" s="64"/>
      <c r="F181" s="64"/>
      <c r="G181" s="64"/>
      <c r="H181" s="14"/>
      <c r="I181" s="14"/>
      <c r="J181" s="14"/>
      <c r="K181" s="14"/>
      <c r="L181" s="14"/>
      <c r="M181" s="14"/>
      <c r="N181" s="14"/>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spans="1:44" s="3" customFormat="1">
      <c r="A182" s="27" t="s">
        <v>127</v>
      </c>
      <c r="B182" s="85">
        <f t="shared" ref="B182:I182" si="74">((-76.95+B176*0.79+39.4*B$96+22.4*B$99+(41.5-2.89*B176)*B$94)/(-0.065-0.0083144*LN(B$100)))-273.15</f>
        <v>4.5361133821353965E+17</v>
      </c>
      <c r="C182" s="85">
        <f t="shared" si="74"/>
        <v>2.1470051470500221E+19</v>
      </c>
      <c r="D182" s="85">
        <f t="shared" si="74"/>
        <v>8985835.7588876616</v>
      </c>
      <c r="E182" s="85">
        <f t="shared" si="74"/>
        <v>189354.60933570701</v>
      </c>
      <c r="F182" s="85">
        <f t="shared" si="74"/>
        <v>894112994.2712003</v>
      </c>
      <c r="G182" s="85">
        <f t="shared" si="74"/>
        <v>4920933.3567064535</v>
      </c>
      <c r="H182" s="28">
        <f t="shared" si="74"/>
        <v>2196.6040120501698</v>
      </c>
      <c r="I182" s="28">
        <f t="shared" si="74"/>
        <v>1075.2617733809211</v>
      </c>
      <c r="J182" s="28"/>
      <c r="K182" s="28"/>
      <c r="L182" s="28"/>
      <c r="M182" s="28"/>
      <c r="N182" s="28"/>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spans="1:44" s="3" customFormat="1">
      <c r="A183" s="1" t="s">
        <v>128</v>
      </c>
      <c r="B183" s="70">
        <f t="shared" ref="B183:I183" si="75">4.76*B$55-3.01-((B182-675)/85)*(0.53*B$55+0.005294*(B182-675))</f>
        <v>-1.2815419119402548E+31</v>
      </c>
      <c r="C183" s="70">
        <f t="shared" si="75"/>
        <v>-2.870986711897114E+34</v>
      </c>
      <c r="D183" s="70">
        <f t="shared" si="75"/>
        <v>-5028377122.2968445</v>
      </c>
      <c r="E183" s="70">
        <f t="shared" si="75"/>
        <v>-2219938.0779934884</v>
      </c>
      <c r="F183" s="70">
        <f t="shared" si="75"/>
        <v>-49790819417005.563</v>
      </c>
      <c r="G183" s="70">
        <f t="shared" si="75"/>
        <v>-1507858226.7124517</v>
      </c>
      <c r="H183" s="30">
        <f t="shared" si="75"/>
        <v>-151.93235654013955</v>
      </c>
      <c r="I183" s="30">
        <f t="shared" si="75"/>
        <v>-10.940703086663108</v>
      </c>
      <c r="J183" s="30"/>
      <c r="K183" s="30"/>
      <c r="L183" s="30"/>
      <c r="M183" s="30"/>
      <c r="N183" s="30"/>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spans="1:44" s="3" customFormat="1">
      <c r="A184" s="27" t="s">
        <v>147</v>
      </c>
      <c r="B184" s="85">
        <f t="shared" ref="B184:I184" si="76">((78.44+3-33.6*B$97-(66.8-2.92*B178)*B$94+78.5*B$93+9.4*B$96)/(0.0721-0.0083144*LN((27*B$97*B$92*B$39)/(64*B$98*B$93*B$38))))-273.15</f>
        <v>1061.8173275756217</v>
      </c>
      <c r="C184" s="85">
        <f t="shared" si="76"/>
        <v>1043.9341566336871</v>
      </c>
      <c r="D184" s="85">
        <f t="shared" si="76"/>
        <v>993.19956510224063</v>
      </c>
      <c r="E184" s="85">
        <f t="shared" si="76"/>
        <v>972.67615930581167</v>
      </c>
      <c r="F184" s="85">
        <f t="shared" si="76"/>
        <v>1025.3100637988541</v>
      </c>
      <c r="G184" s="85">
        <f t="shared" si="76"/>
        <v>1004.2587189832672</v>
      </c>
      <c r="H184" s="28">
        <f t="shared" si="76"/>
        <v>970.87360771993337</v>
      </c>
      <c r="I184" s="28">
        <f t="shared" si="76"/>
        <v>953.60056856839617</v>
      </c>
      <c r="J184" s="28"/>
      <c r="K184" s="28"/>
      <c r="L184" s="28"/>
      <c r="M184" s="28"/>
      <c r="N184" s="28"/>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spans="1:44" s="3" customFormat="1">
      <c r="A185" s="1" t="s">
        <v>148</v>
      </c>
      <c r="B185" s="70">
        <f t="shared" ref="B185:I185" si="77">4.76*B$55-3.01-((B184-675)/85)*(0.53*B$55+0.005294*(B184-675))</f>
        <v>-6.7442294429318626</v>
      </c>
      <c r="C185" s="70">
        <f t="shared" si="77"/>
        <v>-5.7071223991773188</v>
      </c>
      <c r="D185" s="70">
        <f t="shared" si="77"/>
        <v>-2.9324557545551482</v>
      </c>
      <c r="E185" s="70">
        <f t="shared" si="77"/>
        <v>-1.8779975235068829</v>
      </c>
      <c r="F185" s="70">
        <f t="shared" si="77"/>
        <v>-5.096643372522335</v>
      </c>
      <c r="G185" s="70">
        <f t="shared" si="77"/>
        <v>-3.7316358413077033</v>
      </c>
      <c r="H185" s="30">
        <f t="shared" si="77"/>
        <v>-5.5510159592055057</v>
      </c>
      <c r="I185" s="30">
        <f t="shared" si="77"/>
        <v>-5.110745778383686</v>
      </c>
      <c r="J185" s="30"/>
      <c r="K185" s="30"/>
      <c r="L185" s="30"/>
      <c r="M185" s="30"/>
      <c r="N185" s="30"/>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spans="1:44" s="3" customFormat="1">
      <c r="A186" t="s">
        <v>149</v>
      </c>
      <c r="B186" s="86">
        <f t="shared" ref="B186:I186" si="78">(0.677*B180-48.98)/(-0.0429-0.008314*LN(B$38*(B$52-4)/(8-B$52)))-273.15</f>
        <v>2.2026212999094459E+20</v>
      </c>
      <c r="C186" s="86">
        <f t="shared" si="78"/>
        <v>7.337769259318528E+16</v>
      </c>
      <c r="D186" s="86">
        <f t="shared" si="78"/>
        <v>3818976598374.6719</v>
      </c>
      <c r="E186" s="86">
        <f t="shared" si="78"/>
        <v>39177428.824491657</v>
      </c>
      <c r="F186" s="86">
        <f t="shared" si="78"/>
        <v>7562974275110769</v>
      </c>
      <c r="G186" s="86">
        <f t="shared" si="78"/>
        <v>11570981359006.756</v>
      </c>
      <c r="H186" s="29">
        <f t="shared" si="78"/>
        <v>14659.077437749913</v>
      </c>
      <c r="I186" s="29">
        <f t="shared" si="78"/>
        <v>1534.5647716443618</v>
      </c>
      <c r="J186" s="29"/>
      <c r="K186" s="29"/>
      <c r="L186" s="29"/>
      <c r="M186" s="29"/>
      <c r="N186" s="29"/>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spans="1:44" s="3" customFormat="1">
      <c r="A187" s="1" t="s">
        <v>150</v>
      </c>
      <c r="B187" s="70">
        <f t="shared" ref="B187:I187" si="79">4.76*B$55-3.01-((B186-675)/85)*(0.53*B$55+0.005294*(B186-675))</f>
        <v>-3.0216536338556975E+36</v>
      </c>
      <c r="C187" s="70">
        <f t="shared" si="79"/>
        <v>-3.3534598668197361E+29</v>
      </c>
      <c r="D187" s="70">
        <f t="shared" si="79"/>
        <v>-9.0836209948416606E+20</v>
      </c>
      <c r="E187" s="70">
        <f t="shared" si="79"/>
        <v>-95592638353.87825</v>
      </c>
      <c r="F187" s="70">
        <f t="shared" si="79"/>
        <v>-3.5624621401926012E+27</v>
      </c>
      <c r="G187" s="70">
        <f t="shared" si="79"/>
        <v>-8.3388353553983078E+21</v>
      </c>
      <c r="H187" s="30">
        <f t="shared" si="79"/>
        <v>-12264.924475194079</v>
      </c>
      <c r="I187" s="30">
        <f t="shared" si="79"/>
        <v>-49.569658847252875</v>
      </c>
      <c r="J187" s="30"/>
      <c r="K187" s="30"/>
      <c r="L187" s="30"/>
      <c r="M187" s="30"/>
      <c r="N187" s="30"/>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spans="1:44" s="3" customFormat="1">
      <c r="B188" s="81"/>
      <c r="C188" s="81"/>
      <c r="D188" s="81"/>
      <c r="E188" s="81"/>
      <c r="F188" s="81"/>
      <c r="G188" s="82"/>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spans="1:44" s="3" customFormat="1">
      <c r="B189" s="81"/>
      <c r="C189" s="81"/>
      <c r="D189" s="81"/>
      <c r="E189" s="81"/>
      <c r="F189" s="81"/>
      <c r="G189" s="82"/>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spans="1:44" s="3" customFormat="1">
      <c r="B190" s="81"/>
      <c r="C190" s="81"/>
      <c r="D190" s="81"/>
      <c r="E190" s="81"/>
      <c r="F190" s="81"/>
      <c r="G190" s="82"/>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spans="1:44" s="3" customFormat="1">
      <c r="A191" s="8" t="s">
        <v>0</v>
      </c>
      <c r="B191" s="98"/>
      <c r="C191" s="98"/>
      <c r="D191" s="98"/>
      <c r="E191" s="98"/>
      <c r="F191" s="98"/>
      <c r="G191" s="98"/>
      <c r="H191" s="11"/>
      <c r="I191" s="11"/>
      <c r="J191" s="11"/>
      <c r="K191" s="11"/>
      <c r="L191" s="11"/>
      <c r="M191" s="11"/>
      <c r="N191" s="11"/>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spans="1:44" s="3" customFormat="1">
      <c r="A192" s="3" t="s">
        <v>1</v>
      </c>
      <c r="B192" s="82">
        <f>B22/60.09*2+B23/79.9*2+B24/101.94*3+B25/71.85+B26/40.32+B27/70.94+B28/56.08+B29/61.982+B30/94.2</f>
        <v>2.6179688111463189</v>
      </c>
      <c r="C192" s="82">
        <f>C22/60.09*2+C23/79.9*2+C24/101.94*3+C25/71.85+C26/40.32+C27/70.94+C28/56.08+C29/61.982+C30/94.2</f>
        <v>2.5680788570957018</v>
      </c>
      <c r="D192" s="82">
        <f>D22/60.09*2+D23/79.9*2+D24/101.94*3+D25/71.85+D26/40.32+D27/70.94+D28/56.08+D29/61.982+D30/94.2</f>
        <v>2.6065268300001851</v>
      </c>
      <c r="E192" s="82">
        <f>E22/60.09*2+E23/79.9*2+E24/101.94*3+E25/71.85+E26/40.32+E27/70.94+E28/56.08+E29/61.982+E30/94.2</f>
        <v>2.6023442215175323</v>
      </c>
      <c r="F192" s="82">
        <f>F22/60.09*2+F23/79.9*2+F24/101.94*3+F25/71.85+F26/40.32+F27/70.94+F28/56.08+F29/61.982+F30/94.2</f>
        <v>2.6272772536589493</v>
      </c>
      <c r="G192" s="82">
        <f>G22/60.09*2+G23/79.9*2+G24/101.94*3+G25/71.85+G26/40.32+G27/70.94+G28/56.08+G29/61.982+G30/94.2</f>
        <v>2.6212785902608653</v>
      </c>
      <c r="H192" s="12">
        <f>H22/60.09*2+H23/79.9*2+H24/101.94*3+H25/71.85+H26/40.32+H27/70.94+H28/56.08+H29/61.982+H30/94.2</f>
        <v>2.6102483928759121</v>
      </c>
      <c r="I192" s="12">
        <f>I22/60.09*2+I23/79.9*2+I24/101.94*3+I25/71.85+I26/40.32+I27/70.94+I28/56.08+I29/61.982+I30/94.2</f>
        <v>2.5683978013839446</v>
      </c>
      <c r="J192" s="12"/>
      <c r="K192" s="12"/>
      <c r="L192" s="12"/>
      <c r="M192" s="12"/>
      <c r="N192" s="12"/>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spans="1:44" s="3" customFormat="1">
      <c r="B193" s="82"/>
      <c r="C193" s="82"/>
      <c r="D193" s="82"/>
      <c r="E193" s="82"/>
      <c r="F193" s="82"/>
      <c r="G193" s="82"/>
      <c r="H193" s="12"/>
      <c r="I193" s="12"/>
      <c r="J193" s="12"/>
      <c r="K193" s="12"/>
      <c r="L193" s="12"/>
      <c r="M193" s="12"/>
      <c r="N193" s="12"/>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spans="1:44" s="3" customFormat="1">
      <c r="A194" s="5" t="s">
        <v>55</v>
      </c>
      <c r="B194" s="99"/>
      <c r="C194" s="99"/>
      <c r="D194" s="99"/>
      <c r="E194" s="99"/>
      <c r="F194" s="99"/>
      <c r="G194" s="100"/>
      <c r="H194" s="13"/>
      <c r="I194" s="13"/>
      <c r="J194" s="13"/>
      <c r="K194" s="13"/>
      <c r="L194" s="13"/>
      <c r="M194" s="13"/>
      <c r="N194" s="13"/>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spans="1:44" s="3" customFormat="1">
      <c r="A195" s="3" t="s">
        <v>56</v>
      </c>
      <c r="B195" s="81">
        <f>B22/60.09*2*23/B$192/2</f>
        <v>5.9505289564617483</v>
      </c>
      <c r="C195" s="81">
        <f>C22/60.09*2*23/C$192/2</f>
        <v>5.9319891601696382</v>
      </c>
      <c r="D195" s="81">
        <f>D22/60.09*2*23/D$192/2</f>
        <v>6.0647581113000451</v>
      </c>
      <c r="E195" s="81">
        <f>E22/60.09*2*23/E$192/2</f>
        <v>6.0450891798176096</v>
      </c>
      <c r="F195" s="81">
        <f>F22/60.09*2*23/F$192/2</f>
        <v>6.1771135215968345</v>
      </c>
      <c r="G195" s="82">
        <f>G22/60.09*2*23/G$192/2</f>
        <v>6.1328415188192711</v>
      </c>
      <c r="H195" s="3">
        <f>H22/60.09*2*23/H$192/2</f>
        <v>7.1353601661908286</v>
      </c>
      <c r="I195" s="3">
        <f>I22/60.09*2*23/I$192/2</f>
        <v>7.2411949787338612</v>
      </c>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spans="1:44" s="3" customFormat="1">
      <c r="A196" s="3" t="s">
        <v>57</v>
      </c>
      <c r="B196" s="81">
        <f t="shared" ref="B196:I196" si="80">8-B195</f>
        <v>2.0494710435382517</v>
      </c>
      <c r="C196" s="81">
        <f t="shared" si="80"/>
        <v>2.0680108398303618</v>
      </c>
      <c r="D196" s="81">
        <f t="shared" si="80"/>
        <v>1.9352418886999549</v>
      </c>
      <c r="E196" s="81">
        <f t="shared" si="80"/>
        <v>1.9549108201823904</v>
      </c>
      <c r="F196" s="81">
        <f t="shared" si="80"/>
        <v>1.8228864784031655</v>
      </c>
      <c r="G196" s="82">
        <f t="shared" si="80"/>
        <v>1.8671584811807289</v>
      </c>
      <c r="H196" s="3">
        <f t="shared" si="80"/>
        <v>0.86463983380917142</v>
      </c>
      <c r="I196" s="3">
        <f t="shared" si="80"/>
        <v>0.7588050212661388</v>
      </c>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spans="1:44" s="3" customFormat="1">
      <c r="B197" s="81"/>
      <c r="C197" s="81"/>
      <c r="D197" s="81"/>
      <c r="E197" s="81"/>
      <c r="F197" s="81"/>
      <c r="G197" s="82"/>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spans="1:44" s="3" customFormat="1">
      <c r="A198" s="3" t="s">
        <v>58</v>
      </c>
      <c r="B198" s="81">
        <f t="shared" ref="B198:I198" si="81">B196+B201</f>
        <v>2.4131080574510562</v>
      </c>
      <c r="C198" s="81">
        <f t="shared" si="81"/>
        <v>2.3897020463463448</v>
      </c>
      <c r="D198" s="81">
        <f t="shared" si="81"/>
        <v>2.3198280808810128</v>
      </c>
      <c r="E198" s="81">
        <f t="shared" si="81"/>
        <v>2.3235566163027146</v>
      </c>
      <c r="F198" s="81">
        <f t="shared" si="81"/>
        <v>2.181277991961593</v>
      </c>
      <c r="G198" s="82">
        <f t="shared" si="81"/>
        <v>2.2551286255886445</v>
      </c>
      <c r="H198" s="3">
        <f t="shared" si="81"/>
        <v>1.0095880758079998</v>
      </c>
      <c r="I198" s="3">
        <f t="shared" si="81"/>
        <v>0.91359614126611044</v>
      </c>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spans="1:44" s="3" customFormat="1">
      <c r="B199" s="81"/>
      <c r="C199" s="81"/>
      <c r="D199" s="81"/>
      <c r="E199" s="81"/>
      <c r="F199" s="81"/>
      <c r="G199" s="82"/>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spans="1:44" s="3" customFormat="1">
      <c r="A200" s="5" t="s">
        <v>59</v>
      </c>
      <c r="B200" s="81"/>
      <c r="C200" s="81"/>
      <c r="D200" s="81"/>
      <c r="E200" s="81"/>
      <c r="F200" s="81"/>
      <c r="G200" s="82"/>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spans="1:44" s="3" customFormat="1">
      <c r="A201" s="3" t="s">
        <v>60</v>
      </c>
      <c r="B201" s="81">
        <f>B24/101.94*3*23/B$192*2/3-B196</f>
        <v>0.36363701391280445</v>
      </c>
      <c r="C201" s="81">
        <f>C24/101.94*3*23/C$192*2/3-C196</f>
        <v>0.32169120651598293</v>
      </c>
      <c r="D201" s="81">
        <f>D24/101.94*3*23/D$192*2/3-D196</f>
        <v>0.38458619218105783</v>
      </c>
      <c r="E201" s="81">
        <f>E24/101.94*3*23/E$192*2/3-E196</f>
        <v>0.36864579612032422</v>
      </c>
      <c r="F201" s="81">
        <f>F24/101.94*3*23/F$192*2/3-F196</f>
        <v>0.35839151355842747</v>
      </c>
      <c r="G201" s="82">
        <f>G24/101.94*3*23/G$192*2/3-G196</f>
        <v>0.38797014440791555</v>
      </c>
      <c r="H201" s="3">
        <f>H24/101.94*3*23/H$192*2/3-H196</f>
        <v>0.14494824199882839</v>
      </c>
      <c r="I201" s="3">
        <f>I24/101.94*3*23/I$192*2/3-I196</f>
        <v>0.15479111999997164</v>
      </c>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spans="1:44" s="3" customFormat="1">
      <c r="A202" s="3" t="s">
        <v>61</v>
      </c>
      <c r="B202" s="81">
        <f>B23/79.9*2*23/B$192/2</f>
        <v>0.33426443569852693</v>
      </c>
      <c r="C202" s="81">
        <f>C23/79.9*2*23/C$192/2</f>
        <v>0.30488889437365002</v>
      </c>
      <c r="D202" s="81">
        <f>D23/79.9*2*23/D$192/2</f>
        <v>0.35008872114914302</v>
      </c>
      <c r="E202" s="81">
        <f>E23/79.9*2*23/E$192/2</f>
        <v>0.29976823154530169</v>
      </c>
      <c r="F202" s="81">
        <f>F23/79.9*2*23/F$192/2</f>
        <v>0.30130604489694451</v>
      </c>
      <c r="G202" s="82">
        <f>G23/79.9*2*23/G$192/2</f>
        <v>0.28771941438361259</v>
      </c>
      <c r="H202" s="3">
        <f>H23/79.9*2*23/H$192/2</f>
        <v>7.0579600149411073E-2</v>
      </c>
      <c r="I202" s="3">
        <f>I23/79.9*2*23/I$192/2</f>
        <v>6.7246551439780949E-2</v>
      </c>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spans="1:44" s="3" customFormat="1">
      <c r="A203" s="3" t="s">
        <v>62</v>
      </c>
      <c r="B203" s="81">
        <v>0</v>
      </c>
      <c r="C203" s="81">
        <v>0</v>
      </c>
      <c r="D203" s="81">
        <v>0</v>
      </c>
      <c r="E203" s="81">
        <v>0</v>
      </c>
      <c r="F203" s="81">
        <v>0</v>
      </c>
      <c r="G203" s="82">
        <v>0</v>
      </c>
      <c r="H203" s="3">
        <v>0</v>
      </c>
      <c r="I203" s="3">
        <v>0</v>
      </c>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spans="1:44" s="3" customFormat="1">
      <c r="A204" s="3" t="s">
        <v>63</v>
      </c>
      <c r="B204" s="81">
        <f>B26/40.32*23/B$192</f>
        <v>3.2030238981323005</v>
      </c>
      <c r="C204" s="81">
        <f>C26/40.32*23/C$192</f>
        <v>3.1541860135319628</v>
      </c>
      <c r="D204" s="81">
        <f>D26/40.32*23/D$192</f>
        <v>2.9982350723508966</v>
      </c>
      <c r="E204" s="81">
        <f>E26/40.32*23/E$192</f>
        <v>2.9372936689719578</v>
      </c>
      <c r="F204" s="81">
        <f>F26/40.32*23/F$192</f>
        <v>3.2785239006828526</v>
      </c>
      <c r="G204" s="82">
        <f>G26/40.32*23/G$192</f>
        <v>3.1772178076822386</v>
      </c>
      <c r="H204" s="3">
        <f>H26/40.32*23/H$192</f>
        <v>3.1447510404028338</v>
      </c>
      <c r="I204" s="3">
        <f>I26/40.32*23/I$192</f>
        <v>3.2182028015855586</v>
      </c>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spans="1:44" s="3" customFormat="1">
      <c r="A205" s="3" t="s">
        <v>64</v>
      </c>
      <c r="B205" s="81">
        <f>B27/70.94*23/B$192</f>
        <v>1.6099616677550894E-2</v>
      </c>
      <c r="C205" s="81">
        <f>C27/70.94*23/C$192</f>
        <v>1.7674874233318802E-2</v>
      </c>
      <c r="D205" s="81">
        <f>D27/70.94*23/D$192</f>
        <v>1.990189519543616E-2</v>
      </c>
      <c r="E205" s="81">
        <f>E27/70.94*23/E$192</f>
        <v>2.3671485404167889E-2</v>
      </c>
      <c r="F205" s="81">
        <f>F27/70.94*23/F$192</f>
        <v>1.8510664316015481E-2</v>
      </c>
      <c r="G205" s="82">
        <f>G27/70.94*23/G$192</f>
        <v>2.4737366712704902E-2</v>
      </c>
      <c r="H205" s="3">
        <f>H27/70.94*23/H$192</f>
        <v>0.11054645532811118</v>
      </c>
      <c r="I205" s="3">
        <f>I27/70.94*23/I$192</f>
        <v>0.10982307889844688</v>
      </c>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spans="1:44" s="3" customFormat="1">
      <c r="A206" s="3" t="s">
        <v>65</v>
      </c>
      <c r="B206" s="81">
        <f>IF((5-SUM(B201:B205)&gt;B25/71.85*23/B$192),B25/71.85*23/B$192,5-SUM(B201:B205))</f>
        <v>1.082975035578817</v>
      </c>
      <c r="C206" s="81">
        <f>IF((5-SUM(C201:C205)&gt;C25/71.85*23/C$192),C25/71.85*23/C$192,5-SUM(C201:C205))</f>
        <v>1.2015590113450858</v>
      </c>
      <c r="D206" s="81">
        <f>IF((5-SUM(D201:D205)&gt;D25/71.85*23/D$192),D25/71.85*23/D$192,5-SUM(D201:D205))</f>
        <v>1.2471881191234666</v>
      </c>
      <c r="E206" s="81">
        <f>IF((5-SUM(E201:E205)&gt;E25/71.85*23/E$192),E25/71.85*23/E$192,5-SUM(E201:E205))</f>
        <v>1.3706208179582484</v>
      </c>
      <c r="F206" s="81">
        <f>IF((5-SUM(F201:F205)&gt;F25/71.85*23/F$192),F25/71.85*23/F$192,5-SUM(F201:F205))</f>
        <v>1.0432678765457597</v>
      </c>
      <c r="G206" s="82">
        <f>IF((5-SUM(G201:G205)&gt;G25/71.85*23/G$192),G25/71.85*23/G$192,5-SUM(G201:G205))</f>
        <v>1.1223552668135279</v>
      </c>
      <c r="H206" s="3">
        <f>IF((5-SUM(H201:H205)&gt;H25/71.85*23/H$192),H25/71.85*23/H$192,5-SUM(H201:H205))</f>
        <v>1.5291746621208158</v>
      </c>
      <c r="I206" s="3">
        <f>IF((5-SUM(I201:I205)&gt;I25/71.85*23/I$192),I25/71.85*23/I$192,5-SUM(I201:I205))</f>
        <v>1.449936448076242</v>
      </c>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spans="1:44" s="3" customFormat="1">
      <c r="A207" s="3" t="s">
        <v>66</v>
      </c>
      <c r="B207" s="83">
        <f t="shared" ref="B207:I207" si="82">IF(SUM(B201:B206)=5,0,5-SUM(B201:B206))</f>
        <v>0</v>
      </c>
      <c r="C207" s="83">
        <f t="shared" si="82"/>
        <v>0</v>
      </c>
      <c r="D207" s="83">
        <f t="shared" si="82"/>
        <v>0</v>
      </c>
      <c r="E207" s="83">
        <f t="shared" si="82"/>
        <v>0</v>
      </c>
      <c r="F207" s="83">
        <f t="shared" si="82"/>
        <v>0</v>
      </c>
      <c r="G207" s="84">
        <f t="shared" si="82"/>
        <v>0</v>
      </c>
      <c r="H207" s="5">
        <f t="shared" si="82"/>
        <v>0</v>
      </c>
      <c r="I207" s="5">
        <f t="shared" si="82"/>
        <v>0</v>
      </c>
      <c r="J207" s="5"/>
      <c r="K207" s="5"/>
      <c r="L207" s="5"/>
      <c r="M207" s="5"/>
      <c r="N207" s="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spans="1:44" s="3" customFormat="1">
      <c r="B208" s="81">
        <f t="shared" ref="B208:I208" si="83">SUM(B201:B207)</f>
        <v>5</v>
      </c>
      <c r="C208" s="81">
        <f t="shared" si="83"/>
        <v>5</v>
      </c>
      <c r="D208" s="81">
        <f t="shared" si="83"/>
        <v>5</v>
      </c>
      <c r="E208" s="81">
        <f t="shared" si="83"/>
        <v>5</v>
      </c>
      <c r="F208" s="81">
        <f t="shared" si="83"/>
        <v>5</v>
      </c>
      <c r="G208" s="82">
        <f t="shared" si="83"/>
        <v>5</v>
      </c>
      <c r="H208" s="3">
        <f t="shared" si="83"/>
        <v>5</v>
      </c>
      <c r="I208" s="3">
        <f t="shared" si="83"/>
        <v>5</v>
      </c>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spans="1:44" s="3" customFormat="1">
      <c r="A209" s="5" t="s">
        <v>67</v>
      </c>
      <c r="B209" s="81"/>
      <c r="C209" s="81"/>
      <c r="D209" s="81"/>
      <c r="E209" s="81"/>
      <c r="F209" s="81"/>
      <c r="G209" s="82"/>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spans="1:44" s="3" customFormat="1">
      <c r="A210" s="3" t="s">
        <v>68</v>
      </c>
      <c r="B210" s="81">
        <f>B25/71.85*23/B$192-B206</f>
        <v>0.21313675236806784</v>
      </c>
      <c r="C210" s="81">
        <f>C25/71.85*23/C$192-C206</f>
        <v>0.21945238049034987</v>
      </c>
      <c r="D210" s="81">
        <f>D25/71.85*23/D$192-D206</f>
        <v>0.12830013642972604</v>
      </c>
      <c r="E210" s="81">
        <f>E25/71.85*23/E$192-E206</f>
        <v>0.22849409757716588</v>
      </c>
      <c r="F210" s="81">
        <f>F25/71.85*23/F$192-F206</f>
        <v>0.17514690107255482</v>
      </c>
      <c r="G210" s="82">
        <f>G25/71.85*23/G$192-G206</f>
        <v>0.19654403601683312</v>
      </c>
      <c r="H210" s="3">
        <f>H25/71.85*23/H$192-H206</f>
        <v>0.22575154793555208</v>
      </c>
      <c r="I210" s="3">
        <f>I25/71.85*23/I$192-I206</f>
        <v>0.25506546826165333</v>
      </c>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spans="1:44" s="3" customFormat="1">
      <c r="A211" s="3" t="s">
        <v>66</v>
      </c>
      <c r="B211" s="81">
        <f>IF(B210+B28/56.08*23/B$192-B207&lt;=2,B28/56.08*23/B$192-B207,2-B210)</f>
        <v>1.7868632476319322</v>
      </c>
      <c r="C211" s="81">
        <f>IF(C210+C28/56.08*23/C$192-C207&lt;=2,C28/56.08*23/C$192-C207,2-C210)</f>
        <v>1.7805476195096501</v>
      </c>
      <c r="D211" s="81">
        <f>IF(D210+D28/56.08*23/D$192-D207&lt;=2,D28/56.08*23/D$192-D207,2-D210)</f>
        <v>1.8566910276544721</v>
      </c>
      <c r="E211" s="81">
        <f>IF(E210+E28/56.08*23/E$192-E207&lt;=2,E28/56.08*23/E$192-E207,2-E210)</f>
        <v>1.7715059024228341</v>
      </c>
      <c r="F211" s="81">
        <f>IF(F210+F28/56.08*23/F$192-F207&lt;=2,F28/56.08*23/F$192-F207,2-F210)</f>
        <v>1.8248530989274452</v>
      </c>
      <c r="G211" s="82">
        <f>IF(G210+G28/56.08*23/G$192-G207&lt;=2,G28/56.08*23/G$192-G207,2-G210)</f>
        <v>1.8034559639831669</v>
      </c>
      <c r="H211" s="3">
        <f>IF(H210+H28/56.08*23/H$192-H207&lt;=2,H28/56.08*23/H$192-H207,2-H210)</f>
        <v>1.7742484520644479</v>
      </c>
      <c r="I211" s="3">
        <f>IF(I210+I28/56.08*23/I$192-I207&lt;=2,I28/56.08*23/I$192-I207,2-I210)</f>
        <v>1.7449345317383467</v>
      </c>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spans="1:44" s="3" customFormat="1">
      <c r="A212" s="3" t="s">
        <v>69</v>
      </c>
      <c r="B212" s="83">
        <f t="shared" ref="B212:I212" si="84">IF(2-B210-B211&gt;=0,2-B210-B211,0)</f>
        <v>0</v>
      </c>
      <c r="C212" s="83">
        <f t="shared" si="84"/>
        <v>0</v>
      </c>
      <c r="D212" s="83">
        <f t="shared" si="84"/>
        <v>1.5008835915801821E-2</v>
      </c>
      <c r="E212" s="83">
        <f t="shared" si="84"/>
        <v>0</v>
      </c>
      <c r="F212" s="83">
        <f t="shared" si="84"/>
        <v>0</v>
      </c>
      <c r="G212" s="84">
        <f t="shared" si="84"/>
        <v>0</v>
      </c>
      <c r="H212" s="5">
        <f t="shared" si="84"/>
        <v>0</v>
      </c>
      <c r="I212" s="5">
        <f t="shared" si="84"/>
        <v>0</v>
      </c>
      <c r="J212" s="5"/>
      <c r="K212" s="5"/>
      <c r="L212" s="5"/>
      <c r="M212" s="5"/>
      <c r="N212" s="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spans="1:44" s="3" customFormat="1">
      <c r="B213" s="81">
        <f t="shared" ref="B213:I213" si="85">SUM(B210:B212)</f>
        <v>2</v>
      </c>
      <c r="C213" s="81">
        <f t="shared" si="85"/>
        <v>2</v>
      </c>
      <c r="D213" s="81">
        <f t="shared" si="85"/>
        <v>2</v>
      </c>
      <c r="E213" s="81">
        <f t="shared" si="85"/>
        <v>2</v>
      </c>
      <c r="F213" s="81">
        <f t="shared" si="85"/>
        <v>2</v>
      </c>
      <c r="G213" s="82">
        <f t="shared" si="85"/>
        <v>2</v>
      </c>
      <c r="H213" s="3">
        <f t="shared" si="85"/>
        <v>2</v>
      </c>
      <c r="I213" s="3">
        <f t="shared" si="85"/>
        <v>2</v>
      </c>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spans="1:44" s="3" customFormat="1">
      <c r="A214" s="5" t="s">
        <v>70</v>
      </c>
      <c r="B214" s="81"/>
      <c r="C214" s="81"/>
      <c r="D214" s="81"/>
      <c r="E214" s="81"/>
      <c r="F214" s="81"/>
      <c r="G214" s="82"/>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spans="1:44" s="3" customFormat="1">
      <c r="A215" s="9" t="s">
        <v>66</v>
      </c>
      <c r="B215" s="81">
        <f>B28/56.08*23/B$192-B211-B207</f>
        <v>7.7378907058479607E-2</v>
      </c>
      <c r="C215" s="81">
        <f>C28/56.08*23/C$192-C211-C207</f>
        <v>0.13588132604512237</v>
      </c>
      <c r="D215" s="81">
        <f>D28/56.08*23/D$192-D211-D207</f>
        <v>0</v>
      </c>
      <c r="E215" s="81">
        <f>E28/56.08*23/E$192-E211-E207</f>
        <v>5.6649366838312565E-2</v>
      </c>
      <c r="F215" s="81">
        <f>F28/56.08*23/F$192-F211-F207</f>
        <v>1.7173650195478452E-2</v>
      </c>
      <c r="G215" s="82">
        <f>G28/56.08*23/G$192-G211-G207</f>
        <v>2.7140050354533152E-2</v>
      </c>
      <c r="H215" s="3">
        <f>H28/56.08*23/H$192-H211-H207</f>
        <v>5.7798267064376185E-2</v>
      </c>
      <c r="I215" s="3">
        <f>I28/56.08*23/I$192-I211-I207</f>
        <v>2.1154805756476103E-2</v>
      </c>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spans="1:44" s="3" customFormat="1">
      <c r="A216" s="3" t="s">
        <v>69</v>
      </c>
      <c r="B216" s="81">
        <f>B29/61.982*23/B$192*2-B212</f>
        <v>0.77674477490213323</v>
      </c>
      <c r="C216" s="81">
        <f>C29/61.982*23/C$192*2-C212</f>
        <v>0.77160521108848823</v>
      </c>
      <c r="D216" s="81">
        <f>D29/61.982*23/D$192*2-D212</f>
        <v>0.77368748581973201</v>
      </c>
      <c r="E216" s="81">
        <f>E29/61.982*23/E$192*2-E212</f>
        <v>0.78711209567086693</v>
      </c>
      <c r="F216" s="81">
        <f>F29/61.982*23/F$192*2-F212</f>
        <v>0.67512507900610952</v>
      </c>
      <c r="G216" s="82">
        <f>G29/61.982*23/G$192*2-G212</f>
        <v>0.7134763903052822</v>
      </c>
      <c r="H216" s="3">
        <f>H29/61.982*23/H$192*2-H212</f>
        <v>0.3525592341528111</v>
      </c>
      <c r="I216" s="3">
        <f>I29/61.982*23/I$192*2-I212</f>
        <v>0.32073985999390864</v>
      </c>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spans="1:44" s="3" customFormat="1">
      <c r="A217" s="3" t="s">
        <v>71</v>
      </c>
      <c r="B217" s="83">
        <f>B30/94.2*23/B$192*2</f>
        <v>8.5802569209294743E-2</v>
      </c>
      <c r="C217" s="83">
        <f>C30/94.2*23/C$192*2</f>
        <v>9.3173981388338101E-2</v>
      </c>
      <c r="D217" s="83">
        <f>D30/94.2*23/D$192*2</f>
        <v>9.1799604316677039E-2</v>
      </c>
      <c r="E217" s="83">
        <f>E30/94.2*23/E$192*2</f>
        <v>8.6317731623976768E-2</v>
      </c>
      <c r="F217" s="83">
        <f>F30/94.2*23/F$192*2</f>
        <v>0.15241049565379666</v>
      </c>
      <c r="G217" s="84">
        <f>G30/94.2*23/G$192*2</f>
        <v>0.13599301699123978</v>
      </c>
      <c r="H217" s="5">
        <f>H30/94.2*23/H$192*2</f>
        <v>0.11037662322994254</v>
      </c>
      <c r="I217" s="5">
        <f>I30/94.2*23/I$192*2</f>
        <v>0.10647132687974377</v>
      </c>
      <c r="J217" s="5"/>
      <c r="K217" s="5"/>
      <c r="L217" s="5"/>
      <c r="M217" s="5"/>
      <c r="N217" s="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spans="1:44" s="3" customFormat="1">
      <c r="A218" s="3" t="s">
        <v>72</v>
      </c>
      <c r="B218" s="81">
        <f t="shared" ref="B218:I218" si="86">B216+B217+B215</f>
        <v>0.93992625116990758</v>
      </c>
      <c r="C218" s="81">
        <f t="shared" si="86"/>
        <v>1.0006605185219488</v>
      </c>
      <c r="D218" s="81">
        <f t="shared" si="86"/>
        <v>0.86548709013640901</v>
      </c>
      <c r="E218" s="81">
        <f t="shared" si="86"/>
        <v>0.93007919413315632</v>
      </c>
      <c r="F218" s="81">
        <f t="shared" si="86"/>
        <v>0.84470922485538469</v>
      </c>
      <c r="G218" s="82">
        <f t="shared" si="86"/>
        <v>0.87660945765105514</v>
      </c>
      <c r="H218" s="3">
        <f t="shared" si="86"/>
        <v>0.52073412444712985</v>
      </c>
      <c r="I218" s="3">
        <f t="shared" si="86"/>
        <v>0.4483659926301285</v>
      </c>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spans="1:44" s="3" customFormat="1">
      <c r="B219" s="81"/>
      <c r="C219" s="81"/>
      <c r="D219" s="81"/>
      <c r="E219" s="81"/>
      <c r="F219" s="81"/>
      <c r="G219" s="82"/>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spans="1:44" s="3" customFormat="1">
      <c r="A220" s="5" t="s">
        <v>73</v>
      </c>
      <c r="B220" s="81"/>
      <c r="C220" s="81"/>
      <c r="D220" s="81"/>
      <c r="E220" s="81"/>
      <c r="F220" s="81"/>
      <c r="G220" s="82"/>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spans="1:44" s="3" customFormat="1">
      <c r="A221" s="3" t="s">
        <v>74</v>
      </c>
      <c r="B221" s="81">
        <v>0</v>
      </c>
      <c r="C221" s="81">
        <v>0</v>
      </c>
      <c r="D221" s="81">
        <v>0</v>
      </c>
      <c r="E221" s="81">
        <v>0</v>
      </c>
      <c r="F221" s="81">
        <v>0</v>
      </c>
      <c r="G221" s="82">
        <v>0</v>
      </c>
      <c r="H221" s="3">
        <v>0</v>
      </c>
      <c r="I221" s="3">
        <v>0</v>
      </c>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spans="1:44" s="3" customFormat="1">
      <c r="A222" s="3" t="s">
        <v>75</v>
      </c>
      <c r="B222" s="81">
        <f t="shared" ref="B222:I222" si="87">2-(B221+B223+B224)</f>
        <v>2</v>
      </c>
      <c r="C222" s="81">
        <f t="shared" si="87"/>
        <v>2</v>
      </c>
      <c r="D222" s="81">
        <f t="shared" si="87"/>
        <v>2</v>
      </c>
      <c r="E222" s="81">
        <f t="shared" si="87"/>
        <v>2</v>
      </c>
      <c r="F222" s="81">
        <f t="shared" si="87"/>
        <v>2</v>
      </c>
      <c r="G222" s="82">
        <f t="shared" si="87"/>
        <v>2</v>
      </c>
      <c r="H222" s="3">
        <f t="shared" si="87"/>
        <v>2</v>
      </c>
      <c r="I222" s="3">
        <f t="shared" si="87"/>
        <v>2</v>
      </c>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spans="1:44" s="3" customFormat="1">
      <c r="A223" s="3" t="s">
        <v>108</v>
      </c>
      <c r="B223" s="81">
        <f>B31/19*23/B$192</f>
        <v>0</v>
      </c>
      <c r="C223" s="81">
        <f>C31/19*23/C$192</f>
        <v>0</v>
      </c>
      <c r="D223" s="81">
        <f>D31/19*23/D$192</f>
        <v>0</v>
      </c>
      <c r="E223" s="81">
        <f>E31/19*23/E$192</f>
        <v>0</v>
      </c>
      <c r="F223" s="81">
        <f>F31/19*23/F$192</f>
        <v>0</v>
      </c>
      <c r="G223" s="82">
        <f>G31/19*23/G$192</f>
        <v>0</v>
      </c>
      <c r="H223" s="3">
        <f>H31/19*23/H$192</f>
        <v>0</v>
      </c>
      <c r="I223" s="3">
        <f>I31/19*23/I$192</f>
        <v>0</v>
      </c>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spans="1:44" s="3" customFormat="1">
      <c r="A224" s="3" t="s">
        <v>109</v>
      </c>
      <c r="B224" s="83">
        <f>B32/35.457*23/B$192</f>
        <v>0</v>
      </c>
      <c r="C224" s="83">
        <f>C32/35.457*23/C$192</f>
        <v>0</v>
      </c>
      <c r="D224" s="83">
        <f>D32/35.457*23/D$192</f>
        <v>0</v>
      </c>
      <c r="E224" s="83">
        <f>E32/35.457*23/E$192</f>
        <v>0</v>
      </c>
      <c r="F224" s="83">
        <f>F32/35.457*23/F$192</f>
        <v>0</v>
      </c>
      <c r="G224" s="84">
        <f>G32/35.457*23/G$192</f>
        <v>0</v>
      </c>
      <c r="H224" s="5">
        <f>H32/35.457*23/H$192</f>
        <v>0</v>
      </c>
      <c r="I224" s="5">
        <f>I32/35.457*23/I$192</f>
        <v>0</v>
      </c>
      <c r="J224" s="5"/>
      <c r="K224" s="5"/>
      <c r="L224" s="5"/>
      <c r="M224" s="5"/>
      <c r="N224" s="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spans="1:44" s="3" customFormat="1">
      <c r="B225" s="81">
        <f t="shared" ref="B225:I225" si="88">SUM(B221:B224)</f>
        <v>2</v>
      </c>
      <c r="C225" s="81">
        <f t="shared" si="88"/>
        <v>2</v>
      </c>
      <c r="D225" s="81">
        <f t="shared" si="88"/>
        <v>2</v>
      </c>
      <c r="E225" s="81">
        <f t="shared" si="88"/>
        <v>2</v>
      </c>
      <c r="F225" s="81">
        <f t="shared" si="88"/>
        <v>2</v>
      </c>
      <c r="G225" s="82">
        <f t="shared" si="88"/>
        <v>2</v>
      </c>
      <c r="H225" s="3">
        <f t="shared" si="88"/>
        <v>2</v>
      </c>
      <c r="I225" s="3">
        <f t="shared" si="88"/>
        <v>2</v>
      </c>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spans="1:44" s="3" customFormat="1">
      <c r="B226" s="81"/>
      <c r="C226" s="81"/>
      <c r="D226" s="81"/>
      <c r="E226" s="81"/>
      <c r="F226" s="81"/>
      <c r="G226" s="82"/>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spans="1:44" s="3" customFormat="1">
      <c r="A227" s="3" t="s">
        <v>76</v>
      </c>
      <c r="B227" s="81">
        <f t="shared" ref="B227:I227" si="89">8+5+B213+B218</f>
        <v>15.939926251169908</v>
      </c>
      <c r="C227" s="81">
        <f t="shared" si="89"/>
        <v>16.000660518521947</v>
      </c>
      <c r="D227" s="81">
        <f t="shared" si="89"/>
        <v>15.865487090136408</v>
      </c>
      <c r="E227" s="81">
        <f t="shared" si="89"/>
        <v>15.930079194133157</v>
      </c>
      <c r="F227" s="81">
        <f t="shared" si="89"/>
        <v>15.844709224855384</v>
      </c>
      <c r="G227" s="82">
        <f t="shared" si="89"/>
        <v>15.876609457651055</v>
      </c>
      <c r="H227" s="3">
        <f t="shared" si="89"/>
        <v>15.520734124447129</v>
      </c>
      <c r="I227" s="3">
        <f t="shared" si="89"/>
        <v>15.448365992630128</v>
      </c>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spans="1:44" s="3" customFormat="1">
      <c r="A228" s="3" t="s">
        <v>77</v>
      </c>
      <c r="B228" s="81">
        <f t="shared" ref="B228:I228" si="90">(B195+B202)*4+(B196+B201+B203)*3+(B204+B205+B206+B207+B210+B211+B215)*2+B212+B216+B217</f>
        <v>45.999999999999993</v>
      </c>
      <c r="C228" s="81">
        <f t="shared" si="90"/>
        <v>46</v>
      </c>
      <c r="D228" s="81">
        <f t="shared" si="90"/>
        <v>45.999999999999993</v>
      </c>
      <c r="E228" s="81">
        <f t="shared" si="90"/>
        <v>46</v>
      </c>
      <c r="F228" s="81">
        <f t="shared" si="90"/>
        <v>46.000000000000014</v>
      </c>
      <c r="G228" s="82">
        <f t="shared" si="90"/>
        <v>46</v>
      </c>
      <c r="H228" s="3">
        <f t="shared" si="90"/>
        <v>45.999999999999986</v>
      </c>
      <c r="I228" s="3">
        <f t="shared" si="90"/>
        <v>46</v>
      </c>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spans="1:44" s="3" customFormat="1">
      <c r="A229" s="3" t="s">
        <v>90</v>
      </c>
      <c r="B229" s="81">
        <f t="shared" ref="B229:I229" si="91">16/B227</f>
        <v>1.0037687595214364</v>
      </c>
      <c r="C229" s="81">
        <f t="shared" si="91"/>
        <v>0.99995871929654512</v>
      </c>
      <c r="D229" s="81">
        <f t="shared" si="91"/>
        <v>1.0084783347085018</v>
      </c>
      <c r="E229" s="81">
        <f t="shared" si="91"/>
        <v>1.0043892315295329</v>
      </c>
      <c r="F229" s="81">
        <f t="shared" si="91"/>
        <v>1.0098007967795972</v>
      </c>
      <c r="G229" s="82">
        <f t="shared" si="91"/>
        <v>1.0077718446547466</v>
      </c>
      <c r="H229" s="3">
        <f t="shared" si="91"/>
        <v>1.0308790725818804</v>
      </c>
      <c r="I229" s="3">
        <f t="shared" si="91"/>
        <v>1.0357082430357383</v>
      </c>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spans="1:44" s="3" customFormat="1">
      <c r="A230" s="3" t="s">
        <v>2</v>
      </c>
      <c r="B230" s="81">
        <f t="shared" ref="B230:I230" si="92">8/B195</f>
        <v>1.3444182960092492</v>
      </c>
      <c r="C230" s="81">
        <f t="shared" si="92"/>
        <v>1.3486201312901964</v>
      </c>
      <c r="D230" s="81">
        <f t="shared" si="92"/>
        <v>1.3190963024715119</v>
      </c>
      <c r="E230" s="81">
        <f t="shared" si="92"/>
        <v>1.3233882515264024</v>
      </c>
      <c r="F230" s="81">
        <f t="shared" si="92"/>
        <v>1.295103282792176</v>
      </c>
      <c r="G230" s="82">
        <f t="shared" si="92"/>
        <v>1.3044524264080779</v>
      </c>
      <c r="H230" s="3">
        <f t="shared" si="92"/>
        <v>1.1211767610422887</v>
      </c>
      <c r="I230" s="3">
        <f t="shared" si="92"/>
        <v>1.1047900275430531</v>
      </c>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spans="1:44" s="3" customFormat="1">
      <c r="A231" s="3" t="s">
        <v>3</v>
      </c>
      <c r="B231" s="81">
        <f t="shared" ref="B231:I231" si="93">15/(B227-(B212+B216+B217))</f>
        <v>0.99486788071484666</v>
      </c>
      <c r="C231" s="81">
        <f t="shared" si="93"/>
        <v>0.99102256927640531</v>
      </c>
      <c r="D231" s="81">
        <f t="shared" si="93"/>
        <v>1.0010015912422943</v>
      </c>
      <c r="E231" s="81">
        <f t="shared" si="93"/>
        <v>0.99623758477347024</v>
      </c>
      <c r="F231" s="81">
        <f t="shared" si="93"/>
        <v>0.99885639930685266</v>
      </c>
      <c r="G231" s="82">
        <f t="shared" si="93"/>
        <v>0.99819393109643029</v>
      </c>
      <c r="H231" s="3">
        <f t="shared" si="93"/>
        <v>0.99616157249291903</v>
      </c>
      <c r="I231" s="3">
        <f t="shared" si="93"/>
        <v>0.99859166581863812</v>
      </c>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spans="1:44" s="3" customFormat="1">
      <c r="A232" s="3" t="s">
        <v>4</v>
      </c>
      <c r="B232" s="81">
        <f t="shared" ref="B232:I232" si="94">2/(B211+B215)</f>
        <v>1.0728220016739902</v>
      </c>
      <c r="C232" s="81">
        <f t="shared" si="94"/>
        <v>1.0436076978690358</v>
      </c>
      <c r="D232" s="81">
        <f t="shared" si="94"/>
        <v>1.0771851483154782</v>
      </c>
      <c r="E232" s="81">
        <f t="shared" si="94"/>
        <v>1.0939989800802339</v>
      </c>
      <c r="F232" s="81">
        <f t="shared" si="94"/>
        <v>1.0857605628975231</v>
      </c>
      <c r="G232" s="82">
        <f t="shared" si="94"/>
        <v>1.0925403444208794</v>
      </c>
      <c r="H232" s="3">
        <f t="shared" si="94"/>
        <v>1.0916752171860775</v>
      </c>
      <c r="I232" s="3">
        <f t="shared" si="94"/>
        <v>1.1324455436874881</v>
      </c>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spans="1:44" s="3" customFormat="1">
      <c r="A233" s="3" t="s">
        <v>5</v>
      </c>
      <c r="B233" s="81">
        <f>1</f>
        <v>1</v>
      </c>
      <c r="C233" s="81">
        <f>1</f>
        <v>1</v>
      </c>
      <c r="D233" s="81">
        <f>1</f>
        <v>1</v>
      </c>
      <c r="E233" s="81">
        <f>1</f>
        <v>1</v>
      </c>
      <c r="F233" s="81">
        <f>1</f>
        <v>1</v>
      </c>
      <c r="G233" s="82">
        <f>1</f>
        <v>1</v>
      </c>
      <c r="H233" s="3">
        <f>1</f>
        <v>1</v>
      </c>
      <c r="I233" s="3">
        <f>1</f>
        <v>1</v>
      </c>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spans="1:44" s="3" customFormat="1">
      <c r="A234" s="3" t="s">
        <v>6</v>
      </c>
      <c r="B234" s="81">
        <f t="shared" ref="B234:I234" si="95">8/(B195+B198)</f>
        <v>0.95652166476045064</v>
      </c>
      <c r="C234" s="81">
        <f t="shared" si="95"/>
        <v>0.96134304932342429</v>
      </c>
      <c r="D234" s="81">
        <f t="shared" si="95"/>
        <v>0.95413176233554631</v>
      </c>
      <c r="E234" s="81">
        <f t="shared" si="95"/>
        <v>0.95594916966240495</v>
      </c>
      <c r="F234" s="81">
        <f t="shared" si="95"/>
        <v>0.95712195187589999</v>
      </c>
      <c r="G234" s="82">
        <f t="shared" si="95"/>
        <v>0.95374683770583424</v>
      </c>
      <c r="H234" s="3">
        <f t="shared" si="95"/>
        <v>0.9822039087674721</v>
      </c>
      <c r="I234" s="3">
        <f t="shared" si="95"/>
        <v>0.98101838321519474</v>
      </c>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spans="1:44" s="3" customFormat="1">
      <c r="A235" s="3" t="s">
        <v>7</v>
      </c>
      <c r="B235" s="81">
        <f t="shared" ref="B235:I235" si="96">15/(B227-B217)</f>
        <v>0.94612608687211985</v>
      </c>
      <c r="C235" s="81">
        <f t="shared" si="96"/>
        <v>0.94295223604211642</v>
      </c>
      <c r="D235" s="81">
        <f t="shared" si="96"/>
        <v>0.95095075349278579</v>
      </c>
      <c r="E235" s="81">
        <f t="shared" si="96"/>
        <v>0.94674487718678679</v>
      </c>
      <c r="F235" s="81">
        <f t="shared" si="96"/>
        <v>0.9558828989207746</v>
      </c>
      <c r="G235" s="82">
        <f t="shared" si="96"/>
        <v>0.95294870163110523</v>
      </c>
      <c r="H235" s="3">
        <f t="shared" si="96"/>
        <v>0.97337131853139847</v>
      </c>
      <c r="I235" s="3">
        <f t="shared" si="96"/>
        <v>0.97771496459862695</v>
      </c>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spans="1:44" s="3" customFormat="1">
      <c r="A236" s="3" t="s">
        <v>8</v>
      </c>
      <c r="B236" s="81">
        <f t="shared" ref="B236:I236" si="97">12.9/(B227-(B207+B211+B212+B215+B216+B217))</f>
        <v>0.97630110410293391</v>
      </c>
      <c r="C236" s="81">
        <f t="shared" si="97"/>
        <v>0.97583467368422872</v>
      </c>
      <c r="D236" s="81">
        <f t="shared" si="97"/>
        <v>0.98261007639547981</v>
      </c>
      <c r="E236" s="81">
        <f t="shared" si="97"/>
        <v>0.97516768763291584</v>
      </c>
      <c r="F236" s="81">
        <f t="shared" si="97"/>
        <v>0.97911621759221856</v>
      </c>
      <c r="G236" s="82">
        <f t="shared" si="97"/>
        <v>0.97752865938176792</v>
      </c>
      <c r="H236" s="3">
        <f t="shared" si="97"/>
        <v>0.97536990266640844</v>
      </c>
      <c r="I236" s="3">
        <f t="shared" si="97"/>
        <v>0.97321284688394538</v>
      </c>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spans="1:44" s="3" customFormat="1">
      <c r="A237" s="3" t="s">
        <v>9</v>
      </c>
      <c r="B237" s="81">
        <f t="shared" ref="B237:I237" si="98">36/(46+B198+B195+B202)</f>
        <v>0.65816053351084836</v>
      </c>
      <c r="C237" s="81">
        <f t="shared" si="98"/>
        <v>0.65901983857513569</v>
      </c>
      <c r="D237" s="81">
        <f t="shared" si="98"/>
        <v>0.65771834868854739</v>
      </c>
      <c r="E237" s="81">
        <f t="shared" si="98"/>
        <v>0.65851553662745288</v>
      </c>
      <c r="F237" s="81">
        <f t="shared" si="98"/>
        <v>0.65862054874160414</v>
      </c>
      <c r="G237" s="82">
        <f t="shared" si="98"/>
        <v>0.65842790992676958</v>
      </c>
      <c r="H237" s="3">
        <f t="shared" si="98"/>
        <v>0.66401640697506736</v>
      </c>
      <c r="I237" s="3">
        <f t="shared" si="98"/>
        <v>0.66393668600474232</v>
      </c>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spans="1:44" s="3" customFormat="1">
      <c r="A238" s="3" t="s">
        <v>10</v>
      </c>
      <c r="B238" s="81">
        <f t="shared" ref="B238:I238" si="99">1-((B203+B206)/46)</f>
        <v>0.97645706444393876</v>
      </c>
      <c r="C238" s="81">
        <f t="shared" si="99"/>
        <v>0.9738791519272807</v>
      </c>
      <c r="D238" s="81">
        <f t="shared" si="99"/>
        <v>0.97288721480166374</v>
      </c>
      <c r="E238" s="81">
        <f t="shared" si="99"/>
        <v>0.97020389526177719</v>
      </c>
      <c r="F238" s="81">
        <f t="shared" si="99"/>
        <v>0.977320263553353</v>
      </c>
      <c r="G238" s="82">
        <f t="shared" si="99"/>
        <v>0.97560097246057553</v>
      </c>
      <c r="H238" s="3">
        <f t="shared" si="99"/>
        <v>0.96675707256259091</v>
      </c>
      <c r="I238" s="3">
        <f t="shared" si="99"/>
        <v>0.96847964243312523</v>
      </c>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row r="239" spans="1:44" s="3" customFormat="1">
      <c r="A239" s="3" t="s">
        <v>11</v>
      </c>
      <c r="B239" s="81">
        <f t="shared" ref="B239:I239" si="100">MIN(B229:B233)</f>
        <v>0.99486788071484666</v>
      </c>
      <c r="C239" s="81">
        <f t="shared" si="100"/>
        <v>0.99102256927640531</v>
      </c>
      <c r="D239" s="81">
        <f t="shared" si="100"/>
        <v>1</v>
      </c>
      <c r="E239" s="81">
        <f t="shared" si="100"/>
        <v>0.99623758477347024</v>
      </c>
      <c r="F239" s="81">
        <f t="shared" si="100"/>
        <v>0.99885639930685266</v>
      </c>
      <c r="G239" s="82">
        <f t="shared" si="100"/>
        <v>0.99819393109643029</v>
      </c>
      <c r="H239" s="3">
        <f t="shared" si="100"/>
        <v>0.99616157249291903</v>
      </c>
      <c r="I239" s="3">
        <f t="shared" si="100"/>
        <v>0.99859166581863812</v>
      </c>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row>
    <row r="240" spans="1:44" s="3" customFormat="1">
      <c r="A240" s="3" t="s">
        <v>12</v>
      </c>
      <c r="B240" s="81">
        <f t="shared" ref="B240:I240" si="101">MAX(B234:B238)</f>
        <v>0.97645706444393876</v>
      </c>
      <c r="C240" s="81">
        <f t="shared" si="101"/>
        <v>0.97583467368422872</v>
      </c>
      <c r="D240" s="81">
        <f t="shared" si="101"/>
        <v>0.98261007639547981</v>
      </c>
      <c r="E240" s="81">
        <f t="shared" si="101"/>
        <v>0.97516768763291584</v>
      </c>
      <c r="F240" s="81">
        <f t="shared" si="101"/>
        <v>0.97911621759221856</v>
      </c>
      <c r="G240" s="82">
        <f t="shared" si="101"/>
        <v>0.97752865938176792</v>
      </c>
      <c r="H240" s="3">
        <f t="shared" si="101"/>
        <v>0.9822039087674721</v>
      </c>
      <c r="I240" s="3">
        <f t="shared" si="101"/>
        <v>0.98101838321519474</v>
      </c>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row>
    <row r="241" spans="1:44" s="3" customFormat="1">
      <c r="A241" s="3" t="s">
        <v>13</v>
      </c>
      <c r="B241" s="81">
        <f t="shared" ref="B241:I241" si="102">AVERAGE(B239:B240)</f>
        <v>0.98566247257939277</v>
      </c>
      <c r="C241" s="81">
        <f t="shared" si="102"/>
        <v>0.98342862148031696</v>
      </c>
      <c r="D241" s="81">
        <f t="shared" si="102"/>
        <v>0.99130503819773996</v>
      </c>
      <c r="E241" s="81">
        <f t="shared" si="102"/>
        <v>0.98570263620319309</v>
      </c>
      <c r="F241" s="81">
        <f t="shared" si="102"/>
        <v>0.98898630844953561</v>
      </c>
      <c r="G241" s="82">
        <f t="shared" si="102"/>
        <v>0.98786129523909905</v>
      </c>
      <c r="H241" s="3">
        <f t="shared" si="102"/>
        <v>0.98918274063019562</v>
      </c>
      <c r="I241" s="3">
        <f t="shared" si="102"/>
        <v>0.98980502451691643</v>
      </c>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row>
  </sheetData>
  <pageMargins left="0.75" right="0.75" top="1" bottom="0.5" header="0.5" footer="0.5"/>
  <pageSetup paperSize="0" scale="0" orientation="portrait" horizontalDpi="0" verticalDpi="0" copies="0"/>
  <headerFooter alignWithMargins="0">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38"/>
  <sheetViews>
    <sheetView topLeftCell="A22" workbookViewId="0">
      <selection activeCell="E46" sqref="E46"/>
    </sheetView>
  </sheetViews>
  <sheetFormatPr defaultColWidth="12.44140625" defaultRowHeight="13.2"/>
  <cols>
    <col min="1" max="1" width="12.44140625" customWidth="1"/>
    <col min="2" max="6" width="6.5546875" style="63" customWidth="1"/>
    <col min="7" max="7" width="6.5546875" style="64" customWidth="1"/>
    <col min="8" max="14" width="6.5546875" customWidth="1"/>
    <col min="15" max="44" width="6.5546875" style="14" customWidth="1"/>
    <col min="45" max="220" width="6.5546875" customWidth="1"/>
  </cols>
  <sheetData>
    <row r="1" spans="1:6">
      <c r="A1" s="39" t="s">
        <v>14</v>
      </c>
      <c r="E1" s="64"/>
      <c r="F1" s="64"/>
    </row>
    <row r="2" spans="1:6">
      <c r="A2" s="39" t="s">
        <v>15</v>
      </c>
      <c r="E2" s="64"/>
      <c r="F2" s="64"/>
    </row>
    <row r="3" spans="1:6">
      <c r="E3" s="64"/>
      <c r="F3" s="64"/>
    </row>
    <row r="4" spans="1:6">
      <c r="A4" s="10" t="s">
        <v>16</v>
      </c>
      <c r="E4" s="64"/>
      <c r="F4" s="64"/>
    </row>
    <row r="5" spans="1:6">
      <c r="A5" t="s">
        <v>17</v>
      </c>
      <c r="B5" s="63" t="s">
        <v>18</v>
      </c>
      <c r="E5" s="64"/>
      <c r="F5" s="64"/>
    </row>
    <row r="6" spans="1:6">
      <c r="B6" s="63" t="s">
        <v>161</v>
      </c>
      <c r="E6" s="64"/>
      <c r="F6" s="64"/>
    </row>
    <row r="7" spans="1:6">
      <c r="B7" s="63" t="s">
        <v>40</v>
      </c>
      <c r="E7" s="64"/>
      <c r="F7" s="64"/>
    </row>
    <row r="8" spans="1:6">
      <c r="B8" s="63" t="s">
        <v>41</v>
      </c>
      <c r="E8" s="64"/>
      <c r="F8" s="64"/>
    </row>
    <row r="9" spans="1:6">
      <c r="B9" s="63" t="s">
        <v>157</v>
      </c>
      <c r="E9" s="64"/>
      <c r="F9" s="64"/>
    </row>
    <row r="10" spans="1:6">
      <c r="B10" s="63" t="s">
        <v>158</v>
      </c>
      <c r="E10" s="64"/>
      <c r="F10" s="64"/>
    </row>
    <row r="11" spans="1:6">
      <c r="B11" s="63" t="s">
        <v>159</v>
      </c>
      <c r="E11" s="64"/>
      <c r="F11" s="64"/>
    </row>
    <row r="12" spans="1:6">
      <c r="B12" s="63" t="s">
        <v>160</v>
      </c>
      <c r="E12" s="64"/>
      <c r="F12" s="64"/>
    </row>
    <row r="13" spans="1:6">
      <c r="E13" s="64"/>
      <c r="F13" s="64"/>
    </row>
    <row r="14" spans="1:6">
      <c r="A14" t="s">
        <v>125</v>
      </c>
      <c r="E14" s="64"/>
      <c r="F14" s="64"/>
    </row>
    <row r="15" spans="1:6">
      <c r="B15" s="63" t="s">
        <v>42</v>
      </c>
      <c r="E15" s="64"/>
      <c r="F15" s="64"/>
    </row>
    <row r="16" spans="1:6">
      <c r="A16" s="14"/>
      <c r="B16" s="65" t="s">
        <v>43</v>
      </c>
      <c r="E16" s="64"/>
      <c r="F16" s="64"/>
    </row>
    <row r="17" spans="1:44">
      <c r="A17" s="14"/>
      <c r="B17" s="65"/>
      <c r="E17" s="64"/>
      <c r="F17" s="64"/>
    </row>
    <row r="18" spans="1:44">
      <c r="A18" s="15" t="s">
        <v>78</v>
      </c>
      <c r="E18" s="64"/>
      <c r="F18" s="66" t="s">
        <v>79</v>
      </c>
    </row>
    <row r="19" spans="1:44">
      <c r="A19" s="16" t="s">
        <v>80</v>
      </c>
      <c r="B19" s="67" t="s">
        <v>81</v>
      </c>
      <c r="C19" s="67" t="s">
        <v>81</v>
      </c>
      <c r="D19" s="67" t="s">
        <v>81</v>
      </c>
      <c r="E19" s="67" t="s">
        <v>81</v>
      </c>
      <c r="F19" s="67" t="s">
        <v>81</v>
      </c>
      <c r="G19" s="67" t="s">
        <v>81</v>
      </c>
      <c r="H19" s="36" t="s">
        <v>81</v>
      </c>
      <c r="I19" s="36" t="s">
        <v>81</v>
      </c>
      <c r="J19" s="36" t="s">
        <v>81</v>
      </c>
      <c r="K19" s="36" t="s">
        <v>81</v>
      </c>
      <c r="L19" s="36" t="s">
        <v>81</v>
      </c>
      <c r="M19" s="36" t="s">
        <v>81</v>
      </c>
      <c r="N19" s="36" t="s">
        <v>81</v>
      </c>
    </row>
    <row r="20" spans="1:44" s="7" customFormat="1">
      <c r="A20" s="7" t="s">
        <v>82</v>
      </c>
      <c r="B20" s="68" t="s">
        <v>83</v>
      </c>
      <c r="C20" s="68" t="s">
        <v>83</v>
      </c>
      <c r="D20" s="68" t="s">
        <v>83</v>
      </c>
      <c r="E20" s="68" t="s">
        <v>83</v>
      </c>
      <c r="F20" s="68" t="s">
        <v>83</v>
      </c>
      <c r="G20" s="68" t="s">
        <v>83</v>
      </c>
      <c r="H20" s="37" t="s">
        <v>84</v>
      </c>
      <c r="I20" s="37" t="s">
        <v>84</v>
      </c>
      <c r="J20" s="37" t="s">
        <v>84</v>
      </c>
      <c r="K20" s="37" t="s">
        <v>84</v>
      </c>
      <c r="L20" s="37" t="s">
        <v>85</v>
      </c>
      <c r="M20" s="37" t="s">
        <v>85</v>
      </c>
      <c r="N20" s="37" t="s">
        <v>85</v>
      </c>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row>
    <row r="21" spans="1:44">
      <c r="A21" s="17" t="s">
        <v>86</v>
      </c>
      <c r="B21" s="69" t="s">
        <v>87</v>
      </c>
      <c r="C21" s="69" t="s">
        <v>88</v>
      </c>
      <c r="D21" s="69" t="s">
        <v>89</v>
      </c>
      <c r="E21" s="69" t="s">
        <v>90</v>
      </c>
      <c r="F21" s="69" t="s">
        <v>91</v>
      </c>
      <c r="G21" s="69" t="s">
        <v>92</v>
      </c>
      <c r="H21" s="38" t="s">
        <v>90</v>
      </c>
      <c r="I21" s="38" t="s">
        <v>93</v>
      </c>
      <c r="J21" s="38" t="s">
        <v>94</v>
      </c>
      <c r="K21" s="38" t="s">
        <v>95</v>
      </c>
      <c r="L21" s="38" t="s">
        <v>96</v>
      </c>
      <c r="M21" s="38" t="s">
        <v>97</v>
      </c>
      <c r="N21" s="38" t="s">
        <v>98</v>
      </c>
    </row>
    <row r="22" spans="1:44" s="1" customFormat="1">
      <c r="A22" s="1" t="s">
        <v>99</v>
      </c>
      <c r="B22" s="63">
        <v>40.700000000000003</v>
      </c>
      <c r="C22" s="63">
        <v>39.799999999999997</v>
      </c>
      <c r="D22" s="63">
        <v>41.3</v>
      </c>
      <c r="E22" s="63">
        <v>41.1</v>
      </c>
      <c r="F22" s="63">
        <v>42.4</v>
      </c>
      <c r="G22" s="63">
        <v>42</v>
      </c>
      <c r="H22" s="30">
        <v>48.66</v>
      </c>
      <c r="I22" s="30">
        <v>48.59</v>
      </c>
      <c r="J22" s="30">
        <v>49.21</v>
      </c>
      <c r="K22" s="30">
        <v>48.8</v>
      </c>
      <c r="L22" s="30">
        <v>48.88</v>
      </c>
      <c r="M22" s="30">
        <v>47.27</v>
      </c>
      <c r="N22" s="30">
        <v>46.97</v>
      </c>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row>
    <row r="23" spans="1:44" s="1" customFormat="1">
      <c r="A23" s="1" t="s">
        <v>100</v>
      </c>
      <c r="B23" s="63">
        <v>3.04</v>
      </c>
      <c r="C23" s="63">
        <v>2.72</v>
      </c>
      <c r="D23" s="63">
        <v>3.17</v>
      </c>
      <c r="E23" s="63">
        <v>2.71</v>
      </c>
      <c r="F23" s="63">
        <v>2.75</v>
      </c>
      <c r="G23" s="63">
        <v>2.62</v>
      </c>
      <c r="H23" s="30">
        <v>0.64</v>
      </c>
      <c r="I23" s="30">
        <v>0.6</v>
      </c>
      <c r="J23" s="30">
        <v>0.81</v>
      </c>
      <c r="K23" s="30">
        <v>0.57999999999999996</v>
      </c>
      <c r="L23" s="30">
        <v>0.75</v>
      </c>
      <c r="M23" s="30">
        <v>0.75</v>
      </c>
      <c r="N23" s="30">
        <v>1.29</v>
      </c>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row>
    <row r="24" spans="1:44" s="1" customFormat="1">
      <c r="A24" s="1" t="s">
        <v>101</v>
      </c>
      <c r="B24" s="63">
        <v>14</v>
      </c>
      <c r="C24" s="63">
        <v>13.6</v>
      </c>
      <c r="D24" s="63">
        <v>13.4</v>
      </c>
      <c r="E24" s="63">
        <v>13.4</v>
      </c>
      <c r="F24" s="63">
        <v>12.7</v>
      </c>
      <c r="G24" s="63">
        <v>13.1</v>
      </c>
      <c r="H24" s="30">
        <v>5.84</v>
      </c>
      <c r="I24" s="30">
        <v>5.2</v>
      </c>
      <c r="J24" s="30">
        <v>5.79</v>
      </c>
      <c r="K24" s="30">
        <v>5.32</v>
      </c>
      <c r="L24" s="30">
        <v>5.69</v>
      </c>
      <c r="M24" s="30">
        <v>6.07</v>
      </c>
      <c r="N24" s="30">
        <v>7.14</v>
      </c>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row>
    <row r="25" spans="1:44" s="1" customFormat="1">
      <c r="A25" s="1" t="s">
        <v>102</v>
      </c>
      <c r="B25" s="63">
        <v>10.6</v>
      </c>
      <c r="C25" s="63">
        <v>11.4</v>
      </c>
      <c r="D25" s="63">
        <v>11.2</v>
      </c>
      <c r="E25" s="63">
        <v>13</v>
      </c>
      <c r="F25" s="63">
        <v>10</v>
      </c>
      <c r="G25" s="63">
        <v>10.8</v>
      </c>
      <c r="H25" s="30">
        <v>14.31</v>
      </c>
      <c r="I25" s="30">
        <v>13.68</v>
      </c>
      <c r="J25" s="30">
        <v>14.24</v>
      </c>
      <c r="K25" s="30">
        <v>13.48</v>
      </c>
      <c r="L25" s="30">
        <v>14.53</v>
      </c>
      <c r="M25" s="30">
        <v>14.34</v>
      </c>
      <c r="N25" s="30">
        <v>14.76</v>
      </c>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row>
    <row r="26" spans="1:44" s="1" customFormat="1">
      <c r="A26" s="1" t="s">
        <v>103</v>
      </c>
      <c r="B26" s="63">
        <v>14.7</v>
      </c>
      <c r="C26" s="63">
        <v>14.2</v>
      </c>
      <c r="D26" s="63">
        <v>13.7</v>
      </c>
      <c r="E26" s="63">
        <v>13.4</v>
      </c>
      <c r="F26" s="63">
        <v>15.1</v>
      </c>
      <c r="G26" s="63">
        <v>14.6</v>
      </c>
      <c r="H26" s="30">
        <v>14.39</v>
      </c>
      <c r="I26" s="30">
        <v>14.49</v>
      </c>
      <c r="J26" s="30">
        <v>14.23</v>
      </c>
      <c r="K26" s="30">
        <v>14.61</v>
      </c>
      <c r="L26" s="30">
        <v>14.27</v>
      </c>
      <c r="M26" s="30">
        <v>14.01</v>
      </c>
      <c r="N26" s="30">
        <v>13.54</v>
      </c>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row>
    <row r="27" spans="1:44" s="1" customFormat="1">
      <c r="A27" s="1" t="s">
        <v>104</v>
      </c>
      <c r="B27" s="63">
        <v>0.13</v>
      </c>
      <c r="C27" s="63">
        <v>0.14000000000000001</v>
      </c>
      <c r="D27" s="63">
        <v>0.16</v>
      </c>
      <c r="E27" s="63">
        <v>0.19</v>
      </c>
      <c r="F27" s="63">
        <v>0.15</v>
      </c>
      <c r="G27" s="63">
        <v>0.2</v>
      </c>
      <c r="H27" s="30">
        <v>0.89</v>
      </c>
      <c r="I27" s="30">
        <v>0.87</v>
      </c>
      <c r="J27" s="30">
        <v>0.81</v>
      </c>
      <c r="K27" s="30">
        <v>0.85</v>
      </c>
      <c r="L27" s="30">
        <v>0.81</v>
      </c>
      <c r="M27" s="30">
        <v>0.73</v>
      </c>
      <c r="N27" s="30">
        <v>0.69299999999999995</v>
      </c>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row>
    <row r="28" spans="1:44" s="1" customFormat="1">
      <c r="A28" s="1" t="s">
        <v>105</v>
      </c>
      <c r="B28" s="63">
        <v>11.9</v>
      </c>
      <c r="C28" s="63">
        <v>12</v>
      </c>
      <c r="D28" s="63">
        <v>11.8</v>
      </c>
      <c r="E28" s="63">
        <v>11.6</v>
      </c>
      <c r="F28" s="63">
        <v>11.8</v>
      </c>
      <c r="G28" s="63">
        <v>11.7</v>
      </c>
      <c r="H28" s="30">
        <v>11.66</v>
      </c>
      <c r="I28" s="30">
        <v>11.06</v>
      </c>
      <c r="J28" s="30">
        <v>11.41</v>
      </c>
      <c r="K28" s="30">
        <v>11.64</v>
      </c>
      <c r="L28" s="30">
        <v>12.01</v>
      </c>
      <c r="M28" s="30">
        <v>11.76</v>
      </c>
      <c r="N28" s="30">
        <v>11.88</v>
      </c>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row>
    <row r="29" spans="1:44" s="1" customFormat="1">
      <c r="A29" s="1" t="s">
        <v>106</v>
      </c>
      <c r="B29" s="63">
        <v>2.74</v>
      </c>
      <c r="C29" s="63">
        <v>2.67</v>
      </c>
      <c r="D29" s="63">
        <v>2.77</v>
      </c>
      <c r="E29" s="63">
        <v>2.76</v>
      </c>
      <c r="F29" s="63">
        <v>2.39</v>
      </c>
      <c r="G29" s="63">
        <v>2.52</v>
      </c>
      <c r="H29" s="30">
        <v>1.24</v>
      </c>
      <c r="I29" s="30">
        <v>1.1100000000000001</v>
      </c>
      <c r="J29" s="30">
        <v>1.29</v>
      </c>
      <c r="K29" s="30">
        <v>1.08</v>
      </c>
      <c r="L29" s="30">
        <v>1.2</v>
      </c>
      <c r="M29" s="30">
        <v>1.34</v>
      </c>
      <c r="N29" s="30">
        <v>1.53</v>
      </c>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row>
    <row r="30" spans="1:44" s="1" customFormat="1">
      <c r="A30" s="1" t="s">
        <v>107</v>
      </c>
      <c r="B30" s="63">
        <v>0.46</v>
      </c>
      <c r="C30" s="63">
        <v>0.49</v>
      </c>
      <c r="D30" s="63">
        <v>0.49</v>
      </c>
      <c r="E30" s="63">
        <v>0.46</v>
      </c>
      <c r="F30" s="63">
        <v>0.82</v>
      </c>
      <c r="G30" s="63">
        <v>0.73</v>
      </c>
      <c r="H30" s="30">
        <v>0.59</v>
      </c>
      <c r="I30" s="30">
        <v>0.56000000000000005</v>
      </c>
      <c r="J30" s="30">
        <v>0.64</v>
      </c>
      <c r="K30" s="30">
        <v>0.53</v>
      </c>
      <c r="L30" s="30">
        <v>0.68</v>
      </c>
      <c r="M30" s="30">
        <v>0.69</v>
      </c>
      <c r="N30" s="30">
        <v>0.9</v>
      </c>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row>
    <row r="31" spans="1:44" s="1" customFormat="1">
      <c r="A31" s="1" t="s">
        <v>108</v>
      </c>
      <c r="B31" s="70">
        <v>0</v>
      </c>
      <c r="C31" s="70">
        <v>0</v>
      </c>
      <c r="D31" s="70">
        <v>0</v>
      </c>
      <c r="E31" s="70">
        <v>0</v>
      </c>
      <c r="F31" s="70">
        <v>0</v>
      </c>
      <c r="G31" s="70">
        <v>0</v>
      </c>
      <c r="H31" s="30">
        <v>0</v>
      </c>
      <c r="I31" s="30">
        <v>0</v>
      </c>
      <c r="J31" s="30">
        <v>0</v>
      </c>
      <c r="K31" s="30">
        <v>0</v>
      </c>
      <c r="L31" s="30">
        <v>0</v>
      </c>
      <c r="M31" s="30">
        <v>0</v>
      </c>
      <c r="N31" s="30">
        <v>0</v>
      </c>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row>
    <row r="32" spans="1:44" s="6" customFormat="1">
      <c r="A32" s="6" t="s">
        <v>109</v>
      </c>
      <c r="B32" s="71">
        <v>0</v>
      </c>
      <c r="C32" s="71">
        <v>0</v>
      </c>
      <c r="D32" s="71">
        <v>0</v>
      </c>
      <c r="E32" s="71">
        <v>0</v>
      </c>
      <c r="F32" s="71">
        <v>0</v>
      </c>
      <c r="G32" s="71">
        <v>0</v>
      </c>
      <c r="H32" s="35">
        <v>0</v>
      </c>
      <c r="I32" s="35">
        <v>0</v>
      </c>
      <c r="J32" s="35">
        <v>0</v>
      </c>
      <c r="K32" s="35">
        <v>0</v>
      </c>
      <c r="L32" s="35">
        <v>0</v>
      </c>
      <c r="M32" s="35">
        <v>0</v>
      </c>
      <c r="N32" s="35">
        <v>0</v>
      </c>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row>
    <row r="33" spans="1:44" s="1" customFormat="1">
      <c r="A33" s="1" t="s">
        <v>110</v>
      </c>
      <c r="B33" s="72">
        <f>SUM(B22:B32)</f>
        <v>98.27</v>
      </c>
      <c r="C33" s="72">
        <v>96.1</v>
      </c>
      <c r="D33" s="72">
        <f t="shared" ref="D33:N33" si="0">SUM(D22:D32)</f>
        <v>97.989999999999981</v>
      </c>
      <c r="E33" s="72">
        <f t="shared" si="0"/>
        <v>98.62</v>
      </c>
      <c r="F33" s="72">
        <f t="shared" si="0"/>
        <v>98.109999999999985</v>
      </c>
      <c r="G33" s="70">
        <f t="shared" si="0"/>
        <v>98.27</v>
      </c>
      <c r="H33" s="1">
        <f t="shared" si="0"/>
        <v>98.22</v>
      </c>
      <c r="I33" s="1">
        <f t="shared" si="0"/>
        <v>96.160000000000011</v>
      </c>
      <c r="J33" s="1">
        <f t="shared" si="0"/>
        <v>98.43</v>
      </c>
      <c r="K33" s="1">
        <f t="shared" si="0"/>
        <v>96.889999999999986</v>
      </c>
      <c r="L33" s="1">
        <f t="shared" si="0"/>
        <v>98.820000000000007</v>
      </c>
      <c r="M33" s="1">
        <f t="shared" si="0"/>
        <v>96.960000000000022</v>
      </c>
      <c r="N33" s="1">
        <f t="shared" si="0"/>
        <v>98.702999999999989</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row>
    <row r="34" spans="1:44" s="1" customFormat="1" ht="12.75" customHeight="1">
      <c r="B34" s="72"/>
      <c r="C34" s="72"/>
      <c r="D34" s="72"/>
      <c r="E34" s="70"/>
      <c r="F34" s="72"/>
      <c r="G34" s="7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row>
    <row r="35" spans="1:44" s="1" customFormat="1" ht="12.75" customHeight="1">
      <c r="A35" s="18"/>
      <c r="B35" s="73"/>
      <c r="C35" s="73"/>
      <c r="D35" s="73"/>
      <c r="E35" s="74"/>
      <c r="F35" s="72"/>
      <c r="G35" s="7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row>
    <row r="36" spans="1:44" s="1" customFormat="1" ht="12.75" customHeight="1">
      <c r="A36" s="20" t="s">
        <v>111</v>
      </c>
      <c r="B36" s="75"/>
      <c r="C36" s="75"/>
      <c r="D36" s="75"/>
      <c r="E36" s="76"/>
      <c r="F36" s="72"/>
      <c r="G36" s="7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row>
    <row r="37" spans="1:44" s="1" customFormat="1" ht="12.75" customHeight="1">
      <c r="A37" s="22" t="s">
        <v>112</v>
      </c>
      <c r="B37" s="77" t="s">
        <v>113</v>
      </c>
      <c r="C37" s="77" t="s">
        <v>114</v>
      </c>
      <c r="D37" s="77" t="s">
        <v>115</v>
      </c>
      <c r="E37" s="77" t="s">
        <v>116</v>
      </c>
      <c r="F37" s="77" t="s">
        <v>117</v>
      </c>
      <c r="G37" s="77" t="s">
        <v>118</v>
      </c>
      <c r="H37" s="23" t="s">
        <v>119</v>
      </c>
      <c r="I37" s="23" t="s">
        <v>120</v>
      </c>
      <c r="J37" s="23" t="s">
        <v>121</v>
      </c>
      <c r="K37" s="23" t="s">
        <v>122</v>
      </c>
      <c r="L37" s="23" t="s">
        <v>123</v>
      </c>
      <c r="M37" s="23" t="s">
        <v>124</v>
      </c>
      <c r="N37" s="23" t="s">
        <v>44</v>
      </c>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row>
    <row r="38" spans="1:44" s="1" customFormat="1" ht="12.75" customHeight="1">
      <c r="A38" s="22" t="s">
        <v>45</v>
      </c>
      <c r="B38" s="78">
        <v>0.8</v>
      </c>
      <c r="C38" s="78">
        <v>0.7</v>
      </c>
      <c r="D38" s="78">
        <v>0.6</v>
      </c>
      <c r="E38" s="78">
        <v>0.5</v>
      </c>
      <c r="F38" s="78">
        <v>0.7</v>
      </c>
      <c r="G38" s="78">
        <v>0.8</v>
      </c>
      <c r="H38" s="33">
        <v>0.9</v>
      </c>
      <c r="I38" s="33">
        <v>0.8</v>
      </c>
      <c r="J38" s="33">
        <v>0.72199999999999998</v>
      </c>
      <c r="K38" s="33">
        <v>0.71499999999999997</v>
      </c>
      <c r="L38" s="33">
        <v>0.76800000000000002</v>
      </c>
      <c r="M38" s="33">
        <v>0.748</v>
      </c>
      <c r="N38" s="33">
        <v>0.71499999999999997</v>
      </c>
      <c r="O38" s="30"/>
      <c r="P38" s="30" t="s">
        <v>195</v>
      </c>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row>
    <row r="39" spans="1:44" s="1" customFormat="1" ht="12.75" customHeight="1">
      <c r="A39" s="22" t="s">
        <v>46</v>
      </c>
      <c r="B39" s="30">
        <f>1-B38</f>
        <v>0.19999999999999996</v>
      </c>
      <c r="C39" s="30">
        <f t="shared" ref="C39:N39" si="1">1-C38</f>
        <v>0.30000000000000004</v>
      </c>
      <c r="D39" s="30">
        <f t="shared" si="1"/>
        <v>0.4</v>
      </c>
      <c r="E39" s="30">
        <f t="shared" si="1"/>
        <v>0.5</v>
      </c>
      <c r="F39" s="30">
        <f t="shared" si="1"/>
        <v>0.30000000000000004</v>
      </c>
      <c r="G39" s="30">
        <f t="shared" si="1"/>
        <v>0.19999999999999996</v>
      </c>
      <c r="H39" s="30">
        <f t="shared" si="1"/>
        <v>9.9999999999999978E-2</v>
      </c>
      <c r="I39" s="30">
        <f t="shared" si="1"/>
        <v>0.19999999999999996</v>
      </c>
      <c r="J39" s="30">
        <f t="shared" si="1"/>
        <v>0.27800000000000002</v>
      </c>
      <c r="K39" s="30">
        <f t="shared" si="1"/>
        <v>0.28500000000000003</v>
      </c>
      <c r="L39" s="30">
        <f t="shared" si="1"/>
        <v>0.23199999999999998</v>
      </c>
      <c r="M39" s="30">
        <f t="shared" si="1"/>
        <v>0.252</v>
      </c>
      <c r="N39" s="30">
        <f t="shared" si="1"/>
        <v>0.28500000000000003</v>
      </c>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row>
    <row r="40" spans="1:44" s="1" customFormat="1" ht="12.75" customHeight="1">
      <c r="B40" s="72"/>
      <c r="C40" s="72"/>
      <c r="D40" s="72"/>
      <c r="E40" s="72"/>
      <c r="F40" s="72"/>
      <c r="G40" s="7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row>
    <row r="41" spans="1:44" s="1" customFormat="1" ht="12.75" customHeight="1">
      <c r="A41" s="24" t="s">
        <v>47</v>
      </c>
      <c r="B41" s="72"/>
      <c r="C41" s="72"/>
      <c r="D41" s="72"/>
      <c r="E41" s="72"/>
      <c r="F41" s="72"/>
      <c r="G41" s="7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row>
    <row r="42" spans="1:44" s="1" customFormat="1">
      <c r="A42" s="1" t="s">
        <v>48</v>
      </c>
      <c r="B42" s="72">
        <f t="shared" ref="B42:N42" si="2">B60*159.7*B189/46/B238</f>
        <v>6.081565997947755</v>
      </c>
      <c r="C42" s="72">
        <f t="shared" si="2"/>
        <v>6.9108117854242153</v>
      </c>
      <c r="D42" s="72">
        <f t="shared" si="2"/>
        <v>3.6511315497397967</v>
      </c>
      <c r="E42" s="72">
        <f t="shared" si="2"/>
        <v>6.0280897226757286</v>
      </c>
      <c r="F42" s="72">
        <f t="shared" si="2"/>
        <v>4.6725445644985157</v>
      </c>
      <c r="G42" s="70">
        <f t="shared" si="2"/>
        <v>5.1439231913815266</v>
      </c>
      <c r="H42" s="1">
        <f t="shared" si="2"/>
        <v>4.5585578036048373</v>
      </c>
      <c r="I42" s="1">
        <f t="shared" si="2"/>
        <v>4.2247764854523284</v>
      </c>
      <c r="J42" s="1">
        <f t="shared" si="2"/>
        <v>4.6500857596940808</v>
      </c>
      <c r="K42" s="1">
        <f t="shared" si="2"/>
        <v>4.4088126479447061</v>
      </c>
      <c r="L42" s="1">
        <f t="shared" si="2"/>
        <v>3.8416152503415004</v>
      </c>
      <c r="M42" s="1">
        <f t="shared" si="2"/>
        <v>3.9782547672698847</v>
      </c>
      <c r="N42" s="1">
        <f t="shared" si="2"/>
        <v>4.1380549585422504</v>
      </c>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row>
    <row r="43" spans="1:44" s="1" customFormat="1">
      <c r="A43" s="1" t="s">
        <v>49</v>
      </c>
      <c r="B43" s="72">
        <f t="shared" ref="B43:N43" si="3">(B63+B67)*71.85*B189*2/46/B238</f>
        <v>5.1277330375385564</v>
      </c>
      <c r="C43" s="72">
        <f t="shared" si="3"/>
        <v>5.1815676044742647</v>
      </c>
      <c r="D43" s="72">
        <f t="shared" si="3"/>
        <v>7.9146674784119648</v>
      </c>
      <c r="E43" s="72">
        <f t="shared" si="3"/>
        <v>7.5758516396461992</v>
      </c>
      <c r="F43" s="72">
        <f t="shared" si="3"/>
        <v>5.7955876398344595</v>
      </c>
      <c r="G43" s="70">
        <f t="shared" si="3"/>
        <v>6.1714354251626471</v>
      </c>
      <c r="H43" s="1">
        <f t="shared" si="3"/>
        <v>10.208154311972356</v>
      </c>
      <c r="I43" s="1">
        <f t="shared" si="3"/>
        <v>9.8784947967470291</v>
      </c>
      <c r="J43" s="1">
        <f t="shared" si="3"/>
        <v>10.055796345222046</v>
      </c>
      <c r="K43" s="1">
        <f t="shared" si="3"/>
        <v>9.512896822106109</v>
      </c>
      <c r="L43" s="1">
        <f t="shared" si="3"/>
        <v>11.073267930657021</v>
      </c>
      <c r="M43" s="1">
        <f t="shared" si="3"/>
        <v>10.76031803345847</v>
      </c>
      <c r="N43" s="1">
        <f t="shared" si="3"/>
        <v>11.036527880134495</v>
      </c>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row>
    <row r="44" spans="1:44" s="1" customFormat="1">
      <c r="A44" s="1" t="s">
        <v>50</v>
      </c>
      <c r="B44" s="72">
        <f t="shared" ref="B44:N44" si="4">B219/2*B189/23*18.016</f>
        <v>2.0506663522440034</v>
      </c>
      <c r="C44" s="72">
        <f t="shared" si="4"/>
        <v>2.0115873343233113</v>
      </c>
      <c r="D44" s="72">
        <f t="shared" si="4"/>
        <v>2.0417037986644924</v>
      </c>
      <c r="E44" s="72">
        <f t="shared" si="4"/>
        <v>2.0384275432547763</v>
      </c>
      <c r="F44" s="72">
        <f t="shared" si="4"/>
        <v>2.0579576957356358</v>
      </c>
      <c r="G44" s="70">
        <f t="shared" si="4"/>
        <v>2.0532589166147717</v>
      </c>
      <c r="H44" s="1">
        <f t="shared" si="4"/>
        <v>2.0446189150457577</v>
      </c>
      <c r="I44" s="1">
        <f t="shared" si="4"/>
        <v>2.011837164771006</v>
      </c>
      <c r="J44" s="1">
        <f t="shared" si="4"/>
        <v>2.0539395118719663</v>
      </c>
      <c r="K44" s="1">
        <f t="shared" si="4"/>
        <v>2.0270888441440085</v>
      </c>
      <c r="L44" s="1">
        <f t="shared" si="4"/>
        <v>2.0533689026611692</v>
      </c>
      <c r="M44" s="1">
        <f t="shared" si="4"/>
        <v>2.0105089933096409</v>
      </c>
      <c r="N44" s="1">
        <f t="shared" si="4"/>
        <v>2.0388040523126176</v>
      </c>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row>
    <row r="45" spans="1:44" s="1" customFormat="1">
      <c r="A45" s="6" t="s">
        <v>51</v>
      </c>
      <c r="B45" s="79">
        <f t="shared" ref="B45:N45" si="5">16/38*B31+16/70.914*B32</f>
        <v>0</v>
      </c>
      <c r="C45" s="79">
        <f t="shared" si="5"/>
        <v>0</v>
      </c>
      <c r="D45" s="79">
        <f t="shared" si="5"/>
        <v>0</v>
      </c>
      <c r="E45" s="79">
        <f t="shared" si="5"/>
        <v>0</v>
      </c>
      <c r="F45" s="79">
        <f t="shared" si="5"/>
        <v>0</v>
      </c>
      <c r="G45" s="71">
        <f t="shared" si="5"/>
        <v>0</v>
      </c>
      <c r="H45" s="6">
        <f t="shared" si="5"/>
        <v>0</v>
      </c>
      <c r="I45" s="6">
        <f t="shared" si="5"/>
        <v>0</v>
      </c>
      <c r="J45" s="6">
        <f t="shared" si="5"/>
        <v>0</v>
      </c>
      <c r="K45" s="6">
        <f t="shared" si="5"/>
        <v>0</v>
      </c>
      <c r="L45" s="6">
        <f t="shared" si="5"/>
        <v>0</v>
      </c>
      <c r="M45" s="6">
        <f t="shared" si="5"/>
        <v>0</v>
      </c>
      <c r="N45" s="6">
        <f t="shared" si="5"/>
        <v>0</v>
      </c>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row>
    <row r="46" spans="1:44" s="1" customFormat="1">
      <c r="A46" s="1" t="s">
        <v>52</v>
      </c>
      <c r="B46" s="72">
        <f t="shared" ref="B46:N46" si="6">B22+B23+B24+B26+B27+B28+B29+B30+B31+B32+B42+B43+B44-B45</f>
        <v>100.92996538773031</v>
      </c>
      <c r="C46" s="72">
        <f t="shared" si="6"/>
        <v>99.723966724221782</v>
      </c>
      <c r="D46" s="72">
        <f t="shared" si="6"/>
        <v>100.39750282681624</v>
      </c>
      <c r="E46" s="72">
        <f t="shared" si="6"/>
        <v>101.26236890557669</v>
      </c>
      <c r="F46" s="72">
        <f t="shared" si="6"/>
        <v>100.6360899000686</v>
      </c>
      <c r="G46" s="70">
        <f t="shared" si="6"/>
        <v>100.83861753315894</v>
      </c>
      <c r="H46" s="1">
        <f t="shared" si="6"/>
        <v>100.72133103062295</v>
      </c>
      <c r="I46" s="1">
        <f t="shared" si="6"/>
        <v>98.595108446970386</v>
      </c>
      <c r="J46" s="1">
        <f t="shared" si="6"/>
        <v>100.9498216167881</v>
      </c>
      <c r="K46" s="1">
        <f t="shared" si="6"/>
        <v>99.358798314194814</v>
      </c>
      <c r="L46" s="1">
        <f t="shared" si="6"/>
        <v>101.25825208365971</v>
      </c>
      <c r="M46" s="1">
        <f t="shared" si="6"/>
        <v>99.369081794038024</v>
      </c>
      <c r="N46" s="1">
        <f t="shared" si="6"/>
        <v>101.15638689098937</v>
      </c>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row>
    <row r="47" spans="1:44" s="1" customFormat="1">
      <c r="B47" s="72"/>
      <c r="C47" s="72"/>
      <c r="D47" s="72"/>
      <c r="E47" s="72"/>
      <c r="F47" s="72"/>
      <c r="G47" s="7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row>
    <row r="48" spans="1:44" s="1" customFormat="1" ht="12.75" customHeight="1">
      <c r="A48" s="18" t="s">
        <v>53</v>
      </c>
      <c r="B48" s="80">
        <f t="shared" ref="B48:N48" si="7">B60/(B60+B63+B67)</f>
        <v>0.51625160023221162</v>
      </c>
      <c r="C48" s="80">
        <f t="shared" si="7"/>
        <v>0.54547652592331008</v>
      </c>
      <c r="D48" s="80">
        <f t="shared" si="7"/>
        <v>0.29333326085607436</v>
      </c>
      <c r="E48" s="80">
        <f t="shared" si="7"/>
        <v>0.41724218156567705</v>
      </c>
      <c r="F48" s="80">
        <f t="shared" si="7"/>
        <v>0.42044123601655409</v>
      </c>
      <c r="G48" s="80">
        <f t="shared" si="7"/>
        <v>0.42857079396642161</v>
      </c>
      <c r="H48" s="19">
        <f t="shared" si="7"/>
        <v>0.28664190692017094</v>
      </c>
      <c r="I48" s="19">
        <f t="shared" si="7"/>
        <v>0.27788780725533418</v>
      </c>
      <c r="J48" s="19">
        <f t="shared" si="7"/>
        <v>0.29383452631867663</v>
      </c>
      <c r="K48" s="19">
        <f t="shared" si="7"/>
        <v>0.2942954879743242</v>
      </c>
      <c r="L48" s="19">
        <f t="shared" si="7"/>
        <v>0.23790310181300603</v>
      </c>
      <c r="M48" s="19">
        <f t="shared" si="7"/>
        <v>0.24962914689968829</v>
      </c>
      <c r="N48" s="19">
        <f t="shared" si="7"/>
        <v>0.25226775879847607</v>
      </c>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row>
    <row r="50" spans="1:44" s="8" customFormat="1">
      <c r="A50" s="8" t="s">
        <v>54</v>
      </c>
      <c r="B50" s="63"/>
      <c r="C50" s="63"/>
      <c r="D50" s="63"/>
      <c r="E50" s="63"/>
      <c r="F50" s="63"/>
      <c r="G50" s="64"/>
      <c r="H50"/>
      <c r="I50"/>
      <c r="J50"/>
      <c r="K50"/>
      <c r="L50"/>
      <c r="M50"/>
      <c r="N50"/>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row>
    <row r="51" spans="1:44" s="2" customFormat="1">
      <c r="A51" s="4" t="s">
        <v>55</v>
      </c>
      <c r="B51" s="63"/>
      <c r="C51" s="63"/>
      <c r="D51" s="63"/>
      <c r="E51" s="63"/>
      <c r="F51" s="63"/>
      <c r="G51" s="64"/>
      <c r="H51"/>
      <c r="I51"/>
      <c r="J51"/>
      <c r="K51"/>
      <c r="L51"/>
      <c r="M51"/>
      <c r="N51"/>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row>
    <row r="52" spans="1:44" s="3" customFormat="1">
      <c r="A52" s="3" t="s">
        <v>56</v>
      </c>
      <c r="B52" s="81">
        <f t="shared" ref="B52:N52" si="8">B$238*B192</f>
        <v>5.8652130843813604</v>
      </c>
      <c r="C52" s="81">
        <f t="shared" si="8"/>
        <v>5.8336879224218103</v>
      </c>
      <c r="D52" s="81">
        <f t="shared" si="8"/>
        <v>6.0120252711823445</v>
      </c>
      <c r="E52" s="81">
        <f t="shared" si="8"/>
        <v>5.9586603406296161</v>
      </c>
      <c r="F52" s="81">
        <f t="shared" si="8"/>
        <v>6.1090806985977641</v>
      </c>
      <c r="G52" s="82">
        <f t="shared" si="8"/>
        <v>6.0583967662769282</v>
      </c>
      <c r="H52" s="3">
        <f t="shared" si="8"/>
        <v>7.0581751245761719</v>
      </c>
      <c r="I52" s="3">
        <f t="shared" si="8"/>
        <v>7.1673711734574415</v>
      </c>
      <c r="J52" s="3">
        <f t="shared" si="8"/>
        <v>7.1043744251179115</v>
      </c>
      <c r="K52" s="3">
        <f t="shared" si="8"/>
        <v>7.1415878418285184</v>
      </c>
      <c r="L52" s="3">
        <f t="shared" si="8"/>
        <v>7.072179881826802</v>
      </c>
      <c r="M52" s="3">
        <f t="shared" si="8"/>
        <v>6.9813768959438027</v>
      </c>
      <c r="N52" s="3">
        <f t="shared" si="8"/>
        <v>6.839103357080603</v>
      </c>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spans="1:44" s="3" customFormat="1">
      <c r="A53" s="3" t="s">
        <v>57</v>
      </c>
      <c r="B53" s="81">
        <f t="shared" ref="B53:N53" si="9">8-B52</f>
        <v>2.1347869156186396</v>
      </c>
      <c r="C53" s="81">
        <f t="shared" si="9"/>
        <v>2.1663120775781897</v>
      </c>
      <c r="D53" s="81">
        <f t="shared" si="9"/>
        <v>1.9879747288176555</v>
      </c>
      <c r="E53" s="81">
        <f t="shared" si="9"/>
        <v>2.0413396593703839</v>
      </c>
      <c r="F53" s="81">
        <f t="shared" si="9"/>
        <v>1.8909193014022359</v>
      </c>
      <c r="G53" s="82">
        <f t="shared" si="9"/>
        <v>1.9416032337230718</v>
      </c>
      <c r="H53" s="3">
        <f t="shared" si="9"/>
        <v>0.94182487542382809</v>
      </c>
      <c r="I53" s="3">
        <f t="shared" si="9"/>
        <v>0.83262882654255854</v>
      </c>
      <c r="J53" s="3">
        <f t="shared" si="9"/>
        <v>0.89562557488208849</v>
      </c>
      <c r="K53" s="3">
        <f t="shared" si="9"/>
        <v>0.85841215817148164</v>
      </c>
      <c r="L53" s="3">
        <f t="shared" si="9"/>
        <v>0.92782011817319798</v>
      </c>
      <c r="M53" s="3">
        <f t="shared" si="9"/>
        <v>1.0186231040561973</v>
      </c>
      <c r="N53" s="3">
        <f t="shared" si="9"/>
        <v>1.160896642919397</v>
      </c>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spans="1:44" s="3" customFormat="1">
      <c r="B54" s="81"/>
      <c r="C54" s="81"/>
      <c r="D54" s="81"/>
      <c r="E54" s="81"/>
      <c r="F54" s="81"/>
      <c r="G54" s="82"/>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spans="1:44" s="3" customFormat="1">
      <c r="A55" s="3" t="s">
        <v>58</v>
      </c>
      <c r="B55" s="81">
        <f t="shared" ref="B55:N55" si="10">B$238*B195</f>
        <v>2.3785100545084634</v>
      </c>
      <c r="C55" s="81">
        <f t="shared" si="10"/>
        <v>2.3501013891870781</v>
      </c>
      <c r="D55" s="81">
        <f t="shared" si="10"/>
        <v>2.2996572643299422</v>
      </c>
      <c r="E55" s="81">
        <f t="shared" si="10"/>
        <v>2.290335882056957</v>
      </c>
      <c r="F55" s="81">
        <f t="shared" si="10"/>
        <v>2.1572540689723119</v>
      </c>
      <c r="G55" s="82">
        <f t="shared" si="10"/>
        <v>2.2277542850047674</v>
      </c>
      <c r="H55" s="3">
        <f t="shared" si="10"/>
        <v>0.99866709973532297</v>
      </c>
      <c r="I55" s="3">
        <f t="shared" si="10"/>
        <v>0.90428205100446268</v>
      </c>
      <c r="J55" s="3">
        <f t="shared" si="10"/>
        <v>0.98545911603009395</v>
      </c>
      <c r="K55" s="3">
        <f t="shared" si="10"/>
        <v>0.91785517974665698</v>
      </c>
      <c r="L55" s="3">
        <f t="shared" si="10"/>
        <v>0.97055899308454996</v>
      </c>
      <c r="M55" s="3">
        <f t="shared" si="10"/>
        <v>1.0568947573415852</v>
      </c>
      <c r="N55" s="3">
        <f t="shared" si="10"/>
        <v>1.2256441287648909</v>
      </c>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spans="1:44" s="3" customFormat="1">
      <c r="B56" s="81"/>
      <c r="C56" s="81"/>
      <c r="D56" s="81"/>
      <c r="E56" s="81"/>
      <c r="F56" s="81"/>
      <c r="G56" s="82"/>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spans="1:44" s="3" customFormat="1">
      <c r="A57" s="5" t="s">
        <v>59</v>
      </c>
      <c r="B57" s="81"/>
      <c r="C57" s="81"/>
      <c r="D57" s="81"/>
      <c r="E57" s="81"/>
      <c r="F57" s="81"/>
      <c r="G57" s="82"/>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spans="1:44" s="3" customFormat="1">
      <c r="A58" s="3" t="s">
        <v>60</v>
      </c>
      <c r="B58" s="81">
        <f t="shared" ref="B58:N58" si="11">B55-B53</f>
        <v>0.24372313888982378</v>
      </c>
      <c r="C58" s="81">
        <f t="shared" si="11"/>
        <v>0.18378931160888845</v>
      </c>
      <c r="D58" s="81">
        <f t="shared" si="11"/>
        <v>0.31168253551228675</v>
      </c>
      <c r="E58" s="81">
        <f t="shared" si="11"/>
        <v>0.24899622268657318</v>
      </c>
      <c r="F58" s="81">
        <f t="shared" si="11"/>
        <v>0.26633476757007601</v>
      </c>
      <c r="G58" s="82">
        <f t="shared" si="11"/>
        <v>0.2861510512816956</v>
      </c>
      <c r="H58" s="3">
        <f t="shared" si="11"/>
        <v>5.6842224311494882E-2</v>
      </c>
      <c r="I58" s="3">
        <f t="shared" si="11"/>
        <v>7.1653224461904141E-2</v>
      </c>
      <c r="J58" s="3">
        <f t="shared" si="11"/>
        <v>8.9833541148005458E-2</v>
      </c>
      <c r="K58" s="3">
        <f t="shared" si="11"/>
        <v>5.9443021575175337E-2</v>
      </c>
      <c r="L58" s="3">
        <f t="shared" si="11"/>
        <v>4.2738874911351976E-2</v>
      </c>
      <c r="M58" s="3">
        <f t="shared" si="11"/>
        <v>3.8271653285387952E-2</v>
      </c>
      <c r="N58" s="3">
        <f t="shared" si="11"/>
        <v>6.4747485845493946E-2</v>
      </c>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spans="1:44" s="3" customFormat="1">
      <c r="A59" s="3" t="s">
        <v>61</v>
      </c>
      <c r="B59" s="81">
        <f t="shared" ref="B59:N59" si="12">B$238*B199</f>
        <v>0.3294719101859655</v>
      </c>
      <c r="C59" s="81">
        <f t="shared" si="12"/>
        <v>0.29983646509853662</v>
      </c>
      <c r="D59" s="81">
        <f t="shared" si="12"/>
        <v>0.34704471309134916</v>
      </c>
      <c r="E59" s="81">
        <f t="shared" si="12"/>
        <v>0.29548233608417307</v>
      </c>
      <c r="F59" s="81">
        <f t="shared" si="12"/>
        <v>0.2979875530561592</v>
      </c>
      <c r="G59" s="82">
        <f t="shared" si="12"/>
        <v>0.28422687335843061</v>
      </c>
      <c r="H59" s="3">
        <f t="shared" si="12"/>
        <v>6.9816122308377804E-2</v>
      </c>
      <c r="I59" s="3">
        <f t="shared" si="12"/>
        <v>6.6560974496530464E-2</v>
      </c>
      <c r="J59" s="3">
        <f t="shared" si="12"/>
        <v>8.7945357920811304E-2</v>
      </c>
      <c r="K59" s="3">
        <f t="shared" si="12"/>
        <v>6.3834928850862727E-2</v>
      </c>
      <c r="L59" s="3">
        <f t="shared" si="12"/>
        <v>8.1609137758181086E-2</v>
      </c>
      <c r="M59" s="3">
        <f t="shared" si="12"/>
        <v>8.3305211284029748E-2</v>
      </c>
      <c r="N59" s="3">
        <f t="shared" si="12"/>
        <v>0.14126147671224001</v>
      </c>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spans="1:44" s="3" customFormat="1">
      <c r="A60" s="3" t="s">
        <v>62</v>
      </c>
      <c r="B60" s="81">
        <f t="shared" ref="B60:N60" si="13">IF(46*(1-B238)&lt;B238*(B203+B207),46*(1-B238),B238*(B203+B207))</f>
        <v>0.65952626134793269</v>
      </c>
      <c r="C60" s="81">
        <f t="shared" si="13"/>
        <v>0.76228341190542004</v>
      </c>
      <c r="D60" s="81">
        <f t="shared" si="13"/>
        <v>0.39996824290396171</v>
      </c>
      <c r="E60" s="81">
        <f t="shared" si="13"/>
        <v>0.65767873465311766</v>
      </c>
      <c r="F60" s="81">
        <f t="shared" si="13"/>
        <v>0.50662981132136187</v>
      </c>
      <c r="G60" s="82">
        <f t="shared" si="13"/>
        <v>0.55838041900144386</v>
      </c>
      <c r="H60" s="3">
        <f t="shared" si="13"/>
        <v>0.49759393101100136</v>
      </c>
      <c r="I60" s="3">
        <f t="shared" si="13"/>
        <v>0.46896887222184414</v>
      </c>
      <c r="J60" s="3">
        <f t="shared" si="13"/>
        <v>0.50519695376749962</v>
      </c>
      <c r="K60" s="3">
        <f t="shared" si="13"/>
        <v>0.48553874099490191</v>
      </c>
      <c r="L60" s="3">
        <f t="shared" si="13"/>
        <v>0.41827629410988942</v>
      </c>
      <c r="M60" s="3">
        <f t="shared" si="13"/>
        <v>0.44215583183362805</v>
      </c>
      <c r="N60" s="3">
        <f t="shared" si="13"/>
        <v>0.45342153706213528</v>
      </c>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spans="1:44" s="3" customFormat="1">
      <c r="A61" s="3" t="s">
        <v>63</v>
      </c>
      <c r="B61" s="81">
        <f t="shared" ref="B61:N61" si="14">B$238*B201</f>
        <v>3.1571004551639685</v>
      </c>
      <c r="C61" s="81">
        <f t="shared" si="14"/>
        <v>3.1019168031802344</v>
      </c>
      <c r="D61" s="81">
        <f t="shared" si="14"/>
        <v>2.9721655329226091</v>
      </c>
      <c r="E61" s="81">
        <f t="shared" si="14"/>
        <v>2.8952981128086082</v>
      </c>
      <c r="F61" s="81">
        <f t="shared" si="14"/>
        <v>3.2424152496999064</v>
      </c>
      <c r="G61" s="82">
        <f t="shared" si="14"/>
        <v>3.1386504987537069</v>
      </c>
      <c r="H61" s="3">
        <f t="shared" si="14"/>
        <v>3.1107334527453343</v>
      </c>
      <c r="I61" s="3">
        <f t="shared" si="14"/>
        <v>3.1853933029238028</v>
      </c>
      <c r="J61" s="3">
        <f t="shared" si="14"/>
        <v>3.0616747872798564</v>
      </c>
      <c r="K61" s="3">
        <f t="shared" si="14"/>
        <v>3.1864481565509224</v>
      </c>
      <c r="L61" s="3">
        <f t="shared" si="14"/>
        <v>3.0770018328425466</v>
      </c>
      <c r="M61" s="3">
        <f t="shared" si="14"/>
        <v>3.0837225597265752</v>
      </c>
      <c r="N61" s="3">
        <f t="shared" si="14"/>
        <v>2.9381837458323727</v>
      </c>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spans="1:44" s="3" customFormat="1">
      <c r="A62" s="3" t="s">
        <v>64</v>
      </c>
      <c r="B62" s="81">
        <f t="shared" ref="B62:N62" si="15">B$238*B202</f>
        <v>1.5868787981975243E-2</v>
      </c>
      <c r="C62" s="81">
        <f t="shared" si="15"/>
        <v>1.7381977202110682E-2</v>
      </c>
      <c r="D62" s="81">
        <f t="shared" si="15"/>
        <v>1.9728848976919261E-2</v>
      </c>
      <c r="E62" s="81">
        <f t="shared" si="15"/>
        <v>2.3333045565733696E-2</v>
      </c>
      <c r="F62" s="81">
        <f t="shared" si="15"/>
        <v>1.8306793568844699E-2</v>
      </c>
      <c r="G62" s="82">
        <f t="shared" si="15"/>
        <v>2.4437087121617237E-2</v>
      </c>
      <c r="H62" s="3">
        <f t="shared" si="15"/>
        <v>0.10935064564841451</v>
      </c>
      <c r="I62" s="3">
        <f t="shared" si="15"/>
        <v>0.10870343530160045</v>
      </c>
      <c r="J62" s="3">
        <f t="shared" si="15"/>
        <v>9.9053201266885021E-2</v>
      </c>
      <c r="K62" s="3">
        <f t="shared" si="15"/>
        <v>0.10536707059162047</v>
      </c>
      <c r="L62" s="3">
        <f t="shared" si="15"/>
        <v>9.9270027000690222E-2</v>
      </c>
      <c r="M62" s="3">
        <f t="shared" si="15"/>
        <v>9.1324932968021882E-2</v>
      </c>
      <c r="N62" s="3">
        <f t="shared" si="15"/>
        <v>8.547180222822244E-2</v>
      </c>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spans="1:44" s="3" customFormat="1">
      <c r="A63" s="3" t="s">
        <v>65</v>
      </c>
      <c r="B63" s="81">
        <f t="shared" ref="B63:N63" si="16">IF((B238*(B203+B207)-B60+B62+B61+B60+B59+B58)&gt;5,5-(B62+B61+B60+B59+B58),B238*(B203+B207)-B60)</f>
        <v>0.59430944643033357</v>
      </c>
      <c r="C63" s="81">
        <f t="shared" si="16"/>
        <v>0.6347920310048103</v>
      </c>
      <c r="D63" s="81">
        <f t="shared" si="16"/>
        <v>0.94941012659287427</v>
      </c>
      <c r="E63" s="81">
        <f t="shared" si="16"/>
        <v>0.87921154820179392</v>
      </c>
      <c r="F63" s="81">
        <f t="shared" si="16"/>
        <v>0.66832582478365232</v>
      </c>
      <c r="G63" s="82">
        <f t="shared" si="16"/>
        <v>0.70815407048310597</v>
      </c>
      <c r="H63" s="3">
        <f t="shared" si="16"/>
        <v>1.1556636239753773</v>
      </c>
      <c r="I63" s="3">
        <f t="shared" si="16"/>
        <v>1.0987201905943178</v>
      </c>
      <c r="J63" s="3">
        <f t="shared" si="16"/>
        <v>1.156296158616942</v>
      </c>
      <c r="K63" s="3">
        <f t="shared" si="16"/>
        <v>1.0993680814365172</v>
      </c>
      <c r="L63" s="3">
        <f t="shared" si="16"/>
        <v>1.2811038333773404</v>
      </c>
      <c r="M63" s="3">
        <f t="shared" si="16"/>
        <v>1.2612198109023578</v>
      </c>
      <c r="N63" s="3">
        <f t="shared" si="16"/>
        <v>1.3169139523195357</v>
      </c>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spans="1:44" s="3" customFormat="1">
      <c r="A64" s="3" t="s">
        <v>66</v>
      </c>
      <c r="B64" s="83">
        <f t="shared" ref="B64:N64" si="17">IF(SUM(B58:B63)&gt;=5,0,5-SUM(B58:B63))</f>
        <v>0</v>
      </c>
      <c r="C64" s="83">
        <f t="shared" si="17"/>
        <v>0</v>
      </c>
      <c r="D64" s="83">
        <f t="shared" si="17"/>
        <v>0</v>
      </c>
      <c r="E64" s="83">
        <f t="shared" si="17"/>
        <v>0</v>
      </c>
      <c r="F64" s="83">
        <f t="shared" si="17"/>
        <v>0</v>
      </c>
      <c r="G64" s="84">
        <f t="shared" si="17"/>
        <v>0</v>
      </c>
      <c r="H64" s="5">
        <f t="shared" si="17"/>
        <v>0</v>
      </c>
      <c r="I64" s="5">
        <f t="shared" si="17"/>
        <v>0</v>
      </c>
      <c r="J64" s="5">
        <f t="shared" si="17"/>
        <v>0</v>
      </c>
      <c r="K64" s="5">
        <f t="shared" si="17"/>
        <v>0</v>
      </c>
      <c r="L64" s="5">
        <f t="shared" si="17"/>
        <v>0</v>
      </c>
      <c r="M64" s="5">
        <f t="shared" si="17"/>
        <v>0</v>
      </c>
      <c r="N64" s="5">
        <f t="shared" si="17"/>
        <v>0</v>
      </c>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spans="1:44" s="3" customFormat="1">
      <c r="B65" s="81">
        <f t="shared" ref="B65:N65" si="18">SUM(B58:B64)</f>
        <v>4.9999999999999991</v>
      </c>
      <c r="C65" s="81">
        <f t="shared" si="18"/>
        <v>5.0000000000000009</v>
      </c>
      <c r="D65" s="81">
        <f t="shared" si="18"/>
        <v>5.0000000000000009</v>
      </c>
      <c r="E65" s="81">
        <f t="shared" si="18"/>
        <v>4.9999999999999991</v>
      </c>
      <c r="F65" s="81">
        <f t="shared" si="18"/>
        <v>5</v>
      </c>
      <c r="G65" s="82">
        <f t="shared" si="18"/>
        <v>5</v>
      </c>
      <c r="H65" s="3">
        <f t="shared" si="18"/>
        <v>5</v>
      </c>
      <c r="I65" s="3">
        <f t="shared" si="18"/>
        <v>5</v>
      </c>
      <c r="J65" s="3">
        <f t="shared" si="18"/>
        <v>5</v>
      </c>
      <c r="K65" s="3">
        <f t="shared" si="18"/>
        <v>5</v>
      </c>
      <c r="L65" s="3">
        <f t="shared" si="18"/>
        <v>5</v>
      </c>
      <c r="M65" s="3">
        <f t="shared" si="18"/>
        <v>5</v>
      </c>
      <c r="N65" s="3">
        <f t="shared" si="18"/>
        <v>5</v>
      </c>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spans="1:44" s="3" customFormat="1">
      <c r="A66" s="5" t="s">
        <v>67</v>
      </c>
      <c r="B66" s="81"/>
      <c r="C66" s="81"/>
      <c r="D66" s="81"/>
      <c r="E66" s="81"/>
      <c r="F66" s="81"/>
      <c r="G66" s="82"/>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spans="1:44" s="3" customFormat="1">
      <c r="A67" s="3" t="s">
        <v>68</v>
      </c>
      <c r="B67" s="81">
        <f t="shared" ref="B67:N67" si="19">B238*(B203+B207)-B60-B63</f>
        <v>2.369304186875798E-2</v>
      </c>
      <c r="C67" s="81">
        <f t="shared" si="19"/>
        <v>3.87831270318717E-4</v>
      </c>
      <c r="D67" s="81">
        <f t="shared" si="19"/>
        <v>1.4150068214864309E-2</v>
      </c>
      <c r="E67" s="81">
        <f t="shared" si="19"/>
        <v>3.9361504980192752E-2</v>
      </c>
      <c r="F67" s="81">
        <f t="shared" si="19"/>
        <v>3.0039896972084534E-2</v>
      </c>
      <c r="G67" s="82">
        <f t="shared" si="19"/>
        <v>3.6355084099395363E-2</v>
      </c>
      <c r="H67" s="3">
        <f t="shared" si="19"/>
        <v>8.2685163080941759E-2</v>
      </c>
      <c r="I67" s="3">
        <f t="shared" si="19"/>
        <v>0.11993040078605799</v>
      </c>
      <c r="J67" s="3">
        <f t="shared" si="19"/>
        <v>5.7831570446026825E-2</v>
      </c>
      <c r="K67" s="3">
        <f t="shared" si="19"/>
        <v>6.4927309708801451E-2</v>
      </c>
      <c r="L67" s="3">
        <f t="shared" si="19"/>
        <v>5.879910986739012E-2</v>
      </c>
      <c r="M67" s="3">
        <f t="shared" si="19"/>
        <v>6.7875180034743021E-2</v>
      </c>
      <c r="N67" s="3">
        <f t="shared" si="19"/>
        <v>2.7046543192498662E-2</v>
      </c>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spans="1:44" s="3" customFormat="1">
      <c r="A68" s="3" t="s">
        <v>66</v>
      </c>
      <c r="B68" s="81">
        <f t="shared" ref="B68:N68" si="20">IF(B$238*(B208+B212+B204)-B64&lt;2-B67,B$238*(B208+B212+B204)-B64,2-B67)</f>
        <v>1.837513531678886</v>
      </c>
      <c r="C68" s="81">
        <f t="shared" si="20"/>
        <v>1.8846710760919074</v>
      </c>
      <c r="D68" s="81">
        <f t="shared" si="20"/>
        <v>1.8405471700904175</v>
      </c>
      <c r="E68" s="81">
        <f t="shared" si="20"/>
        <v>1.8020174682994705</v>
      </c>
      <c r="F68" s="81">
        <f t="shared" si="20"/>
        <v>1.8217392346803791</v>
      </c>
      <c r="G68" s="82">
        <f t="shared" si="20"/>
        <v>1.8083749497831727</v>
      </c>
      <c r="H68" s="3">
        <f t="shared" si="20"/>
        <v>1.8122289945904084</v>
      </c>
      <c r="I68" s="3">
        <f t="shared" si="20"/>
        <v>1.7480840999981277</v>
      </c>
      <c r="J68" s="3">
        <f t="shared" si="20"/>
        <v>1.7650309314896031</v>
      </c>
      <c r="K68" s="3">
        <f t="shared" si="20"/>
        <v>1.8252490865494175</v>
      </c>
      <c r="L68" s="3">
        <f t="shared" si="20"/>
        <v>1.8619126719831867</v>
      </c>
      <c r="M68" s="3">
        <f t="shared" si="20"/>
        <v>1.8610455503458194</v>
      </c>
      <c r="N68" s="3">
        <f t="shared" si="20"/>
        <v>1.8534857295914307</v>
      </c>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spans="1:44" s="3" customFormat="1">
      <c r="A69" s="3" t="s">
        <v>69</v>
      </c>
      <c r="B69" s="83">
        <f t="shared" ref="B69:N69" si="21">IF(B67+B68&gt;=2,0,2-B67-B68)</f>
        <v>0.13879342645235604</v>
      </c>
      <c r="C69" s="83">
        <f t="shared" si="21"/>
        <v>0.11494109263777386</v>
      </c>
      <c r="D69" s="83">
        <f t="shared" si="21"/>
        <v>0.14530276169471823</v>
      </c>
      <c r="E69" s="83">
        <f t="shared" si="21"/>
        <v>0.15862102672033673</v>
      </c>
      <c r="F69" s="83">
        <f t="shared" si="21"/>
        <v>0.14822086834753634</v>
      </c>
      <c r="G69" s="84">
        <f t="shared" si="21"/>
        <v>0.15526996611743193</v>
      </c>
      <c r="H69" s="5">
        <f t="shared" si="21"/>
        <v>0.10508584232864981</v>
      </c>
      <c r="I69" s="5">
        <f t="shared" si="21"/>
        <v>0.13198549921581426</v>
      </c>
      <c r="J69" s="5">
        <f t="shared" si="21"/>
        <v>0.17713749806437007</v>
      </c>
      <c r="K69" s="5">
        <f t="shared" si="21"/>
        <v>0.10982360374178102</v>
      </c>
      <c r="L69" s="5">
        <f t="shared" si="21"/>
        <v>7.9288218149423217E-2</v>
      </c>
      <c r="M69" s="5">
        <f t="shared" si="21"/>
        <v>7.1079269619437557E-2</v>
      </c>
      <c r="N69" s="5">
        <f t="shared" si="21"/>
        <v>0.11946772721607068</v>
      </c>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spans="1:44" s="3" customFormat="1">
      <c r="B70" s="81">
        <f t="shared" ref="B70:N70" si="22">SUM(B67:B69)</f>
        <v>2</v>
      </c>
      <c r="C70" s="81">
        <f t="shared" si="22"/>
        <v>2</v>
      </c>
      <c r="D70" s="81">
        <f t="shared" si="22"/>
        <v>2</v>
      </c>
      <c r="E70" s="81">
        <f t="shared" si="22"/>
        <v>2</v>
      </c>
      <c r="F70" s="81">
        <f t="shared" si="22"/>
        <v>2</v>
      </c>
      <c r="G70" s="82">
        <f t="shared" si="22"/>
        <v>2</v>
      </c>
      <c r="H70" s="3">
        <f t="shared" si="22"/>
        <v>2</v>
      </c>
      <c r="I70" s="3">
        <f t="shared" si="22"/>
        <v>2</v>
      </c>
      <c r="J70" s="3">
        <f t="shared" si="22"/>
        <v>2</v>
      </c>
      <c r="K70" s="3">
        <f t="shared" si="22"/>
        <v>2</v>
      </c>
      <c r="L70" s="3">
        <f t="shared" si="22"/>
        <v>2</v>
      </c>
      <c r="M70" s="3">
        <f t="shared" si="22"/>
        <v>2</v>
      </c>
      <c r="N70" s="3">
        <f t="shared" si="22"/>
        <v>2</v>
      </c>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spans="1:44" s="3" customFormat="1">
      <c r="A71" s="5" t="s">
        <v>70</v>
      </c>
      <c r="B71" s="81"/>
      <c r="C71" s="81"/>
      <c r="D71" s="81"/>
      <c r="E71" s="81"/>
      <c r="F71" s="81"/>
      <c r="G71" s="82"/>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spans="1:44" s="3" customFormat="1">
      <c r="A72" s="9" t="s">
        <v>66</v>
      </c>
      <c r="B72" s="81">
        <f t="shared" ref="B72:N72" si="23">IF(B69&gt;=0,0,B238*(B212+B208+B204)-B68-B64)</f>
        <v>0</v>
      </c>
      <c r="C72" s="81">
        <f t="shared" si="23"/>
        <v>0</v>
      </c>
      <c r="D72" s="81">
        <f t="shared" si="23"/>
        <v>0</v>
      </c>
      <c r="E72" s="81">
        <f t="shared" si="23"/>
        <v>0</v>
      </c>
      <c r="F72" s="81">
        <f t="shared" si="23"/>
        <v>0</v>
      </c>
      <c r="G72" s="82">
        <f t="shared" si="23"/>
        <v>0</v>
      </c>
      <c r="H72" s="3">
        <f t="shared" si="23"/>
        <v>0</v>
      </c>
      <c r="I72" s="3">
        <f t="shared" si="23"/>
        <v>0</v>
      </c>
      <c r="J72" s="3">
        <f t="shared" si="23"/>
        <v>0</v>
      </c>
      <c r="K72" s="3">
        <f t="shared" si="23"/>
        <v>0</v>
      </c>
      <c r="L72" s="3">
        <f t="shared" si="23"/>
        <v>0</v>
      </c>
      <c r="M72" s="3">
        <f t="shared" si="23"/>
        <v>0</v>
      </c>
      <c r="N72" s="3">
        <f t="shared" si="23"/>
        <v>0</v>
      </c>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spans="1:44" s="3" customFormat="1">
      <c r="A73" s="3" t="s">
        <v>69</v>
      </c>
      <c r="B73" s="81">
        <f t="shared" ref="B73:N73" si="24">B238*(B209+B213)-B69</f>
        <v>0.62681474894080447</v>
      </c>
      <c r="C73" s="81">
        <f t="shared" si="24"/>
        <v>0.6438775564300071</v>
      </c>
      <c r="D73" s="81">
        <f t="shared" si="24"/>
        <v>0.63653587564974212</v>
      </c>
      <c r="E73" s="81">
        <f t="shared" si="24"/>
        <v>0.61723744096985678</v>
      </c>
      <c r="F73" s="81">
        <f t="shared" si="24"/>
        <v>0.519468591280417</v>
      </c>
      <c r="G73" s="82">
        <f t="shared" si="24"/>
        <v>0.5495457449320611</v>
      </c>
      <c r="H73" s="3">
        <f t="shared" si="24"/>
        <v>0.24365966714511073</v>
      </c>
      <c r="I73" s="3">
        <f t="shared" si="24"/>
        <v>0.18548442576900881</v>
      </c>
      <c r="J73" s="3">
        <f t="shared" si="24"/>
        <v>0.1839635936606247</v>
      </c>
      <c r="K73" s="3">
        <f t="shared" si="24"/>
        <v>0.19663042130879799</v>
      </c>
      <c r="L73" s="3">
        <f t="shared" si="24"/>
        <v>0.25735507090242637</v>
      </c>
      <c r="M73" s="3">
        <f t="shared" si="24"/>
        <v>0.3126517383650711</v>
      </c>
      <c r="N73" s="3">
        <f t="shared" si="24"/>
        <v>0.31248542906764176</v>
      </c>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spans="1:44" s="3" customFormat="1">
      <c r="A74" s="3" t="s">
        <v>71</v>
      </c>
      <c r="B74" s="83">
        <f t="shared" ref="B74:N74" si="25">B238*B214</f>
        <v>8.4572372520497929E-2</v>
      </c>
      <c r="C74" s="83">
        <f t="shared" si="25"/>
        <v>9.1629960074566044E-2</v>
      </c>
      <c r="D74" s="83">
        <f t="shared" si="25"/>
        <v>9.1001410263680943E-2</v>
      </c>
      <c r="E74" s="83">
        <f t="shared" si="25"/>
        <v>8.5083615612833632E-2</v>
      </c>
      <c r="F74" s="83">
        <f t="shared" si="25"/>
        <v>0.15073189346561236</v>
      </c>
      <c r="G74" s="84">
        <f t="shared" si="25"/>
        <v>0.13434223790843894</v>
      </c>
      <c r="H74" s="5">
        <f t="shared" si="25"/>
        <v>0.10918265066810108</v>
      </c>
      <c r="I74" s="5">
        <f t="shared" si="25"/>
        <v>0.1053858543125534</v>
      </c>
      <c r="J74" s="5">
        <f t="shared" si="25"/>
        <v>0.11787826852870453</v>
      </c>
      <c r="K74" s="5">
        <f t="shared" si="25"/>
        <v>9.8953720332655551E-2</v>
      </c>
      <c r="L74" s="5">
        <f t="shared" si="25"/>
        <v>0.12551982088259012</v>
      </c>
      <c r="M74" s="5">
        <f t="shared" si="25"/>
        <v>0.1300127276234917</v>
      </c>
      <c r="N74" s="5">
        <f t="shared" si="25"/>
        <v>0.1671869647357129</v>
      </c>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spans="1:44" s="3" customFormat="1">
      <c r="A75" s="3" t="s">
        <v>72</v>
      </c>
      <c r="B75" s="81">
        <f t="shared" ref="B75:N75" si="26">B73+B74+B72</f>
        <v>0.71138712146130234</v>
      </c>
      <c r="C75" s="81">
        <f t="shared" si="26"/>
        <v>0.73550751650457313</v>
      </c>
      <c r="D75" s="81">
        <f t="shared" si="26"/>
        <v>0.72753728591342304</v>
      </c>
      <c r="E75" s="81">
        <f t="shared" si="26"/>
        <v>0.7023210565826904</v>
      </c>
      <c r="F75" s="81">
        <f t="shared" si="26"/>
        <v>0.67020048474602933</v>
      </c>
      <c r="G75" s="82">
        <f t="shared" si="26"/>
        <v>0.68388798284050001</v>
      </c>
      <c r="H75" s="3">
        <f t="shared" si="26"/>
        <v>0.35284231781321179</v>
      </c>
      <c r="I75" s="3">
        <f t="shared" si="26"/>
        <v>0.29087028008156224</v>
      </c>
      <c r="J75" s="3">
        <f t="shared" si="26"/>
        <v>0.30184186218932924</v>
      </c>
      <c r="K75" s="3">
        <f t="shared" si="26"/>
        <v>0.29558414164145352</v>
      </c>
      <c r="L75" s="3">
        <f t="shared" si="26"/>
        <v>0.38287489178501649</v>
      </c>
      <c r="M75" s="3">
        <f t="shared" si="26"/>
        <v>0.44266446598856279</v>
      </c>
      <c r="N75" s="3">
        <f t="shared" si="26"/>
        <v>0.47967239380335469</v>
      </c>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spans="1:44" s="3" customFormat="1">
      <c r="B76" s="81"/>
      <c r="C76" s="81"/>
      <c r="D76" s="81"/>
      <c r="E76" s="81"/>
      <c r="F76" s="81"/>
      <c r="G76" s="82"/>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spans="1:44" s="3" customFormat="1">
      <c r="A77" s="5" t="s">
        <v>73</v>
      </c>
      <c r="B77" s="81"/>
      <c r="C77" s="81"/>
      <c r="D77" s="81"/>
      <c r="E77" s="81"/>
      <c r="F77" s="81"/>
      <c r="G77" s="82"/>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spans="1:44" s="3" customFormat="1">
      <c r="A78" s="3" t="s">
        <v>74</v>
      </c>
      <c r="B78" s="81">
        <v>0</v>
      </c>
      <c r="C78" s="81">
        <v>0</v>
      </c>
      <c r="D78" s="81">
        <v>0</v>
      </c>
      <c r="E78" s="81">
        <v>0</v>
      </c>
      <c r="F78" s="81">
        <v>0</v>
      </c>
      <c r="G78" s="82">
        <v>0</v>
      </c>
      <c r="H78" s="3">
        <v>0</v>
      </c>
      <c r="I78" s="3">
        <v>0</v>
      </c>
      <c r="J78" s="3">
        <v>0</v>
      </c>
      <c r="K78" s="3">
        <v>0</v>
      </c>
      <c r="L78" s="3">
        <v>0</v>
      </c>
      <c r="M78" s="3">
        <v>0</v>
      </c>
      <c r="N78" s="3">
        <v>0</v>
      </c>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spans="1:44" s="3" customFormat="1">
      <c r="A79" s="3" t="s">
        <v>75</v>
      </c>
      <c r="B79" s="81">
        <f t="shared" ref="B79:N79" si="27">2-(B78+B80+B81)</f>
        <v>2</v>
      </c>
      <c r="C79" s="81">
        <f t="shared" si="27"/>
        <v>2</v>
      </c>
      <c r="D79" s="81">
        <f t="shared" si="27"/>
        <v>2</v>
      </c>
      <c r="E79" s="81">
        <f t="shared" si="27"/>
        <v>2</v>
      </c>
      <c r="F79" s="81">
        <f t="shared" si="27"/>
        <v>2</v>
      </c>
      <c r="G79" s="82">
        <f t="shared" si="27"/>
        <v>2</v>
      </c>
      <c r="H79" s="3">
        <f t="shared" si="27"/>
        <v>2</v>
      </c>
      <c r="I79" s="3">
        <f t="shared" si="27"/>
        <v>2</v>
      </c>
      <c r="J79" s="3">
        <f t="shared" si="27"/>
        <v>2</v>
      </c>
      <c r="K79" s="3">
        <f t="shared" si="27"/>
        <v>2</v>
      </c>
      <c r="L79" s="3">
        <f t="shared" si="27"/>
        <v>2</v>
      </c>
      <c r="M79" s="3">
        <f t="shared" si="27"/>
        <v>2</v>
      </c>
      <c r="N79" s="3">
        <f t="shared" si="27"/>
        <v>2</v>
      </c>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spans="1:44" s="3" customFormat="1">
      <c r="A80" s="3" t="s">
        <v>108</v>
      </c>
      <c r="B80" s="81">
        <f t="shared" ref="B80:N80" si="28">B220</f>
        <v>0</v>
      </c>
      <c r="C80" s="81">
        <f t="shared" si="28"/>
        <v>0</v>
      </c>
      <c r="D80" s="81">
        <f t="shared" si="28"/>
        <v>0</v>
      </c>
      <c r="E80" s="81">
        <f t="shared" si="28"/>
        <v>0</v>
      </c>
      <c r="F80" s="81">
        <f t="shared" si="28"/>
        <v>0</v>
      </c>
      <c r="G80" s="82">
        <f t="shared" si="28"/>
        <v>0</v>
      </c>
      <c r="H80" s="3">
        <f t="shared" si="28"/>
        <v>0</v>
      </c>
      <c r="I80" s="3">
        <f t="shared" si="28"/>
        <v>0</v>
      </c>
      <c r="J80" s="3">
        <f t="shared" si="28"/>
        <v>0</v>
      </c>
      <c r="K80" s="3">
        <f t="shared" si="28"/>
        <v>0</v>
      </c>
      <c r="L80" s="3">
        <f t="shared" si="28"/>
        <v>0</v>
      </c>
      <c r="M80" s="3">
        <f t="shared" si="28"/>
        <v>0</v>
      </c>
      <c r="N80" s="3">
        <f t="shared" si="28"/>
        <v>0</v>
      </c>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spans="1:44" s="3" customFormat="1">
      <c r="A81" s="3" t="s">
        <v>109</v>
      </c>
      <c r="B81" s="83">
        <f t="shared" ref="B81:N81" si="29">B221</f>
        <v>0</v>
      </c>
      <c r="C81" s="83">
        <f t="shared" si="29"/>
        <v>0</v>
      </c>
      <c r="D81" s="83">
        <f t="shared" si="29"/>
        <v>0</v>
      </c>
      <c r="E81" s="83">
        <f t="shared" si="29"/>
        <v>0</v>
      </c>
      <c r="F81" s="83">
        <f t="shared" si="29"/>
        <v>0</v>
      </c>
      <c r="G81" s="84">
        <f t="shared" si="29"/>
        <v>0</v>
      </c>
      <c r="H81" s="5">
        <f t="shared" si="29"/>
        <v>0</v>
      </c>
      <c r="I81" s="5">
        <f t="shared" si="29"/>
        <v>0</v>
      </c>
      <c r="J81" s="5">
        <f t="shared" si="29"/>
        <v>0</v>
      </c>
      <c r="K81" s="5">
        <f t="shared" si="29"/>
        <v>0</v>
      </c>
      <c r="L81" s="5">
        <f t="shared" si="29"/>
        <v>0</v>
      </c>
      <c r="M81" s="5">
        <f t="shared" si="29"/>
        <v>0</v>
      </c>
      <c r="N81" s="5">
        <f t="shared" si="29"/>
        <v>0</v>
      </c>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spans="1:44" s="3" customFormat="1">
      <c r="B82" s="81">
        <f t="shared" ref="B82:N82" si="30">SUM(B78:B81)</f>
        <v>2</v>
      </c>
      <c r="C82" s="81">
        <f t="shared" si="30"/>
        <v>2</v>
      </c>
      <c r="D82" s="81">
        <f t="shared" si="30"/>
        <v>2</v>
      </c>
      <c r="E82" s="81">
        <f t="shared" si="30"/>
        <v>2</v>
      </c>
      <c r="F82" s="81">
        <f t="shared" si="30"/>
        <v>2</v>
      </c>
      <c r="G82" s="82">
        <f t="shared" si="30"/>
        <v>2</v>
      </c>
      <c r="H82" s="3">
        <f t="shared" si="30"/>
        <v>2</v>
      </c>
      <c r="I82" s="3">
        <f t="shared" si="30"/>
        <v>2</v>
      </c>
      <c r="J82" s="3">
        <f t="shared" si="30"/>
        <v>2</v>
      </c>
      <c r="K82" s="3">
        <f t="shared" si="30"/>
        <v>2</v>
      </c>
      <c r="L82" s="3">
        <f t="shared" si="30"/>
        <v>2</v>
      </c>
      <c r="M82" s="3">
        <f t="shared" si="30"/>
        <v>2</v>
      </c>
      <c r="N82" s="3">
        <f t="shared" si="30"/>
        <v>2</v>
      </c>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spans="1:44" s="3" customFormat="1">
      <c r="A83" s="3" t="s">
        <v>76</v>
      </c>
      <c r="B83" s="81">
        <f t="shared" ref="B83:N83" si="31">8+5+B70+B75</f>
        <v>15.711387121461302</v>
      </c>
      <c r="C83" s="81">
        <f t="shared" si="31"/>
        <v>15.735507516504573</v>
      </c>
      <c r="D83" s="81">
        <f t="shared" si="31"/>
        <v>15.727537285913423</v>
      </c>
      <c r="E83" s="81">
        <f t="shared" si="31"/>
        <v>15.70232105658269</v>
      </c>
      <c r="F83" s="81">
        <f t="shared" si="31"/>
        <v>15.670200484746029</v>
      </c>
      <c r="G83" s="82">
        <f t="shared" si="31"/>
        <v>15.683887982840499</v>
      </c>
      <c r="H83" s="3">
        <f t="shared" si="31"/>
        <v>15.352842317813211</v>
      </c>
      <c r="I83" s="3">
        <f t="shared" si="31"/>
        <v>15.290870280081561</v>
      </c>
      <c r="J83" s="3">
        <f t="shared" si="31"/>
        <v>15.301841862189329</v>
      </c>
      <c r="K83" s="3">
        <f t="shared" si="31"/>
        <v>15.295584141641454</v>
      </c>
      <c r="L83" s="3">
        <f t="shared" si="31"/>
        <v>15.382874891785017</v>
      </c>
      <c r="M83" s="3">
        <f t="shared" si="31"/>
        <v>15.442664465988562</v>
      </c>
      <c r="N83" s="3">
        <f t="shared" si="31"/>
        <v>15.479672393803355</v>
      </c>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spans="1:44" s="3" customFormat="1">
      <c r="A84" s="3" t="s">
        <v>77</v>
      </c>
      <c r="B84" s="81">
        <f t="shared" ref="B84:N84" si="32">(B52+B59)*4+(B53+B58+B60)*3+(B61+B62+B63+B64+B67+B68+B72)*2+B69+B73+B74</f>
        <v>45.999999999999993</v>
      </c>
      <c r="C84" s="81">
        <f t="shared" si="32"/>
        <v>45.999999999999979</v>
      </c>
      <c r="D84" s="81">
        <f t="shared" si="32"/>
        <v>45.999999999999993</v>
      </c>
      <c r="E84" s="81">
        <f t="shared" si="32"/>
        <v>46.000000000000014</v>
      </c>
      <c r="F84" s="81">
        <f t="shared" si="32"/>
        <v>46.000000000000014</v>
      </c>
      <c r="G84" s="82">
        <f t="shared" si="32"/>
        <v>46</v>
      </c>
      <c r="H84" s="3">
        <f t="shared" si="32"/>
        <v>45.999999999999986</v>
      </c>
      <c r="I84" s="3">
        <f t="shared" si="32"/>
        <v>46</v>
      </c>
      <c r="J84" s="3">
        <f t="shared" si="32"/>
        <v>46</v>
      </c>
      <c r="K84" s="3">
        <f t="shared" si="32"/>
        <v>45.999999999999986</v>
      </c>
      <c r="L84" s="3">
        <f t="shared" si="32"/>
        <v>46</v>
      </c>
      <c r="M84" s="3">
        <f t="shared" si="32"/>
        <v>46.000000000000007</v>
      </c>
      <c r="N84" s="3">
        <f t="shared" si="32"/>
        <v>45.999999999999993</v>
      </c>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spans="1:44" s="3" customFormat="1">
      <c r="A85" s="3" t="s">
        <v>129</v>
      </c>
      <c r="B85" s="82">
        <f t="shared" ref="B85:N85" si="33">(B60+B63+B67)/(B60+B63+B67+B61)</f>
        <v>0.28808017325576457</v>
      </c>
      <c r="C85" s="82">
        <f t="shared" si="33"/>
        <v>0.31059018134788557</v>
      </c>
      <c r="D85" s="82">
        <f t="shared" si="33"/>
        <v>0.31448908685596572</v>
      </c>
      <c r="E85" s="82">
        <f t="shared" si="33"/>
        <v>0.35250680924039146</v>
      </c>
      <c r="F85" s="82">
        <f t="shared" si="33"/>
        <v>0.2709431603987541</v>
      </c>
      <c r="G85" s="82">
        <f t="shared" si="33"/>
        <v>0.29334184817974951</v>
      </c>
      <c r="H85" s="25">
        <f t="shared" si="33"/>
        <v>0.35817179792646436</v>
      </c>
      <c r="I85" s="25">
        <f t="shared" si="33"/>
        <v>0.34631952438025854</v>
      </c>
      <c r="J85" s="25">
        <f t="shared" si="33"/>
        <v>0.35961616259932228</v>
      </c>
      <c r="K85" s="25">
        <f t="shared" si="33"/>
        <v>0.34113685547224748</v>
      </c>
      <c r="L85" s="25">
        <f t="shared" si="33"/>
        <v>0.36362221224590574</v>
      </c>
      <c r="M85" s="25">
        <f t="shared" si="33"/>
        <v>0.36483224174951745</v>
      </c>
      <c r="N85" s="25">
        <f t="shared" si="33"/>
        <v>0.3795495864021059</v>
      </c>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spans="1:44" s="3" customFormat="1">
      <c r="A86" s="3" t="s">
        <v>130</v>
      </c>
      <c r="B86" s="82">
        <f t="shared" ref="B86:N86" si="34">B61/(B63+B67)</f>
        <v>5.1085562193336065</v>
      </c>
      <c r="C86" s="82">
        <f t="shared" si="34"/>
        <v>4.883525104321766</v>
      </c>
      <c r="D86" s="82">
        <f t="shared" si="34"/>
        <v>3.0845665366195956</v>
      </c>
      <c r="E86" s="82">
        <f t="shared" si="34"/>
        <v>3.151951935427606</v>
      </c>
      <c r="F86" s="82">
        <f t="shared" si="34"/>
        <v>4.6428613958145935</v>
      </c>
      <c r="G86" s="82">
        <f t="shared" si="34"/>
        <v>4.215731236392612</v>
      </c>
      <c r="H86" s="25">
        <f t="shared" si="34"/>
        <v>2.5120010495103435</v>
      </c>
      <c r="I86" s="25">
        <f t="shared" si="34"/>
        <v>2.6138692464061259</v>
      </c>
      <c r="J86" s="25">
        <f t="shared" si="34"/>
        <v>2.5217073245191219</v>
      </c>
      <c r="K86" s="25">
        <f t="shared" si="34"/>
        <v>2.736803890820533</v>
      </c>
      <c r="L86" s="25">
        <f t="shared" si="34"/>
        <v>2.2964363563462511</v>
      </c>
      <c r="M86" s="25">
        <f t="shared" si="34"/>
        <v>2.3201671669474466</v>
      </c>
      <c r="N86" s="25">
        <f t="shared" si="34"/>
        <v>2.1862128802476124</v>
      </c>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spans="1:44" s="3" customFormat="1">
      <c r="A87" s="3" t="s">
        <v>131</v>
      </c>
      <c r="B87" s="82">
        <f t="shared" ref="B87:N87" si="35">B61/(B60+B63+B67)</f>
        <v>2.4712558962264151</v>
      </c>
      <c r="C87" s="82">
        <f t="shared" si="35"/>
        <v>2.2196767961570587</v>
      </c>
      <c r="D87" s="82">
        <f t="shared" si="35"/>
        <v>2.1797605761054419</v>
      </c>
      <c r="E87" s="82">
        <f t="shared" si="35"/>
        <v>1.8368246336996337</v>
      </c>
      <c r="F87" s="82">
        <f t="shared" si="35"/>
        <v>2.6908110119047621</v>
      </c>
      <c r="G87" s="82">
        <f t="shared" si="35"/>
        <v>2.4089919532627864</v>
      </c>
      <c r="H87" s="25">
        <f t="shared" si="35"/>
        <v>1.7919562784932279</v>
      </c>
      <c r="I87" s="25">
        <f t="shared" si="35"/>
        <v>1.8875068530701751</v>
      </c>
      <c r="J87" s="25">
        <f t="shared" si="35"/>
        <v>1.7807426473047083</v>
      </c>
      <c r="K87" s="25">
        <f t="shared" si="35"/>
        <v>1.931374854281475</v>
      </c>
      <c r="L87" s="25">
        <f t="shared" si="35"/>
        <v>1.7501070240553203</v>
      </c>
      <c r="M87" s="25">
        <f t="shared" si="35"/>
        <v>1.7409858163976886</v>
      </c>
      <c r="N87" s="25">
        <f t="shared" si="35"/>
        <v>1.634701856691186</v>
      </c>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spans="1:44" s="3" customFormat="1">
      <c r="A88" s="3" t="s">
        <v>132</v>
      </c>
      <c r="B88" s="82">
        <f t="shared" ref="B88:N88" si="36">B61/5</f>
        <v>0.63142009103279373</v>
      </c>
      <c r="C88" s="82">
        <f t="shared" si="36"/>
        <v>0.62038336063604693</v>
      </c>
      <c r="D88" s="82">
        <f t="shared" si="36"/>
        <v>0.59443310658452186</v>
      </c>
      <c r="E88" s="82">
        <f t="shared" si="36"/>
        <v>0.57905962256172161</v>
      </c>
      <c r="F88" s="82">
        <f t="shared" si="36"/>
        <v>0.64848304993998129</v>
      </c>
      <c r="G88" s="82">
        <f t="shared" si="36"/>
        <v>0.62773009975074134</v>
      </c>
      <c r="H88" s="25">
        <f t="shared" si="36"/>
        <v>0.62214669054906691</v>
      </c>
      <c r="I88" s="25">
        <f t="shared" si="36"/>
        <v>0.63707866058476059</v>
      </c>
      <c r="J88" s="25">
        <f t="shared" si="36"/>
        <v>0.61233495745597133</v>
      </c>
      <c r="K88" s="25">
        <f t="shared" si="36"/>
        <v>0.63728963131018446</v>
      </c>
      <c r="L88" s="25">
        <f t="shared" si="36"/>
        <v>0.61540036656850927</v>
      </c>
      <c r="M88" s="25">
        <f t="shared" si="36"/>
        <v>0.61674451194531499</v>
      </c>
      <c r="N88" s="25">
        <f t="shared" si="36"/>
        <v>0.58763674916647457</v>
      </c>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spans="1:44" s="3" customFormat="1">
      <c r="A89" s="3" t="s">
        <v>133</v>
      </c>
      <c r="B89" s="82">
        <f t="shared" ref="B89:N89" si="37">B79/B82</f>
        <v>1</v>
      </c>
      <c r="C89" s="82">
        <f t="shared" si="37"/>
        <v>1</v>
      </c>
      <c r="D89" s="82">
        <f t="shared" si="37"/>
        <v>1</v>
      </c>
      <c r="E89" s="82">
        <f t="shared" si="37"/>
        <v>1</v>
      </c>
      <c r="F89" s="82">
        <f t="shared" si="37"/>
        <v>1</v>
      </c>
      <c r="G89" s="82">
        <f t="shared" si="37"/>
        <v>1</v>
      </c>
      <c r="H89" s="25">
        <f t="shared" si="37"/>
        <v>1</v>
      </c>
      <c r="I89" s="25">
        <f t="shared" si="37"/>
        <v>1</v>
      </c>
      <c r="J89" s="25">
        <f t="shared" si="37"/>
        <v>1</v>
      </c>
      <c r="K89" s="25">
        <f t="shared" si="37"/>
        <v>1</v>
      </c>
      <c r="L89" s="25">
        <f t="shared" si="37"/>
        <v>1</v>
      </c>
      <c r="M89" s="25">
        <f t="shared" si="37"/>
        <v>1</v>
      </c>
      <c r="N89" s="25">
        <f t="shared" si="37"/>
        <v>1</v>
      </c>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spans="1:44" s="3" customFormat="1">
      <c r="A90"/>
      <c r="B90" s="64"/>
      <c r="C90" s="64"/>
      <c r="D90" s="64"/>
      <c r="E90" s="64"/>
      <c r="F90" s="64"/>
      <c r="G90" s="64"/>
      <c r="H90" s="14"/>
      <c r="I90" s="14"/>
      <c r="J90" s="14"/>
      <c r="K90" s="14"/>
      <c r="L90" s="14"/>
      <c r="M90" s="14"/>
      <c r="N90" s="14"/>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spans="1:44" s="3" customFormat="1">
      <c r="A91" t="s">
        <v>19</v>
      </c>
      <c r="B91" s="82">
        <f t="shared" ref="B91:N91" si="38">(B52+B55+B59+B60+B61+B62+B63+B67)-13</f>
        <v>2.3693041868757092E-2</v>
      </c>
      <c r="C91" s="82">
        <f t="shared" si="38"/>
        <v>3.8783127032004927E-4</v>
      </c>
      <c r="D91" s="82">
        <f t="shared" si="38"/>
        <v>1.4150068214863865E-2</v>
      </c>
      <c r="E91" s="82">
        <f t="shared" si="38"/>
        <v>3.9361504980192308E-2</v>
      </c>
      <c r="F91" s="82">
        <f t="shared" si="38"/>
        <v>3.0039896972086311E-2</v>
      </c>
      <c r="G91" s="82">
        <f t="shared" si="38"/>
        <v>3.6355084099398027E-2</v>
      </c>
      <c r="H91" s="25">
        <f t="shared" si="38"/>
        <v>8.2685163080942203E-2</v>
      </c>
      <c r="I91" s="25">
        <f t="shared" si="38"/>
        <v>0.11993040078605866</v>
      </c>
      <c r="J91" s="25">
        <f t="shared" si="38"/>
        <v>5.7831570446026603E-2</v>
      </c>
      <c r="K91" s="25">
        <f t="shared" si="38"/>
        <v>6.4927309708801673E-2</v>
      </c>
      <c r="L91" s="25">
        <f t="shared" si="38"/>
        <v>5.8799109867388566E-2</v>
      </c>
      <c r="M91" s="25">
        <f t="shared" si="38"/>
        <v>6.7875180034743465E-2</v>
      </c>
      <c r="N91" s="25">
        <f t="shared" si="38"/>
        <v>2.7046543192499328E-2</v>
      </c>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spans="1:44" s="3" customFormat="1">
      <c r="A92" t="s">
        <v>20</v>
      </c>
      <c r="B92" s="82">
        <f t="shared" ref="B92:N92" si="39">(B52-4)/4</f>
        <v>0.46630327109534009</v>
      </c>
      <c r="C92" s="82">
        <f t="shared" si="39"/>
        <v>0.45842198060545258</v>
      </c>
      <c r="D92" s="82">
        <f t="shared" si="39"/>
        <v>0.50300631779558613</v>
      </c>
      <c r="E92" s="82">
        <f t="shared" si="39"/>
        <v>0.48966508515740403</v>
      </c>
      <c r="F92" s="82">
        <f t="shared" si="39"/>
        <v>0.52727017464944104</v>
      </c>
      <c r="G92" s="82">
        <f t="shared" si="39"/>
        <v>0.51459919156923206</v>
      </c>
      <c r="H92" s="25">
        <f t="shared" si="39"/>
        <v>0.76454378114404298</v>
      </c>
      <c r="I92" s="25">
        <f t="shared" si="39"/>
        <v>0.79184279336436036</v>
      </c>
      <c r="J92" s="25">
        <f t="shared" si="39"/>
        <v>0.77609360627947788</v>
      </c>
      <c r="K92" s="25">
        <f t="shared" si="39"/>
        <v>0.78539696045712959</v>
      </c>
      <c r="L92" s="25">
        <f t="shared" si="39"/>
        <v>0.7680449704567005</v>
      </c>
      <c r="M92" s="25">
        <f t="shared" si="39"/>
        <v>0.74534422398595068</v>
      </c>
      <c r="N92" s="25">
        <f t="shared" si="39"/>
        <v>0.70977583927015075</v>
      </c>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spans="1:44" s="3" customFormat="1">
      <c r="A93" s="3" t="s">
        <v>21</v>
      </c>
      <c r="B93" s="82">
        <f t="shared" ref="B93:N93" si="40">(8-B52)/4</f>
        <v>0.53369672890465991</v>
      </c>
      <c r="C93" s="82">
        <f t="shared" si="40"/>
        <v>0.54157801939454742</v>
      </c>
      <c r="D93" s="82">
        <f t="shared" si="40"/>
        <v>0.49699368220441387</v>
      </c>
      <c r="E93" s="82">
        <f t="shared" si="40"/>
        <v>0.51033491484259597</v>
      </c>
      <c r="F93" s="82">
        <f t="shared" si="40"/>
        <v>0.47272982535055896</v>
      </c>
      <c r="G93" s="82">
        <f t="shared" si="40"/>
        <v>0.48540080843076794</v>
      </c>
      <c r="H93" s="25">
        <f t="shared" si="40"/>
        <v>0.23545621885595702</v>
      </c>
      <c r="I93" s="25">
        <f t="shared" si="40"/>
        <v>0.20815720663563964</v>
      </c>
      <c r="J93" s="25">
        <f t="shared" si="40"/>
        <v>0.22390639372052212</v>
      </c>
      <c r="K93" s="25">
        <f t="shared" si="40"/>
        <v>0.21460303954287041</v>
      </c>
      <c r="L93" s="25">
        <f t="shared" si="40"/>
        <v>0.2319550295432995</v>
      </c>
      <c r="M93" s="25">
        <f t="shared" si="40"/>
        <v>0.25465577601404932</v>
      </c>
      <c r="N93" s="25">
        <f t="shared" si="40"/>
        <v>0.29022416072984925</v>
      </c>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spans="1:44" s="3" customFormat="1">
      <c r="A94" s="3" t="s">
        <v>22</v>
      </c>
      <c r="B94" s="82">
        <f t="shared" ref="B94:N94" si="41">(B52+B55-8)/2</f>
        <v>0.12186156944491167</v>
      </c>
      <c r="C94" s="82">
        <f t="shared" si="41"/>
        <v>9.1894655804444447E-2</v>
      </c>
      <c r="D94" s="82">
        <f t="shared" si="41"/>
        <v>0.15584126775614315</v>
      </c>
      <c r="E94" s="82">
        <f t="shared" si="41"/>
        <v>0.12449811134328659</v>
      </c>
      <c r="F94" s="82">
        <f t="shared" si="41"/>
        <v>0.13316738378503779</v>
      </c>
      <c r="G94" s="82">
        <f t="shared" si="41"/>
        <v>0.1430755256408478</v>
      </c>
      <c r="H94" s="25">
        <f t="shared" si="41"/>
        <v>2.8421112155747608E-2</v>
      </c>
      <c r="I94" s="25">
        <f t="shared" si="41"/>
        <v>3.5826612230952293E-2</v>
      </c>
      <c r="J94" s="25">
        <f t="shared" si="41"/>
        <v>4.4916770574002562E-2</v>
      </c>
      <c r="K94" s="25">
        <f t="shared" si="41"/>
        <v>2.9721510787587668E-2</v>
      </c>
      <c r="L94" s="25">
        <f t="shared" si="41"/>
        <v>2.1369437455676099E-2</v>
      </c>
      <c r="M94" s="25">
        <f t="shared" si="41"/>
        <v>1.9135826642694198E-2</v>
      </c>
      <c r="N94" s="25">
        <f t="shared" si="41"/>
        <v>3.2373742922747084E-2</v>
      </c>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spans="1:44" s="3" customFormat="1">
      <c r="A95" s="3" t="s">
        <v>23</v>
      </c>
      <c r="B95" s="82">
        <f t="shared" ref="B95:N95" si="42">3-B64-B68-B72-B69-B73-B74-B91</f>
        <v>0.28861287853869849</v>
      </c>
      <c r="C95" s="82">
        <f t="shared" si="42"/>
        <v>0.26449248349542553</v>
      </c>
      <c r="D95" s="82">
        <f t="shared" si="42"/>
        <v>0.27246271408657741</v>
      </c>
      <c r="E95" s="82">
        <f t="shared" si="42"/>
        <v>0.29767894341731005</v>
      </c>
      <c r="F95" s="82">
        <f t="shared" si="42"/>
        <v>0.32979951525396889</v>
      </c>
      <c r="G95" s="82">
        <f t="shared" si="42"/>
        <v>0.31611201715949733</v>
      </c>
      <c r="H95" s="25">
        <f t="shared" si="42"/>
        <v>0.64715768218678771</v>
      </c>
      <c r="I95" s="25">
        <f t="shared" si="42"/>
        <v>0.7091297199184371</v>
      </c>
      <c r="J95" s="25">
        <f t="shared" si="42"/>
        <v>0.69815813781067093</v>
      </c>
      <c r="K95" s="25">
        <f t="shared" si="42"/>
        <v>0.70441585835854625</v>
      </c>
      <c r="L95" s="25">
        <f t="shared" si="42"/>
        <v>0.61712510821498512</v>
      </c>
      <c r="M95" s="25">
        <f t="shared" si="42"/>
        <v>0.55733553401143676</v>
      </c>
      <c r="N95" s="25">
        <f t="shared" si="42"/>
        <v>0.52032760619664464</v>
      </c>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spans="1:44" s="3" customFormat="1">
      <c r="A96" s="3" t="s">
        <v>24</v>
      </c>
      <c r="B96" s="82">
        <f t="shared" ref="B96:N96" si="43">B64+B68+B72+B69+B73+B91-2</f>
        <v>0.62681474894080358</v>
      </c>
      <c r="C96" s="82">
        <f t="shared" si="43"/>
        <v>0.64387755643000855</v>
      </c>
      <c r="D96" s="82">
        <f t="shared" si="43"/>
        <v>0.63653587564974146</v>
      </c>
      <c r="E96" s="82">
        <f t="shared" si="43"/>
        <v>0.61723744096985644</v>
      </c>
      <c r="F96" s="82">
        <f t="shared" si="43"/>
        <v>0.51946859128041867</v>
      </c>
      <c r="G96" s="82">
        <f t="shared" si="43"/>
        <v>0.54954574493206376</v>
      </c>
      <c r="H96" s="25">
        <f t="shared" si="43"/>
        <v>0.24365966714511123</v>
      </c>
      <c r="I96" s="25">
        <f t="shared" si="43"/>
        <v>0.18548442576900959</v>
      </c>
      <c r="J96" s="25">
        <f t="shared" si="43"/>
        <v>0.18396359366062454</v>
      </c>
      <c r="K96" s="25">
        <f t="shared" si="43"/>
        <v>0.19663042130879838</v>
      </c>
      <c r="L96" s="25">
        <f t="shared" si="43"/>
        <v>0.25735507090242482</v>
      </c>
      <c r="M96" s="25">
        <f t="shared" si="43"/>
        <v>0.31265173836507154</v>
      </c>
      <c r="N96" s="25">
        <f t="shared" si="43"/>
        <v>0.31248542906764243</v>
      </c>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spans="1:44" s="3" customFormat="1">
      <c r="A97" s="3" t="s">
        <v>25</v>
      </c>
      <c r="B97" s="82">
        <f t="shared" ref="B97:N97" si="44">(2-B64-B68-B72-B91)/2</f>
        <v>6.9396713226178464E-2</v>
      </c>
      <c r="C97" s="82">
        <f t="shared" si="44"/>
        <v>5.7470546318886262E-2</v>
      </c>
      <c r="D97" s="82">
        <f t="shared" si="44"/>
        <v>7.2651380847359337E-2</v>
      </c>
      <c r="E97" s="82">
        <f t="shared" si="44"/>
        <v>7.9310513360168589E-2</v>
      </c>
      <c r="F97" s="82">
        <f t="shared" si="44"/>
        <v>7.4110434173767281E-2</v>
      </c>
      <c r="G97" s="82">
        <f t="shared" si="44"/>
        <v>7.7634983058714635E-2</v>
      </c>
      <c r="H97" s="25">
        <f t="shared" si="44"/>
        <v>5.2542921164324685E-2</v>
      </c>
      <c r="I97" s="25">
        <f t="shared" si="44"/>
        <v>6.5992749607906798E-2</v>
      </c>
      <c r="J97" s="25">
        <f t="shared" si="44"/>
        <v>8.8568749032185146E-2</v>
      </c>
      <c r="K97" s="25">
        <f t="shared" si="44"/>
        <v>5.4911801870890398E-2</v>
      </c>
      <c r="L97" s="25">
        <f t="shared" si="44"/>
        <v>3.9644109074712386E-2</v>
      </c>
      <c r="M97" s="25">
        <f t="shared" si="44"/>
        <v>3.5539634809718557E-2</v>
      </c>
      <c r="N97" s="25">
        <f t="shared" si="44"/>
        <v>5.9733863608035009E-2</v>
      </c>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spans="1:44" s="3" customFormat="1">
      <c r="A98" s="3" t="s">
        <v>26</v>
      </c>
      <c r="B98" s="82">
        <f t="shared" ref="B98:N98" si="45">(B64+B68+B72)/2</f>
        <v>0.91875676583944299</v>
      </c>
      <c r="C98" s="82">
        <f t="shared" si="45"/>
        <v>0.94233553804595371</v>
      </c>
      <c r="D98" s="82">
        <f t="shared" si="45"/>
        <v>0.92027358504520873</v>
      </c>
      <c r="E98" s="82">
        <f t="shared" si="45"/>
        <v>0.90100873414973526</v>
      </c>
      <c r="F98" s="82">
        <f t="shared" si="45"/>
        <v>0.91086961734018956</v>
      </c>
      <c r="G98" s="82">
        <f t="shared" si="45"/>
        <v>0.90418747489158635</v>
      </c>
      <c r="H98" s="25">
        <f t="shared" si="45"/>
        <v>0.90611449729520421</v>
      </c>
      <c r="I98" s="25">
        <f t="shared" si="45"/>
        <v>0.87404204999906387</v>
      </c>
      <c r="J98" s="25">
        <f t="shared" si="45"/>
        <v>0.88251546574480155</v>
      </c>
      <c r="K98" s="25">
        <f t="shared" si="45"/>
        <v>0.91262454327470877</v>
      </c>
      <c r="L98" s="25">
        <f t="shared" si="45"/>
        <v>0.93095633599159333</v>
      </c>
      <c r="M98" s="25">
        <f t="shared" si="45"/>
        <v>0.93052277517290971</v>
      </c>
      <c r="N98" s="25">
        <f t="shared" si="45"/>
        <v>0.92674286479571533</v>
      </c>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spans="1:44" s="3" customFormat="1">
      <c r="A99" s="3" t="s">
        <v>27</v>
      </c>
      <c r="B99" s="82">
        <f t="shared" ref="B99:N99" si="46">B74</f>
        <v>8.4572372520497929E-2</v>
      </c>
      <c r="C99" s="82">
        <f t="shared" si="46"/>
        <v>9.1629960074566044E-2</v>
      </c>
      <c r="D99" s="82">
        <f t="shared" si="46"/>
        <v>9.1001410263680943E-2</v>
      </c>
      <c r="E99" s="82">
        <f t="shared" si="46"/>
        <v>8.5083615612833632E-2</v>
      </c>
      <c r="F99" s="82">
        <f t="shared" si="46"/>
        <v>0.15073189346561236</v>
      </c>
      <c r="G99" s="82">
        <f t="shared" si="46"/>
        <v>0.13434223790843894</v>
      </c>
      <c r="H99" s="25">
        <f t="shared" si="46"/>
        <v>0.10918265066810108</v>
      </c>
      <c r="I99" s="25">
        <f t="shared" si="46"/>
        <v>0.1053858543125534</v>
      </c>
      <c r="J99" s="25">
        <f t="shared" si="46"/>
        <v>0.11787826852870453</v>
      </c>
      <c r="K99" s="25">
        <f t="shared" si="46"/>
        <v>9.8953720332655551E-2</v>
      </c>
      <c r="L99" s="25">
        <f t="shared" si="46"/>
        <v>0.12551982088259012</v>
      </c>
      <c r="M99" s="25">
        <f t="shared" si="46"/>
        <v>0.1300127276234917</v>
      </c>
      <c r="N99" s="25">
        <f t="shared" si="46"/>
        <v>0.1671869647357129</v>
      </c>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spans="1:44" s="3" customFormat="1">
      <c r="A100" s="3" t="s">
        <v>28</v>
      </c>
      <c r="B100" s="82">
        <f t="shared" ref="B100:N100" si="47">(27/256)*(B95*B92*B38)/(B96*B93)</f>
        <v>3.3944092824612318E-2</v>
      </c>
      <c r="C100" s="82">
        <f t="shared" si="47"/>
        <v>2.5670615966572222E-2</v>
      </c>
      <c r="D100" s="82">
        <f t="shared" si="47"/>
        <v>2.7414593694376516E-2</v>
      </c>
      <c r="E100" s="82">
        <f t="shared" si="47"/>
        <v>2.4402454587633658E-2</v>
      </c>
      <c r="F100" s="82">
        <f t="shared" si="47"/>
        <v>5.2279660700270812E-2</v>
      </c>
      <c r="G100" s="82">
        <f t="shared" si="47"/>
        <v>5.1454047925035697E-2</v>
      </c>
      <c r="H100" s="25">
        <f t="shared" si="47"/>
        <v>0.81862493164228911</v>
      </c>
      <c r="I100" s="25">
        <f t="shared" si="47"/>
        <v>1.2270988255807087</v>
      </c>
      <c r="J100" s="25">
        <f t="shared" si="47"/>
        <v>1.0016835152535097</v>
      </c>
      <c r="K100" s="25">
        <f t="shared" si="47"/>
        <v>0.9886933266697675</v>
      </c>
      <c r="L100" s="25">
        <f t="shared" si="47"/>
        <v>0.64314420517131565</v>
      </c>
      <c r="M100" s="25">
        <f t="shared" si="47"/>
        <v>0.41160879065268691</v>
      </c>
      <c r="N100" s="25">
        <f t="shared" si="47"/>
        <v>0.30708922994716614</v>
      </c>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spans="1:44" s="3" customFormat="1">
      <c r="B101" s="82"/>
      <c r="C101" s="82"/>
      <c r="D101" s="82"/>
      <c r="E101" s="82"/>
      <c r="F101" s="82"/>
      <c r="G101" s="82"/>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spans="1:44" s="3" customFormat="1">
      <c r="A102" s="10" t="s">
        <v>29</v>
      </c>
      <c r="B102" s="82"/>
      <c r="C102" s="82"/>
      <c r="D102" s="82"/>
      <c r="E102" s="82"/>
      <c r="F102" s="82"/>
      <c r="G102" s="82"/>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spans="1:44" s="3" customFormat="1">
      <c r="A103" s="3" t="s">
        <v>30</v>
      </c>
      <c r="B103" s="82">
        <v>2</v>
      </c>
      <c r="C103" s="82">
        <v>2</v>
      </c>
      <c r="D103" s="82">
        <v>2</v>
      </c>
      <c r="E103" s="82">
        <v>2</v>
      </c>
      <c r="F103" s="82">
        <v>2</v>
      </c>
      <c r="G103" s="82">
        <v>2</v>
      </c>
      <c r="H103" s="25">
        <v>2</v>
      </c>
      <c r="I103" s="25">
        <v>2</v>
      </c>
      <c r="J103" s="25">
        <v>2</v>
      </c>
      <c r="K103" s="25">
        <v>2</v>
      </c>
      <c r="L103" s="25">
        <v>2</v>
      </c>
      <c r="M103" s="25">
        <v>2</v>
      </c>
      <c r="N103" s="25">
        <v>2</v>
      </c>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spans="1:44" s="104" customFormat="1">
      <c r="A104" s="101" t="s">
        <v>31</v>
      </c>
      <c r="B104" s="102">
        <f>((-76.95+B103*0.79+39.4*B$96+22.4*B$99+(41.5-2.89*B103)*B$94)/(-0.065-0.0083144*LN(B$100)))-273.15</f>
        <v>931.72426598990353</v>
      </c>
      <c r="C104" s="102">
        <f t="shared" ref="C104:N104" si="48">((-76.95+C103*0.79+39.4*C$96+22.4*C$99+(41.5-2.89*C103)*C$94)/(-0.065-0.0083144*LN(C$100)))-273.15</f>
        <v>1019.6771075809532</v>
      </c>
      <c r="D104" s="102">
        <f t="shared" si="48"/>
        <v>943.10512820273618</v>
      </c>
      <c r="E104" s="102">
        <f t="shared" si="48"/>
        <v>1036.561957835559</v>
      </c>
      <c r="F104" s="102">
        <f t="shared" si="48"/>
        <v>882.71663885185114</v>
      </c>
      <c r="G104" s="102">
        <f t="shared" si="48"/>
        <v>857.45418600640744</v>
      </c>
      <c r="H104" s="102">
        <f t="shared" si="48"/>
        <v>710.63285743286087</v>
      </c>
      <c r="I104" s="102">
        <f t="shared" si="48"/>
        <v>692.66758509755573</v>
      </c>
      <c r="J104" s="102">
        <f t="shared" si="48"/>
        <v>709.36066307035912</v>
      </c>
      <c r="K104" s="102">
        <f t="shared" si="48"/>
        <v>718.20803633020932</v>
      </c>
      <c r="L104" s="102">
        <f t="shared" si="48"/>
        <v>732.15101946253378</v>
      </c>
      <c r="M104" s="102">
        <f t="shared" si="48"/>
        <v>758.71852673958722</v>
      </c>
      <c r="N104" s="102">
        <f t="shared" si="48"/>
        <v>780.72111958470953</v>
      </c>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row>
    <row r="105" spans="1:44" s="9" customFormat="1">
      <c r="A105" s="27" t="s">
        <v>32</v>
      </c>
      <c r="B105" s="85">
        <f t="shared" ref="B105:N105" si="49">((78.44+3-33.6*B$97-(66.8-2.92*B103)*B$94+78.5*B$93+9.4*B$96)/(0.0721-0.0083144*LN((27*B$97*B$92*B$39)/(64*B$98*B$93*B$38))))-273.15</f>
        <v>780.33184212076173</v>
      </c>
      <c r="C105" s="85">
        <f t="shared" si="49"/>
        <v>830.58612876436939</v>
      </c>
      <c r="D105" s="85">
        <f t="shared" si="49"/>
        <v>831.41675686084648</v>
      </c>
      <c r="E105" s="85">
        <f t="shared" si="49"/>
        <v>899.39671615247323</v>
      </c>
      <c r="F105" s="85">
        <f t="shared" si="49"/>
        <v>788.5042457368603</v>
      </c>
      <c r="G105" s="85">
        <f t="shared" si="49"/>
        <v>750.79169735299104</v>
      </c>
      <c r="H105" s="28">
        <f t="shared" si="49"/>
        <v>612.76849583069202</v>
      </c>
      <c r="I105" s="28">
        <f t="shared" si="49"/>
        <v>667.03534653661654</v>
      </c>
      <c r="J105" s="28">
        <f t="shared" si="49"/>
        <v>716.86211028433684</v>
      </c>
      <c r="K105" s="28">
        <f t="shared" si="49"/>
        <v>696.43168028643481</v>
      </c>
      <c r="L105" s="28">
        <f t="shared" si="49"/>
        <v>669.19795012252246</v>
      </c>
      <c r="M105" s="28">
        <f t="shared" si="49"/>
        <v>684.3210278255018</v>
      </c>
      <c r="N105" s="28">
        <f t="shared" si="49"/>
        <v>735.60462291167403</v>
      </c>
      <c r="O105" s="105" t="s">
        <v>162</v>
      </c>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row>
    <row r="106" spans="1:44" s="3" customFormat="1">
      <c r="A106" t="s">
        <v>33</v>
      </c>
      <c r="B106" s="86">
        <f t="shared" ref="B106:N106" si="50">(0.677*B103-48.98)/(-0.0429-0.008314*LN(B$38*(B$52-4)/(8-B$52)))-273.15</f>
        <v>919.81241183360373</v>
      </c>
      <c r="C106" s="86">
        <f t="shared" si="50"/>
        <v>962.32662923146256</v>
      </c>
      <c r="D106" s="86">
        <f t="shared" si="50"/>
        <v>955.81370948922438</v>
      </c>
      <c r="E106" s="86">
        <f t="shared" si="50"/>
        <v>1021.2659676611617</v>
      </c>
      <c r="F106" s="86">
        <f t="shared" si="50"/>
        <v>892.94203509423676</v>
      </c>
      <c r="G106" s="86">
        <f t="shared" si="50"/>
        <v>873.6234922664986</v>
      </c>
      <c r="H106" s="29">
        <f t="shared" si="50"/>
        <v>645.98904026886134</v>
      </c>
      <c r="I106" s="29">
        <f t="shared" si="50"/>
        <v>640.05007869681333</v>
      </c>
      <c r="J106" s="29">
        <f t="shared" si="50"/>
        <v>669.44343083227159</v>
      </c>
      <c r="K106" s="29">
        <f t="shared" si="50"/>
        <v>662.57454411001777</v>
      </c>
      <c r="L106" s="29">
        <f t="shared" si="50"/>
        <v>666.96458030150222</v>
      </c>
      <c r="M106" s="29">
        <f t="shared" si="50"/>
        <v>690.65239730759617</v>
      </c>
      <c r="N106" s="29">
        <f t="shared" si="50"/>
        <v>728.53145693395777</v>
      </c>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spans="1:44" s="3" customFormat="1">
      <c r="A107"/>
      <c r="B107" s="86"/>
      <c r="C107" s="86"/>
      <c r="D107" s="86"/>
      <c r="E107" s="86"/>
      <c r="F107" s="86"/>
      <c r="G107" s="86"/>
      <c r="H107" s="29"/>
      <c r="I107" s="29"/>
      <c r="J107" s="29"/>
      <c r="K107" s="29"/>
      <c r="L107" s="29"/>
      <c r="M107" s="29"/>
      <c r="N107" s="29"/>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spans="1:44" s="3" customFormat="1">
      <c r="A108" s="3" t="s">
        <v>30</v>
      </c>
      <c r="B108" s="82">
        <v>8</v>
      </c>
      <c r="C108" s="82">
        <v>8</v>
      </c>
      <c r="D108" s="82">
        <v>8</v>
      </c>
      <c r="E108" s="82">
        <v>8</v>
      </c>
      <c r="F108" s="82">
        <v>8</v>
      </c>
      <c r="G108" s="82">
        <v>8</v>
      </c>
      <c r="H108" s="25">
        <v>8</v>
      </c>
      <c r="I108" s="25">
        <v>8</v>
      </c>
      <c r="J108" s="25">
        <v>8</v>
      </c>
      <c r="K108" s="25">
        <v>8</v>
      </c>
      <c r="L108" s="25">
        <v>8</v>
      </c>
      <c r="M108" s="25">
        <v>8</v>
      </c>
      <c r="N108" s="25">
        <v>8</v>
      </c>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spans="1:44" s="9" customFormat="1">
      <c r="A109" s="27" t="s">
        <v>31</v>
      </c>
      <c r="B109" s="85">
        <f t="shared" ref="B109:N109" si="51">((-76.95+B108*0.79+39.4*B$96+22.4*B$99+(41.5-2.89*B108)*B$94)/(-0.065-0.0083144*LN(B$100)))-273.15</f>
        <v>860.48004480046018</v>
      </c>
      <c r="C109" s="85">
        <f t="shared" si="51"/>
        <v>928.60292747467849</v>
      </c>
      <c r="D109" s="85">
        <f t="shared" si="51"/>
        <v>885.04363886563931</v>
      </c>
      <c r="E109" s="85">
        <f t="shared" si="51"/>
        <v>960.92904981540926</v>
      </c>
      <c r="F109" s="85">
        <f t="shared" si="51"/>
        <v>822.64005028559461</v>
      </c>
      <c r="G109" s="85">
        <f t="shared" si="51"/>
        <v>801.44041555892397</v>
      </c>
      <c r="H109" s="28">
        <f t="shared" si="51"/>
        <v>643.57502494881373</v>
      </c>
      <c r="I109" s="28">
        <f t="shared" si="51"/>
        <v>630.91841057841418</v>
      </c>
      <c r="J109" s="28">
        <f t="shared" si="51"/>
        <v>648.4331078890533</v>
      </c>
      <c r="K109" s="28">
        <f t="shared" si="51"/>
        <v>653.11907087024656</v>
      </c>
      <c r="L109" s="28">
        <f t="shared" si="51"/>
        <v>660.90621028265548</v>
      </c>
      <c r="M109" s="28">
        <f t="shared" si="51"/>
        <v>682.21338489600441</v>
      </c>
      <c r="N109" s="28">
        <f t="shared" si="51"/>
        <v>704.99901742164366</v>
      </c>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row>
    <row r="110" spans="1:44" s="9" customFormat="1">
      <c r="A110" s="27" t="s">
        <v>32</v>
      </c>
      <c r="B110" s="85">
        <f t="shared" ref="B110:N110" si="52">((78.44+3-33.6*B$97-(66.8-2.92*B108)*B$94+78.5*B$93+9.4*B$96)/(0.0721-0.0083144*LN((27*B$97*B$92*B$39)/(64*B$98*B$93*B$38))))-273.15</f>
        <v>799.15881700667967</v>
      </c>
      <c r="C110" s="85">
        <f t="shared" si="52"/>
        <v>845.09547312491065</v>
      </c>
      <c r="D110" s="85">
        <f t="shared" si="52"/>
        <v>857.75684352795668</v>
      </c>
      <c r="E110" s="85">
        <f t="shared" si="52"/>
        <v>921.24709634307612</v>
      </c>
      <c r="F110" s="85">
        <f t="shared" si="52"/>
        <v>810.45818285751955</v>
      </c>
      <c r="G110" s="85">
        <f t="shared" si="52"/>
        <v>773.42985130872682</v>
      </c>
      <c r="H110" s="28">
        <f t="shared" si="52"/>
        <v>617.23721041872682</v>
      </c>
      <c r="I110" s="28">
        <f t="shared" si="52"/>
        <v>673.23931883119565</v>
      </c>
      <c r="J110" s="28">
        <f t="shared" si="52"/>
        <v>725.06022218704913</v>
      </c>
      <c r="K110" s="28">
        <f t="shared" si="52"/>
        <v>701.66481568548795</v>
      </c>
      <c r="L110" s="28">
        <f t="shared" si="52"/>
        <v>672.74615299641664</v>
      </c>
      <c r="M110" s="28">
        <f t="shared" si="52"/>
        <v>687.46783065865236</v>
      </c>
      <c r="N110" s="28">
        <f t="shared" si="52"/>
        <v>741.14985288364448</v>
      </c>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row>
    <row r="111" spans="1:44" s="3" customFormat="1">
      <c r="A111" t="s">
        <v>33</v>
      </c>
      <c r="B111" s="86">
        <f t="shared" ref="B111:N111" si="53">(0.677*B108-48.98)/(-0.0429-0.008314*LN(B$38*(B$52-4)/(8-B$52)))-273.15</f>
        <v>818.06518727415926</v>
      </c>
      <c r="C111" s="86">
        <f t="shared" si="53"/>
        <v>856.95338629822857</v>
      </c>
      <c r="D111" s="86">
        <f t="shared" si="53"/>
        <v>850.99595053518181</v>
      </c>
      <c r="E111" s="86">
        <f t="shared" si="53"/>
        <v>910.86581520998686</v>
      </c>
      <c r="F111" s="86">
        <f t="shared" si="53"/>
        <v>793.4865728141209</v>
      </c>
      <c r="G111" s="86">
        <f t="shared" si="53"/>
        <v>775.8156997668865</v>
      </c>
      <c r="H111" s="29">
        <f t="shared" si="53"/>
        <v>567.59608722699102</v>
      </c>
      <c r="I111" s="29">
        <f t="shared" si="53"/>
        <v>562.16365700138522</v>
      </c>
      <c r="J111" s="29">
        <f t="shared" si="53"/>
        <v>589.05006342705826</v>
      </c>
      <c r="K111" s="29">
        <f t="shared" si="53"/>
        <v>582.7670209467268</v>
      </c>
      <c r="L111" s="29">
        <f t="shared" si="53"/>
        <v>586.78263293693863</v>
      </c>
      <c r="M111" s="29">
        <f t="shared" si="53"/>
        <v>608.45012674396582</v>
      </c>
      <c r="N111" s="29">
        <f t="shared" si="53"/>
        <v>643.09849850650767</v>
      </c>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spans="1:44" s="3" customFormat="1">
      <c r="A112"/>
      <c r="B112" s="86"/>
      <c r="C112" s="82"/>
      <c r="D112" s="82"/>
      <c r="E112" s="82"/>
      <c r="F112" s="82"/>
      <c r="G112" s="82"/>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spans="1:44" s="3" customFormat="1">
      <c r="A113" s="10" t="s">
        <v>34</v>
      </c>
      <c r="B113" s="64"/>
      <c r="C113" s="64"/>
      <c r="D113" s="64"/>
      <c r="E113" s="64"/>
      <c r="F113" s="64"/>
      <c r="G113" s="64"/>
      <c r="H113" s="14"/>
      <c r="I113" s="14"/>
      <c r="J113" s="14"/>
      <c r="K113" s="14"/>
      <c r="L113" s="14"/>
      <c r="M113" s="14"/>
      <c r="N113" s="14"/>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row>
    <row r="114" spans="1:44" s="9" customFormat="1">
      <c r="A114" s="40" t="s">
        <v>35</v>
      </c>
      <c r="B114" s="87">
        <f t="shared" ref="B114:N114" si="54">4.76*B55-3.01</f>
        <v>8.3117078594602862</v>
      </c>
      <c r="C114" s="87">
        <f t="shared" si="54"/>
        <v>8.1764826125304921</v>
      </c>
      <c r="D114" s="87">
        <f t="shared" si="54"/>
        <v>7.9363685782105247</v>
      </c>
      <c r="E114" s="87">
        <f t="shared" si="54"/>
        <v>7.891998798591116</v>
      </c>
      <c r="F114" s="87">
        <f t="shared" si="54"/>
        <v>7.2585293683082046</v>
      </c>
      <c r="G114" s="87">
        <f t="shared" si="54"/>
        <v>7.5941103966226926</v>
      </c>
      <c r="H114" s="26">
        <f t="shared" si="54"/>
        <v>1.743655394740137</v>
      </c>
      <c r="I114" s="26">
        <f t="shared" si="54"/>
        <v>1.2943825627812426</v>
      </c>
      <c r="J114" s="26">
        <f t="shared" si="54"/>
        <v>1.680785392303247</v>
      </c>
      <c r="K114" s="26">
        <f t="shared" si="54"/>
        <v>1.3589906555940869</v>
      </c>
      <c r="L114" s="26">
        <f t="shared" si="54"/>
        <v>1.609860807082458</v>
      </c>
      <c r="M114" s="26">
        <f t="shared" si="54"/>
        <v>2.020819044945946</v>
      </c>
      <c r="N114" s="26">
        <f t="shared" si="54"/>
        <v>2.8240660529208812</v>
      </c>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row>
    <row r="115" spans="1:44" s="9" customFormat="1">
      <c r="A115" s="27" t="s">
        <v>31</v>
      </c>
      <c r="B115" s="85">
        <f t="shared" ref="B115:N115" si="55">((-76.95+B114*0.79+39.4*B$96+22.4*B$99+(41.5-2.89*B$114)*B$94)/(-0.065-0.0083144*LN(B$100)))-273.15</f>
        <v>856.77881418614754</v>
      </c>
      <c r="C115" s="85">
        <f t="shared" si="55"/>
        <v>925.92409260147417</v>
      </c>
      <c r="D115" s="85">
        <f t="shared" si="55"/>
        <v>885.65939471859531</v>
      </c>
      <c r="E115" s="85">
        <f t="shared" si="55"/>
        <v>962.29045730411337</v>
      </c>
      <c r="F115" s="85">
        <f t="shared" si="55"/>
        <v>830.0642212979468</v>
      </c>
      <c r="G115" s="85">
        <f t="shared" si="55"/>
        <v>805.22965007069013</v>
      </c>
      <c r="H115" s="28">
        <f t="shared" si="55"/>
        <v>713.4978430324785</v>
      </c>
      <c r="I115" s="28">
        <f t="shared" si="55"/>
        <v>699.92946747665087</v>
      </c>
      <c r="J115" s="28">
        <f t="shared" si="55"/>
        <v>712.60215734121289</v>
      </c>
      <c r="K115" s="28">
        <f t="shared" si="55"/>
        <v>725.16180884313428</v>
      </c>
      <c r="L115" s="28">
        <f t="shared" si="55"/>
        <v>736.78358485470073</v>
      </c>
      <c r="M115" s="28">
        <f t="shared" si="55"/>
        <v>758.4530660751476</v>
      </c>
      <c r="N115" s="28">
        <f t="shared" si="55"/>
        <v>770.32111727664471</v>
      </c>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row>
    <row r="116" spans="1:44" s="9" customFormat="1">
      <c r="A116" s="27" t="s">
        <v>32</v>
      </c>
      <c r="B116" s="85">
        <f t="shared" ref="B116:N116" si="56">((78.44+3-33.6*B$97-(66.8-2.92*B114)*B$94+78.5*B$93+9.4*B$96)/(0.0721-0.0083144*LN((27*B$97*B$92*B$39)/(64*B$98*B$93*B$38))))-273.15</f>
        <v>800.1369030136467</v>
      </c>
      <c r="C116" s="85">
        <f t="shared" si="56"/>
        <v>845.52224762471985</v>
      </c>
      <c r="D116" s="85">
        <f t="shared" si="56"/>
        <v>857.4775006671756</v>
      </c>
      <c r="E116" s="85">
        <f t="shared" si="56"/>
        <v>920.85378512443879</v>
      </c>
      <c r="F116" s="85">
        <f t="shared" si="56"/>
        <v>807.74514958669022</v>
      </c>
      <c r="G116" s="85">
        <f t="shared" si="56"/>
        <v>771.89841942034525</v>
      </c>
      <c r="H116" s="28">
        <f t="shared" si="56"/>
        <v>612.57757401784397</v>
      </c>
      <c r="I116" s="28">
        <f t="shared" si="56"/>
        <v>666.30574136477037</v>
      </c>
      <c r="J116" s="28">
        <f t="shared" si="56"/>
        <v>716.42595077185706</v>
      </c>
      <c r="K116" s="28">
        <f t="shared" si="56"/>
        <v>695.87259883787897</v>
      </c>
      <c r="L116" s="28">
        <f t="shared" si="56"/>
        <v>668.96723462160105</v>
      </c>
      <c r="M116" s="28">
        <f t="shared" si="56"/>
        <v>684.33194673043829</v>
      </c>
      <c r="N116" s="28">
        <f t="shared" si="56"/>
        <v>736.36622887426404</v>
      </c>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row>
    <row r="117" spans="1:44" s="9" customFormat="1">
      <c r="A117" s="41" t="s">
        <v>33</v>
      </c>
      <c r="B117" s="88">
        <f t="shared" ref="B117:N117" si="57">(0.677*B114-48.98)/(-0.0429-0.008314*LN(B$38*(B$52-4)/(8-B$52)))-273.15</f>
        <v>812.77928567858442</v>
      </c>
      <c r="C117" s="88">
        <f t="shared" si="57"/>
        <v>853.85396209761723</v>
      </c>
      <c r="D117" s="88">
        <f t="shared" si="57"/>
        <v>852.10756770702039</v>
      </c>
      <c r="E117" s="88">
        <f t="shared" si="57"/>
        <v>912.8530400600622</v>
      </c>
      <c r="F117" s="88">
        <f t="shared" si="57"/>
        <v>805.77712355446045</v>
      </c>
      <c r="G117" s="88">
        <f t="shared" si="57"/>
        <v>782.43222745103265</v>
      </c>
      <c r="H117" s="42">
        <f t="shared" si="57"/>
        <v>649.33830870264023</v>
      </c>
      <c r="I117" s="42">
        <f t="shared" si="57"/>
        <v>649.20974824195775</v>
      </c>
      <c r="J117" s="42">
        <f t="shared" si="57"/>
        <v>673.72055370521764</v>
      </c>
      <c r="K117" s="42">
        <f t="shared" si="57"/>
        <v>671.10077212694466</v>
      </c>
      <c r="L117" s="42">
        <f t="shared" si="57"/>
        <v>672.17826700673004</v>
      </c>
      <c r="M117" s="42">
        <f t="shared" si="57"/>
        <v>690.36716851334222</v>
      </c>
      <c r="N117" s="42">
        <f t="shared" si="57"/>
        <v>716.79772346051402</v>
      </c>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row>
    <row r="118" spans="1:44" s="3" customFormat="1">
      <c r="A118"/>
      <c r="B118" s="64"/>
      <c r="C118" s="64"/>
      <c r="D118" s="64"/>
      <c r="E118" s="64"/>
      <c r="F118" s="64"/>
      <c r="G118" s="64"/>
      <c r="H118" s="14"/>
      <c r="I118" s="14"/>
      <c r="J118" s="14"/>
      <c r="K118" s="14"/>
      <c r="L118" s="14"/>
      <c r="M118" s="14"/>
      <c r="N118" s="14"/>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row>
    <row r="119" spans="1:44" s="3" customFormat="1">
      <c r="A119" s="53" t="s">
        <v>155</v>
      </c>
      <c r="B119" s="89"/>
      <c r="C119" s="89"/>
      <c r="D119" s="89"/>
      <c r="E119" s="89"/>
      <c r="F119" s="89"/>
      <c r="G119" s="89"/>
      <c r="H119" s="47"/>
      <c r="I119" s="47"/>
      <c r="J119" s="47"/>
      <c r="K119" s="47"/>
      <c r="L119" s="47"/>
      <c r="M119" s="47"/>
      <c r="N119" s="47"/>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row>
    <row r="120" spans="1:44" s="9" customFormat="1">
      <c r="A120" s="48" t="str">
        <f t="shared" ref="A120:N120" si="58">A179</f>
        <v>T (C) HB1*</v>
      </c>
      <c r="B120" s="85">
        <f t="shared" si="58"/>
        <v>972.93871765825531</v>
      </c>
      <c r="C120" s="85">
        <f t="shared" si="58"/>
        <v>1731.4975571868949</v>
      </c>
      <c r="D120" s="85">
        <f t="shared" si="58"/>
        <v>986.74285826701464</v>
      </c>
      <c r="E120" s="85">
        <f t="shared" si="58"/>
        <v>1498.8876459235803</v>
      </c>
      <c r="F120" s="85">
        <f t="shared" si="58"/>
        <v>886.21461129978377</v>
      </c>
      <c r="G120" s="85">
        <f t="shared" si="58"/>
        <v>843.59051721545427</v>
      </c>
      <c r="H120" s="28">
        <f t="shared" si="58"/>
        <v>717.7444195745345</v>
      </c>
      <c r="I120" s="28">
        <f t="shared" si="58"/>
        <v>701.95978398809427</v>
      </c>
      <c r="J120" s="28">
        <f t="shared" si="58"/>
        <v>716.25242753973669</v>
      </c>
      <c r="K120" s="28">
        <f t="shared" si="58"/>
        <v>730.71867610090965</v>
      </c>
      <c r="L120" s="28">
        <f t="shared" si="58"/>
        <v>745.53056219504469</v>
      </c>
      <c r="M120" s="28">
        <f t="shared" si="58"/>
        <v>774.72951331183629</v>
      </c>
      <c r="N120" s="28">
        <f t="shared" si="58"/>
        <v>792.49802146368654</v>
      </c>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row>
    <row r="121" spans="1:44" s="44" customFormat="1">
      <c r="A121" s="49" t="str">
        <f t="shared" ref="A121:N121" si="59">A180</f>
        <v xml:space="preserve">    P(Kb) HB1*</v>
      </c>
      <c r="B121" s="90">
        <f t="shared" si="59"/>
        <v>-1.6355822725678006</v>
      </c>
      <c r="C121" s="90">
        <f t="shared" si="59"/>
        <v>-76.823740039178489</v>
      </c>
      <c r="D121" s="90">
        <f t="shared" si="59"/>
        <v>-2.5865484313820026</v>
      </c>
      <c r="E121" s="90">
        <f t="shared" si="59"/>
        <v>-46.150564479160458</v>
      </c>
      <c r="F121" s="90">
        <f t="shared" si="59"/>
        <v>1.6389414708445811</v>
      </c>
      <c r="G121" s="87">
        <f t="shared" si="59"/>
        <v>3.482033036252334</v>
      </c>
      <c r="H121" s="43">
        <f t="shared" si="59"/>
        <v>1.3636914387190078</v>
      </c>
      <c r="I121" s="43">
        <f t="shared" si="59"/>
        <v>1.0971020967578293</v>
      </c>
      <c r="J121" s="43">
        <f t="shared" si="59"/>
        <v>1.3213148045580785</v>
      </c>
      <c r="K121" s="43">
        <f t="shared" si="59"/>
        <v>0.84674728894842022</v>
      </c>
      <c r="L121" s="43">
        <f t="shared" si="59"/>
        <v>0.87320222386816437</v>
      </c>
      <c r="M121" s="43">
        <f t="shared" si="59"/>
        <v>0.74413782260888817</v>
      </c>
      <c r="N121" s="43">
        <f t="shared" si="59"/>
        <v>1.0662598303071784</v>
      </c>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row>
    <row r="122" spans="1:44" s="8" customFormat="1">
      <c r="A122" s="50" t="str">
        <f t="shared" ref="A122:N122" si="60">A181</f>
        <v>T (C) HB2</v>
      </c>
      <c r="B122" s="91">
        <f t="shared" si="60"/>
        <v>792.0154806750628</v>
      </c>
      <c r="C122" s="91">
        <f t="shared" si="60"/>
        <v>835.91981380173854</v>
      </c>
      <c r="D122" s="91">
        <f t="shared" si="60"/>
        <v>839.69419868201123</v>
      </c>
      <c r="E122" s="91">
        <f t="shared" si="60"/>
        <v>897.98023743054443</v>
      </c>
      <c r="F122" s="91">
        <f t="shared" si="60"/>
        <v>798.22044006911449</v>
      </c>
      <c r="G122" s="92">
        <f t="shared" si="60"/>
        <v>765.2540117275795</v>
      </c>
      <c r="H122" s="31">
        <f t="shared" si="60"/>
        <v>612.686450066166</v>
      </c>
      <c r="I122" s="31">
        <f t="shared" si="60"/>
        <v>666.35134723270016</v>
      </c>
      <c r="J122" s="31">
        <f t="shared" si="60"/>
        <v>715.93960188128915</v>
      </c>
      <c r="K122" s="31">
        <f t="shared" si="60"/>
        <v>695.74566504336053</v>
      </c>
      <c r="L122" s="31">
        <f t="shared" si="60"/>
        <v>668.98742086462812</v>
      </c>
      <c r="M122" s="31">
        <f t="shared" si="60"/>
        <v>684.29699050052125</v>
      </c>
      <c r="N122" s="31">
        <f t="shared" si="60"/>
        <v>735.72506672605016</v>
      </c>
      <c r="O122" s="58" t="s">
        <v>36</v>
      </c>
      <c r="P122" s="59"/>
      <c r="Q122" s="60"/>
      <c r="R122" s="56"/>
      <c r="S122" s="56"/>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row>
    <row r="123" spans="1:44" s="46" customFormat="1">
      <c r="A123" s="51" t="str">
        <f t="shared" ref="A123:N123" si="61">A182</f>
        <v xml:space="preserve">   P(Kb) HB2</v>
      </c>
      <c r="B123" s="93">
        <f t="shared" si="61"/>
        <v>5.723476468330742</v>
      </c>
      <c r="C123" s="93">
        <f t="shared" si="61"/>
        <v>4.2056191711919677</v>
      </c>
      <c r="D123" s="93">
        <f t="shared" si="61"/>
        <v>3.8854542775666374</v>
      </c>
      <c r="E123" s="93">
        <f t="shared" si="61"/>
        <v>1.6109461545645569</v>
      </c>
      <c r="F123" s="93">
        <f t="shared" si="61"/>
        <v>4.6554270226647709</v>
      </c>
      <c r="G123" s="94">
        <f t="shared" si="61"/>
        <v>5.8330799500564359</v>
      </c>
      <c r="H123" s="45">
        <f t="shared" si="61"/>
        <v>1.8898397788761281</v>
      </c>
      <c r="I123" s="45">
        <f t="shared" si="61"/>
        <v>1.3384890150002964</v>
      </c>
      <c r="J123" s="45">
        <f t="shared" si="61"/>
        <v>1.3248383915698942</v>
      </c>
      <c r="K123" s="45">
        <f t="shared" si="61"/>
        <v>1.2134559600368595</v>
      </c>
      <c r="L123" s="45">
        <f t="shared" si="61"/>
        <v>1.6439956811209493</v>
      </c>
      <c r="M123" s="45">
        <f t="shared" si="61"/>
        <v>1.9541681009171328</v>
      </c>
      <c r="N123" s="45">
        <f t="shared" si="61"/>
        <v>2.1303215357846823</v>
      </c>
      <c r="O123" s="61" t="s">
        <v>37</v>
      </c>
      <c r="Q123" s="62"/>
      <c r="R123" s="56"/>
      <c r="S123" s="56"/>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row>
    <row r="124" spans="1:44" s="9" customFormat="1">
      <c r="A124" s="48" t="str">
        <f t="shared" ref="A124:N124" si="62">A183</f>
        <v>T (C) BH</v>
      </c>
      <c r="B124" s="85">
        <f t="shared" si="62"/>
        <v>964.93082608250108</v>
      </c>
      <c r="C124" s="85">
        <f t="shared" si="62"/>
        <v>1239.9140259134906</v>
      </c>
      <c r="D124" s="85">
        <f t="shared" si="62"/>
        <v>1200.5817019931674</v>
      </c>
      <c r="E124" s="85">
        <f t="shared" si="62"/>
        <v>3305.8094857107549</v>
      </c>
      <c r="F124" s="85">
        <f t="shared" si="62"/>
        <v>915.78548444422893</v>
      </c>
      <c r="G124" s="95">
        <f t="shared" si="62"/>
        <v>855.10804378304499</v>
      </c>
      <c r="H124" s="28">
        <f t="shared" si="62"/>
        <v>647.72460759220678</v>
      </c>
      <c r="I124" s="28">
        <f t="shared" si="62"/>
        <v>647.81755792235447</v>
      </c>
      <c r="J124" s="28">
        <f t="shared" si="62"/>
        <v>673.60752792024823</v>
      </c>
      <c r="K124" s="28">
        <f t="shared" si="62"/>
        <v>670.79534117325829</v>
      </c>
      <c r="L124" s="28">
        <f t="shared" si="62"/>
        <v>671.93847308839565</v>
      </c>
      <c r="M124" s="28">
        <f t="shared" si="62"/>
        <v>692.16879098965182</v>
      </c>
      <c r="N124" s="28">
        <f t="shared" si="62"/>
        <v>724.32174951319678</v>
      </c>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row>
    <row r="125" spans="1:44" s="9" customFormat="1">
      <c r="A125" s="49" t="str">
        <f t="shared" ref="A125:N125" si="63">A184</f>
        <v xml:space="preserve">   P(Kb) BH</v>
      </c>
      <c r="B125" s="90">
        <f t="shared" si="63"/>
        <v>-1.2236194282792034</v>
      </c>
      <c r="C125" s="90">
        <f t="shared" si="63"/>
        <v>-19.977560315451029</v>
      </c>
      <c r="D125" s="90">
        <f t="shared" si="63"/>
        <v>-16.80460402298629</v>
      </c>
      <c r="E125" s="90">
        <f t="shared" si="63"/>
        <v>-460.74441493280256</v>
      </c>
      <c r="F125" s="90">
        <f t="shared" si="63"/>
        <v>0.40871203219993468</v>
      </c>
      <c r="G125" s="87">
        <f t="shared" si="63"/>
        <v>3.0719115365924781</v>
      </c>
      <c r="H125" s="43">
        <f t="shared" si="63"/>
        <v>1.86716403054965</v>
      </c>
      <c r="I125" s="43">
        <f t="shared" si="63"/>
        <v>1.4016302927585349</v>
      </c>
      <c r="J125" s="43">
        <f t="shared" si="63"/>
        <v>1.689220850296274</v>
      </c>
      <c r="K125" s="43">
        <f t="shared" si="63"/>
        <v>1.3819532265002725</v>
      </c>
      <c r="L125" s="43">
        <f t="shared" si="63"/>
        <v>1.6278045439181459</v>
      </c>
      <c r="M125" s="43">
        <f t="shared" si="63"/>
        <v>1.8893170534144719</v>
      </c>
      <c r="N125" s="43">
        <f t="shared" si="63"/>
        <v>2.2956266023933032</v>
      </c>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row>
    <row r="126" spans="1:44" s="3" customFormat="1">
      <c r="A126" s="52" t="s">
        <v>156</v>
      </c>
      <c r="B126" s="72" t="s">
        <v>134</v>
      </c>
      <c r="C126" s="72"/>
      <c r="D126" s="72"/>
      <c r="E126" s="81"/>
      <c r="F126" s="81"/>
      <c r="G126" s="96"/>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row>
    <row r="127" spans="1:44" s="25" customFormat="1">
      <c r="A127" s="34"/>
      <c r="B127" s="72" t="s">
        <v>135</v>
      </c>
      <c r="C127" s="97"/>
      <c r="D127" s="97"/>
      <c r="E127" s="97"/>
      <c r="F127" s="94"/>
      <c r="G127" s="91"/>
      <c r="H127" s="32"/>
      <c r="I127" s="31"/>
      <c r="J127" s="26"/>
      <c r="K127" s="28"/>
    </row>
    <row r="128" spans="1:44" s="25" customFormat="1">
      <c r="A128" s="34"/>
      <c r="B128" s="72" t="s">
        <v>136</v>
      </c>
      <c r="C128" s="97"/>
      <c r="D128" s="97"/>
      <c r="E128" s="97"/>
      <c r="F128" s="94"/>
      <c r="G128" s="91"/>
      <c r="H128" s="32"/>
      <c r="I128" s="31"/>
      <c r="J128" s="26"/>
      <c r="K128" s="28"/>
    </row>
    <row r="129" spans="1:44" s="25" customFormat="1">
      <c r="A129" s="34"/>
      <c r="B129" s="70"/>
      <c r="C129" s="97"/>
      <c r="D129" s="97"/>
      <c r="E129" s="97"/>
      <c r="F129" s="94"/>
      <c r="G129" s="91"/>
      <c r="H129" s="32"/>
      <c r="I129" s="31"/>
      <c r="J129" s="26"/>
      <c r="K129" s="28"/>
    </row>
    <row r="130" spans="1:44" s="25" customFormat="1">
      <c r="A130" s="54" t="s">
        <v>137</v>
      </c>
      <c r="B130" s="87"/>
      <c r="C130" s="85"/>
      <c r="D130" s="85"/>
      <c r="E130" s="82"/>
      <c r="F130" s="82"/>
      <c r="G130" s="82"/>
    </row>
    <row r="131" spans="1:44" s="25" customFormat="1">
      <c r="A131" s="26" t="s">
        <v>138</v>
      </c>
      <c r="B131" s="85">
        <f t="shared" ref="B131:N131" si="64">IF(B59&lt;0.345,1204*B59+545,273*B59+877)</f>
        <v>941.6841798639025</v>
      </c>
      <c r="C131" s="85">
        <f t="shared" si="64"/>
        <v>906.00310397863814</v>
      </c>
      <c r="D131" s="85">
        <f t="shared" si="64"/>
        <v>971.74320667393829</v>
      </c>
      <c r="E131" s="85">
        <f t="shared" si="64"/>
        <v>900.76073264534443</v>
      </c>
      <c r="F131" s="85">
        <f t="shared" si="64"/>
        <v>903.77701387961565</v>
      </c>
      <c r="G131" s="85">
        <f t="shared" si="64"/>
        <v>887.20915552355041</v>
      </c>
      <c r="H131" s="28">
        <f t="shared" si="64"/>
        <v>629.05861125928686</v>
      </c>
      <c r="I131" s="28">
        <f t="shared" si="64"/>
        <v>625.13941329382271</v>
      </c>
      <c r="J131" s="28">
        <f t="shared" si="64"/>
        <v>650.88621093665677</v>
      </c>
      <c r="K131" s="28">
        <f t="shared" si="64"/>
        <v>621.8572543364387</v>
      </c>
      <c r="L131" s="28">
        <f t="shared" si="64"/>
        <v>643.25740186085</v>
      </c>
      <c r="M131" s="28">
        <f t="shared" si="64"/>
        <v>645.29947438597185</v>
      </c>
      <c r="N131" s="28">
        <f t="shared" si="64"/>
        <v>715.07881796153697</v>
      </c>
    </row>
    <row r="132" spans="1:44" s="25" customFormat="1">
      <c r="A132" s="26"/>
      <c r="B132" s="85"/>
      <c r="C132" s="85"/>
      <c r="D132" s="85"/>
      <c r="E132" s="85"/>
      <c r="F132" s="85"/>
      <c r="G132" s="85"/>
      <c r="H132" s="28"/>
      <c r="I132" s="28"/>
      <c r="J132" s="28"/>
      <c r="K132" s="28"/>
      <c r="L132" s="28"/>
      <c r="M132" s="28"/>
      <c r="N132" s="28"/>
    </row>
    <row r="133" spans="1:44" s="25" customFormat="1">
      <c r="A133" s="26"/>
      <c r="B133" s="85"/>
      <c r="C133" s="85"/>
      <c r="D133" s="85"/>
      <c r="E133" s="85"/>
      <c r="F133" s="85"/>
      <c r="G133" s="85"/>
      <c r="H133" s="28"/>
      <c r="I133" s="28"/>
      <c r="J133" s="28"/>
      <c r="K133" s="28"/>
      <c r="L133" s="28"/>
      <c r="M133" s="28"/>
      <c r="N133" s="28"/>
    </row>
    <row r="134" spans="1:44" s="25" customFormat="1">
      <c r="A134" s="26" t="s">
        <v>38</v>
      </c>
      <c r="B134" s="85"/>
      <c r="C134" s="85"/>
      <c r="D134" s="85"/>
      <c r="E134" s="85"/>
      <c r="F134" s="85"/>
      <c r="G134" s="85"/>
      <c r="H134" s="28"/>
      <c r="I134" s="28"/>
      <c r="J134" s="28"/>
      <c r="K134" s="28"/>
      <c r="L134" s="28"/>
      <c r="M134" s="28"/>
      <c r="N134" s="28"/>
    </row>
    <row r="135" spans="1:44" s="25" customFormat="1">
      <c r="A135" s="26" t="s">
        <v>39</v>
      </c>
      <c r="B135" s="85"/>
      <c r="C135" s="85"/>
      <c r="D135" s="85"/>
      <c r="E135" s="85"/>
      <c r="F135" s="85"/>
      <c r="G135" s="85"/>
      <c r="H135" s="28"/>
      <c r="I135" s="28"/>
      <c r="J135" s="28"/>
      <c r="K135" s="28"/>
      <c r="L135" s="28"/>
      <c r="M135" s="28"/>
      <c r="N135" s="28"/>
    </row>
    <row r="136" spans="1:44" s="3" customFormat="1">
      <c r="A136" s="14"/>
      <c r="B136" s="64"/>
      <c r="C136" s="64"/>
      <c r="D136" s="64"/>
      <c r="E136" s="81"/>
      <c r="F136" s="81"/>
      <c r="G136" s="82"/>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7" spans="1:44" s="3" customFormat="1">
      <c r="A137" s="10" t="s">
        <v>139</v>
      </c>
      <c r="B137" s="63"/>
      <c r="C137" s="64"/>
      <c r="D137" s="64"/>
      <c r="E137" s="81"/>
      <c r="F137" s="81"/>
      <c r="G137" s="82"/>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row>
    <row r="138" spans="1:44" s="3" customFormat="1">
      <c r="A138" s="10" t="s">
        <v>140</v>
      </c>
      <c r="B138" s="64"/>
      <c r="C138" s="64"/>
      <c r="D138" s="64"/>
      <c r="E138" s="81"/>
      <c r="F138" s="81"/>
      <c r="G138" s="82"/>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spans="1:44" s="3" customFormat="1">
      <c r="A139" t="s">
        <v>141</v>
      </c>
      <c r="B139" s="70">
        <f t="shared" ref="B139:N139" si="65">4.76*B$55-3.01-((B115-675)/85)*(0.53*B$55+0.005294*(B115-675))</f>
        <v>3.5577697755390512</v>
      </c>
      <c r="C139" s="70">
        <f t="shared" si="65"/>
        <v>0.57807043638986499</v>
      </c>
      <c r="D139" s="70">
        <f t="shared" si="65"/>
        <v>2.1517875345588875</v>
      </c>
      <c r="E139" s="70">
        <f t="shared" si="65"/>
        <v>-1.351296875084806</v>
      </c>
      <c r="F139" s="70">
        <f t="shared" si="65"/>
        <v>3.6751691704343905</v>
      </c>
      <c r="G139" s="70">
        <f t="shared" si="65"/>
        <v>4.7288351135214892</v>
      </c>
      <c r="H139" s="30">
        <f t="shared" si="65"/>
        <v>1.4116223034015642</v>
      </c>
      <c r="I139" s="30">
        <f t="shared" si="65"/>
        <v>1.1151115102238278</v>
      </c>
      <c r="J139" s="30">
        <f t="shared" si="65"/>
        <v>1.3616717411228076</v>
      </c>
      <c r="K139" s="30">
        <f t="shared" si="65"/>
        <v>0.91519446114900482</v>
      </c>
      <c r="L139" s="30">
        <f t="shared" si="65"/>
        <v>0.9982188977103108</v>
      </c>
      <c r="M139" s="30">
        <f t="shared" si="65"/>
        <v>1.0370990893869705</v>
      </c>
      <c r="N139" s="30">
        <f t="shared" si="65"/>
        <v>1.5296934432450706</v>
      </c>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spans="1:44" s="3" customFormat="1">
      <c r="A140" t="s">
        <v>142</v>
      </c>
      <c r="B140" s="70">
        <f t="shared" ref="B140:N140" si="66">4.76*B$55-3.01-((B116-675)/85)*(0.53*B$55+0.005294*(B116-675))</f>
        <v>5.4805441791631342</v>
      </c>
      <c r="C140" s="70">
        <f t="shared" si="66"/>
        <v>3.8666862433563676</v>
      </c>
      <c r="D140" s="70">
        <f t="shared" si="66"/>
        <v>3.2459363336608646</v>
      </c>
      <c r="E140" s="70">
        <f t="shared" si="66"/>
        <v>0.61638133770376413</v>
      </c>
      <c r="F140" s="70">
        <f t="shared" si="66"/>
        <v>4.3754648279464572</v>
      </c>
      <c r="G140" s="70">
        <f t="shared" si="66"/>
        <v>5.6633352869322851</v>
      </c>
      <c r="H140" s="30">
        <f t="shared" si="66"/>
        <v>1.8896719064918726</v>
      </c>
      <c r="I140" s="30">
        <f t="shared" si="66"/>
        <v>1.3386969005575522</v>
      </c>
      <c r="J140" s="30">
        <f t="shared" si="66"/>
        <v>1.3193550277314394</v>
      </c>
      <c r="K140" s="30">
        <f t="shared" si="66"/>
        <v>1.2124004826362043</v>
      </c>
      <c r="L140" s="30">
        <f t="shared" si="66"/>
        <v>1.6441026986575606</v>
      </c>
      <c r="M140" s="30">
        <f t="shared" si="66"/>
        <v>1.9538971795188254</v>
      </c>
      <c r="N140" s="30">
        <f t="shared" si="66"/>
        <v>2.1205461309602045</v>
      </c>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spans="1:44" s="3" customFormat="1">
      <c r="A141" t="s">
        <v>143</v>
      </c>
      <c r="B141" s="70">
        <f t="shared" ref="B141:N141" si="67">4.76*B$55-3.01-((B117-675)/85)*(0.53*B$55+0.005294*(B117-675))</f>
        <v>5.0860291638932127</v>
      </c>
      <c r="C141" s="70">
        <f t="shared" si="67"/>
        <v>3.5632989770462027</v>
      </c>
      <c r="D141" s="70">
        <f t="shared" si="67"/>
        <v>3.4431999808462361</v>
      </c>
      <c r="E141" s="70">
        <f t="shared" si="67"/>
        <v>0.97167296048594753</v>
      </c>
      <c r="F141" s="70">
        <f t="shared" si="67"/>
        <v>4.4342377622041633</v>
      </c>
      <c r="G141" s="70">
        <f t="shared" si="67"/>
        <v>5.3829580072064527</v>
      </c>
      <c r="H141" s="30">
        <f t="shared" si="67"/>
        <v>1.8624359880214316</v>
      </c>
      <c r="I141" s="30">
        <f t="shared" si="67"/>
        <v>1.3983736804116891</v>
      </c>
      <c r="J141" s="30">
        <f t="shared" si="67"/>
        <v>1.6885451579587343</v>
      </c>
      <c r="K141" s="30">
        <f t="shared" si="67"/>
        <v>1.3803593754245957</v>
      </c>
      <c r="L141" s="30">
        <f t="shared" si="67"/>
        <v>1.6264412441511897</v>
      </c>
      <c r="M141" s="30">
        <f t="shared" si="67"/>
        <v>1.9048406718237114</v>
      </c>
      <c r="N141" s="30">
        <f t="shared" si="67"/>
        <v>2.3958269676450468</v>
      </c>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spans="1:44" s="3" customFormat="1">
      <c r="A142" s="10"/>
      <c r="B142" s="64"/>
      <c r="C142" s="64"/>
      <c r="D142" s="64"/>
      <c r="E142" s="64"/>
      <c r="F142" s="64"/>
      <c r="G142" s="64"/>
      <c r="H142" s="14"/>
      <c r="I142" s="14"/>
      <c r="J142" s="14"/>
      <c r="K142" s="14"/>
      <c r="L142" s="14"/>
      <c r="M142" s="14"/>
      <c r="N142" s="14"/>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spans="1:44" s="3" customFormat="1">
      <c r="A143" s="10" t="s">
        <v>144</v>
      </c>
      <c r="B143" s="64"/>
      <c r="C143" s="64"/>
      <c r="D143" s="64"/>
      <c r="E143" s="64"/>
      <c r="F143" s="64"/>
      <c r="G143" s="64"/>
      <c r="H143" s="14"/>
      <c r="I143" s="14"/>
      <c r="J143" s="14"/>
      <c r="K143" s="14"/>
      <c r="L143" s="14"/>
      <c r="M143" s="14"/>
      <c r="N143" s="14"/>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spans="1:44" s="3" customFormat="1">
      <c r="A144" s="27" t="s">
        <v>145</v>
      </c>
      <c r="B144" s="85">
        <f t="shared" ref="B144:N144" si="68">((-76.95+B139*0.79+39.4*B$96+22.4*B$99+(41.5-2.89*B139)*B$94)/(-0.065-0.0083144*LN(B$100)))-273.15</f>
        <v>913.2272502481145</v>
      </c>
      <c r="C144" s="85">
        <f t="shared" si="68"/>
        <v>1041.2606191100645</v>
      </c>
      <c r="D144" s="85">
        <f t="shared" si="68"/>
        <v>941.63629314952016</v>
      </c>
      <c r="E144" s="85">
        <f t="shared" si="68"/>
        <v>1078.8066792191426</v>
      </c>
      <c r="F144" s="85">
        <f t="shared" si="68"/>
        <v>865.94356401334051</v>
      </c>
      <c r="G144" s="85">
        <f t="shared" si="68"/>
        <v>831.97879540010342</v>
      </c>
      <c r="H144" s="28">
        <f t="shared" si="68"/>
        <v>717.20874626883551</v>
      </c>
      <c r="I144" s="28">
        <f t="shared" si="68"/>
        <v>701.77444072841729</v>
      </c>
      <c r="J144" s="28">
        <f t="shared" si="68"/>
        <v>715.84262643978036</v>
      </c>
      <c r="K144" s="28">
        <f t="shared" si="68"/>
        <v>729.97618137171742</v>
      </c>
      <c r="L144" s="28">
        <f t="shared" si="68"/>
        <v>744.04630337463993</v>
      </c>
      <c r="M144" s="28">
        <f t="shared" si="68"/>
        <v>770.99633853088142</v>
      </c>
      <c r="N144" s="28">
        <f t="shared" si="68"/>
        <v>786.65655310780255</v>
      </c>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spans="1:44" s="3" customFormat="1">
      <c r="A145" s="1" t="s">
        <v>146</v>
      </c>
      <c r="B145" s="70">
        <f t="shared" ref="B145:N145" si="69">4.76*B$55-3.01-((B144-675)/85)*(0.53*B$55+0.005294*(B144-675))</f>
        <v>1.2439666879159219</v>
      </c>
      <c r="C145" s="70">
        <f t="shared" si="69"/>
        <v>-5.5455251453734249</v>
      </c>
      <c r="D145" s="70">
        <f t="shared" si="69"/>
        <v>-0.31489819102362127</v>
      </c>
      <c r="E145" s="70">
        <f t="shared" si="69"/>
        <v>-8.0304813588123167</v>
      </c>
      <c r="F145" s="70">
        <f t="shared" si="69"/>
        <v>2.4193457973379431</v>
      </c>
      <c r="G145" s="70">
        <f t="shared" si="69"/>
        <v>3.8787814882504117</v>
      </c>
      <c r="H145" s="30">
        <f t="shared" si="69"/>
        <v>1.3698613592893705</v>
      </c>
      <c r="I145" s="30">
        <f t="shared" si="69"/>
        <v>1.0987674353233294</v>
      </c>
      <c r="J145" s="30">
        <f t="shared" si="69"/>
        <v>1.3259282226289233</v>
      </c>
      <c r="K145" s="30">
        <f t="shared" si="69"/>
        <v>0.856115666584225</v>
      </c>
      <c r="L145" s="30">
        <f t="shared" si="69"/>
        <v>0.89508746638243253</v>
      </c>
      <c r="M145" s="30">
        <f t="shared" si="69"/>
        <v>0.81424802560280241</v>
      </c>
      <c r="N145" s="30">
        <f t="shared" si="69"/>
        <v>1.1942729089204853</v>
      </c>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spans="1:44" s="3" customFormat="1">
      <c r="A146" s="27" t="s">
        <v>147</v>
      </c>
      <c r="B146" s="85">
        <f t="shared" ref="B146:N146" si="70">((78.44+3-33.6*B$97-(66.8-2.92*B140)*B$94+78.5*B$93+9.4*B$96)/(0.0721-0.0083144*LN((27*B$97*B$92*B$39)/(64*B$98*B$93*B$38))))-273.15</f>
        <v>791.2531950958338</v>
      </c>
      <c r="C146" s="85">
        <f t="shared" si="70"/>
        <v>835.10019435069341</v>
      </c>
      <c r="D146" s="85">
        <f t="shared" si="70"/>
        <v>836.88643536256802</v>
      </c>
      <c r="E146" s="85">
        <f t="shared" si="70"/>
        <v>894.35795051747539</v>
      </c>
      <c r="F146" s="85">
        <f t="shared" si="70"/>
        <v>797.19604664770611</v>
      </c>
      <c r="G146" s="85">
        <f t="shared" si="70"/>
        <v>764.61355538916644</v>
      </c>
      <c r="H146" s="28">
        <f t="shared" si="70"/>
        <v>612.6863250372038</v>
      </c>
      <c r="I146" s="28">
        <f t="shared" si="70"/>
        <v>666.35156218540646</v>
      </c>
      <c r="J146" s="28">
        <f t="shared" si="70"/>
        <v>715.93210967622417</v>
      </c>
      <c r="K146" s="28">
        <f t="shared" si="70"/>
        <v>695.74474446733586</v>
      </c>
      <c r="L146" s="28">
        <f t="shared" si="70"/>
        <v>668.98748415128352</v>
      </c>
      <c r="M146" s="28">
        <f t="shared" si="70"/>
        <v>684.29684841115056</v>
      </c>
      <c r="N146" s="28">
        <f t="shared" si="70"/>
        <v>735.71603224807495</v>
      </c>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spans="1:44" s="3" customFormat="1">
      <c r="A147" s="1" t="s">
        <v>148</v>
      </c>
      <c r="B147" s="70">
        <f t="shared" ref="B147:N147" si="71">4.76*B$55-3.01-((B146-675)/85)*(0.53*B$55+0.005294*(B146-675))</f>
        <v>5.7458565873080545</v>
      </c>
      <c r="C147" s="70">
        <f t="shared" si="71"/>
        <v>4.234016899089025</v>
      </c>
      <c r="D147" s="70">
        <f t="shared" si="71"/>
        <v>3.9828254028936687</v>
      </c>
      <c r="E147" s="70">
        <f t="shared" si="71"/>
        <v>1.7624692451224524</v>
      </c>
      <c r="F147" s="70">
        <f t="shared" si="71"/>
        <v>4.6848642274790002</v>
      </c>
      <c r="G147" s="70">
        <f t="shared" si="71"/>
        <v>5.8491510993147999</v>
      </c>
      <c r="H147" s="30">
        <f t="shared" si="71"/>
        <v>1.889839586944954</v>
      </c>
      <c r="I147" s="30">
        <f t="shared" si="71"/>
        <v>1.3384880345663841</v>
      </c>
      <c r="J147" s="30">
        <f t="shared" si="71"/>
        <v>1.3249226323522634</v>
      </c>
      <c r="K147" s="30">
        <f t="shared" si="71"/>
        <v>1.2134636074619669</v>
      </c>
      <c r="L147" s="30">
        <f t="shared" si="71"/>
        <v>1.6439953455263989</v>
      </c>
      <c r="M147" s="30">
        <f t="shared" si="71"/>
        <v>1.9541692018423009</v>
      </c>
      <c r="N147" s="30">
        <f t="shared" si="71"/>
        <v>2.1304589130540754</v>
      </c>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spans="1:44" s="3" customFormat="1">
      <c r="A148" t="s">
        <v>149</v>
      </c>
      <c r="B148" s="86">
        <f t="shared" ref="B148:N148" si="72">(0.677*B141-48.98)/(-0.0429-0.008314*LN(B$38*(B$52-4)/(8-B$52)))-273.15</f>
        <v>867.47992811099778</v>
      </c>
      <c r="C148" s="86">
        <f t="shared" si="72"/>
        <v>934.87164875053497</v>
      </c>
      <c r="D148" s="86">
        <f t="shared" si="72"/>
        <v>930.60154487008788</v>
      </c>
      <c r="E148" s="86">
        <f t="shared" si="72"/>
        <v>1040.1872113164977</v>
      </c>
      <c r="F148" s="86">
        <f t="shared" si="72"/>
        <v>852.59232810428159</v>
      </c>
      <c r="G148" s="86">
        <f t="shared" si="72"/>
        <v>818.47688313254037</v>
      </c>
      <c r="H148" s="29">
        <f t="shared" si="72"/>
        <v>647.78638179074255</v>
      </c>
      <c r="I148" s="29">
        <f t="shared" si="72"/>
        <v>647.85983223523397</v>
      </c>
      <c r="J148" s="29">
        <f t="shared" si="72"/>
        <v>673.6165814233309</v>
      </c>
      <c r="K148" s="29">
        <f t="shared" si="72"/>
        <v>670.81654135980409</v>
      </c>
      <c r="L148" s="29">
        <f t="shared" si="72"/>
        <v>671.9566917180091</v>
      </c>
      <c r="M148" s="29">
        <f t="shared" si="72"/>
        <v>691.95611611449624</v>
      </c>
      <c r="N148" s="29">
        <f t="shared" si="72"/>
        <v>722.89534545541062</v>
      </c>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spans="1:44" s="3" customFormat="1">
      <c r="A149" s="1" t="s">
        <v>150</v>
      </c>
      <c r="B149" s="70">
        <f t="shared" ref="B149:N149" si="73">4.76*B$55-3.01-((B148-675)/85)*(0.53*B$55+0.005294*(B148-675))</f>
        <v>3.1496247442834084</v>
      </c>
      <c r="C149" s="70">
        <f t="shared" si="73"/>
        <v>0.1623031457350681</v>
      </c>
      <c r="D149" s="70">
        <f t="shared" si="73"/>
        <v>0.20224794381416356</v>
      </c>
      <c r="E149" s="70">
        <f t="shared" si="73"/>
        <v>-5.6292901923279839</v>
      </c>
      <c r="F149" s="70">
        <f t="shared" si="73"/>
        <v>2.9053894779413199</v>
      </c>
      <c r="G149" s="70">
        <f t="shared" si="73"/>
        <v>4.3189949977525384</v>
      </c>
      <c r="H149" s="30">
        <f t="shared" si="73"/>
        <v>1.8669890069915533</v>
      </c>
      <c r="I149" s="30">
        <f t="shared" si="73"/>
        <v>1.4015349589158477</v>
      </c>
      <c r="J149" s="30">
        <f t="shared" si="73"/>
        <v>1.6891667851440093</v>
      </c>
      <c r="K149" s="30">
        <f t="shared" si="73"/>
        <v>1.3818429714255269</v>
      </c>
      <c r="L149" s="30">
        <f t="shared" si="73"/>
        <v>1.6277012170098437</v>
      </c>
      <c r="M149" s="30">
        <f t="shared" si="73"/>
        <v>1.8911706062255054</v>
      </c>
      <c r="N149" s="30">
        <f t="shared" si="73"/>
        <v>2.3151642884911325</v>
      </c>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spans="1:44" s="3" customFormat="1">
      <c r="A150" s="10" t="s">
        <v>151</v>
      </c>
      <c r="B150" s="64"/>
      <c r="C150" s="64"/>
      <c r="D150" s="64"/>
      <c r="E150" s="64"/>
      <c r="F150" s="64"/>
      <c r="G150" s="64"/>
      <c r="H150" s="14"/>
      <c r="I150" s="14"/>
      <c r="J150" s="14"/>
      <c r="K150" s="14"/>
      <c r="L150" s="14"/>
      <c r="M150" s="14"/>
      <c r="N150" s="14"/>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spans="1:44" s="3" customFormat="1">
      <c r="A151" s="27" t="s">
        <v>145</v>
      </c>
      <c r="B151" s="85">
        <f t="shared" ref="B151:N151" si="74">((-76.95+B145*0.79+39.4*B$96+22.4*B$99+(41.5-2.89*B145)*B$94)/(-0.065-0.0083144*LN(B$100)))-273.15</f>
        <v>940.70143340868788</v>
      </c>
      <c r="C151" s="85">
        <f t="shared" si="74"/>
        <v>1134.2108602619805</v>
      </c>
      <c r="D151" s="85">
        <f t="shared" si="74"/>
        <v>965.50620097516651</v>
      </c>
      <c r="E151" s="85">
        <f t="shared" si="74"/>
        <v>1163.0010368370376</v>
      </c>
      <c r="F151" s="85">
        <f t="shared" si="74"/>
        <v>878.51782802957462</v>
      </c>
      <c r="G151" s="85">
        <f t="shared" si="74"/>
        <v>839.91458017243428</v>
      </c>
      <c r="H151" s="28">
        <f t="shared" si="74"/>
        <v>717.67547933461049</v>
      </c>
      <c r="I151" s="28">
        <f t="shared" si="74"/>
        <v>701.94264625064807</v>
      </c>
      <c r="J151" s="28">
        <f t="shared" si="74"/>
        <v>716.20558730568212</v>
      </c>
      <c r="K151" s="28">
        <f t="shared" si="74"/>
        <v>730.61707764152447</v>
      </c>
      <c r="L151" s="28">
        <f t="shared" si="74"/>
        <v>745.27089989887372</v>
      </c>
      <c r="M151" s="28">
        <f t="shared" si="74"/>
        <v>773.83788057168147</v>
      </c>
      <c r="N151" s="28">
        <f t="shared" si="74"/>
        <v>790.88967776908851</v>
      </c>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spans="1:44" s="3" customFormat="1">
      <c r="A152" s="1" t="s">
        <v>146</v>
      </c>
      <c r="B152" s="70">
        <f t="shared" ref="B152:N152" si="75">4.76*B$55-3.01-((B151-675)/85)*(0.53*B$55+0.005294*(B151-675))</f>
        <v>-2.5795928036508542E-2</v>
      </c>
      <c r="C152" s="70">
        <f t="shared" si="75"/>
        <v>-11.686364566494113</v>
      </c>
      <c r="D152" s="70">
        <f t="shared" si="75"/>
        <v>-1.4854590137268548</v>
      </c>
      <c r="E152" s="70">
        <f t="shared" si="75"/>
        <v>-13.909335606273599</v>
      </c>
      <c r="F152" s="70">
        <f t="shared" si="75"/>
        <v>1.9412836308900321</v>
      </c>
      <c r="G152" s="70">
        <f t="shared" si="75"/>
        <v>3.6094490474534684</v>
      </c>
      <c r="H152" s="30">
        <f t="shared" si="75"/>
        <v>1.3644875010028521</v>
      </c>
      <c r="I152" s="30">
        <f t="shared" si="75"/>
        <v>1.0972562615841284</v>
      </c>
      <c r="J152" s="30">
        <f t="shared" si="75"/>
        <v>1.3218431767600292</v>
      </c>
      <c r="K152" s="30">
        <f t="shared" si="75"/>
        <v>0.84803325617912828</v>
      </c>
      <c r="L152" s="30">
        <f t="shared" si="75"/>
        <v>0.87705072215893742</v>
      </c>
      <c r="M152" s="30">
        <f t="shared" si="75"/>
        <v>0.76104076675728871</v>
      </c>
      <c r="N152" s="30">
        <f t="shared" si="75"/>
        <v>1.1019299770150504</v>
      </c>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spans="1:44" s="3" customFormat="1">
      <c r="A153" s="27" t="s">
        <v>147</v>
      </c>
      <c r="B153" s="85">
        <f t="shared" ref="B153:N153" si="76">((78.44+3-33.6*B$97-(66.8-2.92*B147)*B$94+78.5*B$93+9.4*B$96)/(0.0721-0.0083144*LN((27*B$97*B$92*B$39)/(64*B$98*B$93*B$38))))-273.15</f>
        <v>792.08570010334495</v>
      </c>
      <c r="C153" s="85">
        <f t="shared" si="76"/>
        <v>835.9884821803945</v>
      </c>
      <c r="D153" s="85">
        <f t="shared" si="76"/>
        <v>840.12138902050776</v>
      </c>
      <c r="E153" s="85">
        <f t="shared" si="76"/>
        <v>898.53169326896716</v>
      </c>
      <c r="F153" s="85">
        <f t="shared" si="76"/>
        <v>798.32813580812387</v>
      </c>
      <c r="G153" s="85">
        <f t="shared" si="76"/>
        <v>765.31464321718715</v>
      </c>
      <c r="H153" s="28">
        <f t="shared" si="76"/>
        <v>612.68644992321811</v>
      </c>
      <c r="I153" s="28">
        <f t="shared" si="76"/>
        <v>666.35134621893599</v>
      </c>
      <c r="J153" s="28">
        <f t="shared" si="76"/>
        <v>715.93971698384269</v>
      </c>
      <c r="K153" s="28">
        <f t="shared" si="76"/>
        <v>695.74567171336241</v>
      </c>
      <c r="L153" s="28">
        <f t="shared" si="76"/>
        <v>668.98742066616876</v>
      </c>
      <c r="M153" s="28">
        <f t="shared" si="76"/>
        <v>684.29699107792032</v>
      </c>
      <c r="N153" s="28">
        <f t="shared" si="76"/>
        <v>735.72519369080362</v>
      </c>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spans="1:44" s="3" customFormat="1">
      <c r="A154" s="1" t="s">
        <v>148</v>
      </c>
      <c r="B154" s="70">
        <f t="shared" ref="B154:N154" si="77">4.76*B$55-3.01-((B153-675)/85)*(0.53*B$55+0.005294*(B153-675))</f>
        <v>5.7214112389593392</v>
      </c>
      <c r="C154" s="70">
        <f t="shared" si="77"/>
        <v>4.2032361875907069</v>
      </c>
      <c r="D154" s="70">
        <f t="shared" si="77"/>
        <v>3.8705535666034203</v>
      </c>
      <c r="E154" s="70">
        <f t="shared" si="77"/>
        <v>1.5877349749281748</v>
      </c>
      <c r="F154" s="70">
        <f t="shared" si="77"/>
        <v>4.6523246596168653</v>
      </c>
      <c r="G154" s="70">
        <f t="shared" si="77"/>
        <v>5.8315558597044292</v>
      </c>
      <c r="H154" s="30">
        <f t="shared" si="77"/>
        <v>1.8898397786566907</v>
      </c>
      <c r="I154" s="30">
        <f t="shared" si="77"/>
        <v>1.3384890196242243</v>
      </c>
      <c r="J154" s="30">
        <f t="shared" si="77"/>
        <v>1.3248370973263877</v>
      </c>
      <c r="K154" s="30">
        <f t="shared" si="77"/>
        <v>1.213455904627319</v>
      </c>
      <c r="L154" s="30">
        <f t="shared" si="77"/>
        <v>1.6439956821733328</v>
      </c>
      <c r="M154" s="30">
        <f t="shared" si="77"/>
        <v>1.9541680964433716</v>
      </c>
      <c r="N154" s="30">
        <f t="shared" si="77"/>
        <v>2.1303196051002873</v>
      </c>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spans="1:44" s="3" customFormat="1">
      <c r="A155" t="s">
        <v>149</v>
      </c>
      <c r="B155" s="86">
        <f t="shared" ref="B155:N155" si="78">(0.677*B149-48.98)/(-0.0429-0.008314*LN(B$38*(B$52-4)/(8-B$52)))-273.15</f>
        <v>900.3172239976542</v>
      </c>
      <c r="C155" s="86">
        <f t="shared" si="78"/>
        <v>994.60064207514563</v>
      </c>
      <c r="D155" s="86">
        <f t="shared" si="78"/>
        <v>987.21976643662799</v>
      </c>
      <c r="E155" s="86">
        <f t="shared" si="78"/>
        <v>1161.6451010490382</v>
      </c>
      <c r="F155" s="86">
        <f t="shared" si="78"/>
        <v>877.93438024886893</v>
      </c>
      <c r="G155" s="86">
        <f t="shared" si="78"/>
        <v>835.82086200852893</v>
      </c>
      <c r="H155" s="29">
        <f t="shared" si="78"/>
        <v>647.72689435702205</v>
      </c>
      <c r="I155" s="29">
        <f t="shared" si="78"/>
        <v>647.81879545678862</v>
      </c>
      <c r="J155" s="29">
        <f t="shared" si="78"/>
        <v>673.60825230621515</v>
      </c>
      <c r="K155" s="29">
        <f t="shared" si="78"/>
        <v>670.79680767276921</v>
      </c>
      <c r="L155" s="29">
        <f t="shared" si="78"/>
        <v>671.9398538717702</v>
      </c>
      <c r="M155" s="29">
        <f t="shared" si="78"/>
        <v>692.14340118631719</v>
      </c>
      <c r="N155" s="29">
        <f t="shared" si="78"/>
        <v>724.04388734121108</v>
      </c>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spans="1:44" s="3" customFormat="1">
      <c r="A156" s="1" t="s">
        <v>150</v>
      </c>
      <c r="B156" s="70">
        <f t="shared" ref="B156:N156" si="79">4.76*B$55-3.01-((B155-675)/85)*(0.53*B$55+0.005294*(B155-675))</f>
        <v>1.8081522674765598</v>
      </c>
      <c r="C156" s="70">
        <f t="shared" si="79"/>
        <v>-2.8686130301390236</v>
      </c>
      <c r="D156" s="70">
        <f t="shared" si="79"/>
        <v>-2.6119203751401763</v>
      </c>
      <c r="E156" s="70">
        <f t="shared" si="79"/>
        <v>-13.80766188310441</v>
      </c>
      <c r="F156" s="70">
        <f t="shared" si="79"/>
        <v>1.9639015170864482</v>
      </c>
      <c r="G156" s="70">
        <f t="shared" si="79"/>
        <v>3.7493652642980035</v>
      </c>
      <c r="H156" s="30">
        <f t="shared" si="79"/>
        <v>1.867157559978734</v>
      </c>
      <c r="I156" s="30">
        <f t="shared" si="79"/>
        <v>1.4016275051271696</v>
      </c>
      <c r="J156" s="30">
        <f t="shared" si="79"/>
        <v>1.6892165248285391</v>
      </c>
      <c r="K156" s="30">
        <f t="shared" si="79"/>
        <v>1.3819456015295548</v>
      </c>
      <c r="L156" s="30">
        <f t="shared" si="79"/>
        <v>1.6277967142570211</v>
      </c>
      <c r="M156" s="30">
        <f t="shared" si="79"/>
        <v>1.889538632607876</v>
      </c>
      <c r="N156" s="30">
        <f t="shared" si="79"/>
        <v>2.2994524018742584</v>
      </c>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spans="1:44" s="3" customFormat="1">
      <c r="A157" s="10" t="s">
        <v>152</v>
      </c>
      <c r="B157" s="64"/>
      <c r="C157" s="64"/>
      <c r="D157" s="64"/>
      <c r="E157" s="64"/>
      <c r="F157" s="64"/>
      <c r="G157" s="64"/>
      <c r="H157" s="14"/>
      <c r="I157" s="14"/>
      <c r="J157" s="14"/>
      <c r="K157" s="14"/>
      <c r="L157" s="14"/>
      <c r="M157" s="14"/>
      <c r="N157" s="14"/>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spans="1:44" s="3" customFormat="1">
      <c r="A158" s="27" t="s">
        <v>145</v>
      </c>
      <c r="B158" s="85">
        <f t="shared" ref="B158:N158" si="80">((-76.95+B152*0.79+39.4*B$96+22.4*B$99+(41.5-2.89*B152)*B$94)/(-0.065-0.0083144*LN(B$100)))-273.15</f>
        <v>955.77864152018799</v>
      </c>
      <c r="C158" s="85">
        <f t="shared" si="80"/>
        <v>1227.4228461691232</v>
      </c>
      <c r="D158" s="85">
        <f t="shared" si="80"/>
        <v>976.83361842946772</v>
      </c>
      <c r="E158" s="85">
        <f t="shared" si="80"/>
        <v>1237.1068439307219</v>
      </c>
      <c r="F158" s="85">
        <f t="shared" si="80"/>
        <v>883.3045520433717</v>
      </c>
      <c r="G158" s="85">
        <f t="shared" si="80"/>
        <v>842.42896775791098</v>
      </c>
      <c r="H158" s="28">
        <f t="shared" si="80"/>
        <v>717.73553921607231</v>
      </c>
      <c r="I158" s="28">
        <f t="shared" si="80"/>
        <v>701.95819853913963</v>
      </c>
      <c r="J158" s="28">
        <f t="shared" si="80"/>
        <v>716.24706928194769</v>
      </c>
      <c r="K158" s="28">
        <f t="shared" si="80"/>
        <v>730.70475693013987</v>
      </c>
      <c r="L158" s="28">
        <f t="shared" si="80"/>
        <v>745.48507063227851</v>
      </c>
      <c r="M158" s="28">
        <f t="shared" si="80"/>
        <v>774.51631871919551</v>
      </c>
      <c r="N158" s="28">
        <f t="shared" si="80"/>
        <v>792.05507792305195</v>
      </c>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spans="1:44" s="3" customFormat="1">
      <c r="A159" s="1" t="s">
        <v>146</v>
      </c>
      <c r="B159" s="70">
        <f t="shared" ref="B159:N159" si="81">4.76*B$55-3.01-((B158-675)/85)*(0.53*B$55+0.005294*(B158-675))</f>
        <v>-0.76257045922784883</v>
      </c>
      <c r="C159" s="70">
        <f t="shared" si="81"/>
        <v>-18.925254083698036</v>
      </c>
      <c r="D159" s="70">
        <f t="shared" si="81"/>
        <v>-2.0657779824186289</v>
      </c>
      <c r="E159" s="70">
        <f t="shared" si="81"/>
        <v>-19.814390705776418</v>
      </c>
      <c r="F159" s="70">
        <f t="shared" si="81"/>
        <v>1.7541209009308707</v>
      </c>
      <c r="G159" s="70">
        <f t="shared" si="81"/>
        <v>3.5224767798076462</v>
      </c>
      <c r="H159" s="30">
        <f t="shared" si="81"/>
        <v>1.3637940146389309</v>
      </c>
      <c r="I159" s="30">
        <f t="shared" si="81"/>
        <v>1.097116360413239</v>
      </c>
      <c r="J159" s="30">
        <f t="shared" si="81"/>
        <v>1.3213752611924174</v>
      </c>
      <c r="K159" s="30">
        <f t="shared" si="81"/>
        <v>0.84692354477137943</v>
      </c>
      <c r="L159" s="30">
        <f t="shared" si="81"/>
        <v>0.87387706873781157</v>
      </c>
      <c r="M159" s="30">
        <f t="shared" si="81"/>
        <v>0.74818842369613781</v>
      </c>
      <c r="N159" s="30">
        <f t="shared" si="81"/>
        <v>1.0761156653946131</v>
      </c>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spans="1:44" s="3" customFormat="1">
      <c r="A160" s="27" t="s">
        <v>147</v>
      </c>
      <c r="B160" s="85">
        <f t="shared" ref="B160:N160" si="82">((78.44+3-33.6*B$97-(66.8-2.92*B154)*B$94+78.5*B$93+9.4*B$96)/(0.0721-0.0083144*LN((27*B$97*B$92*B$39)/(64*B$98*B$93*B$38))))-273.15</f>
        <v>792.00899477677183</v>
      </c>
      <c r="C160" s="85">
        <f t="shared" si="82"/>
        <v>835.91404752326264</v>
      </c>
      <c r="D160" s="85">
        <f t="shared" si="82"/>
        <v>839.62851403748084</v>
      </c>
      <c r="E160" s="85">
        <f t="shared" si="82"/>
        <v>897.89535822962182</v>
      </c>
      <c r="F160" s="85">
        <f t="shared" si="82"/>
        <v>798.20907387032742</v>
      </c>
      <c r="G160" s="85">
        <f t="shared" si="82"/>
        <v>765.24825592665604</v>
      </c>
      <c r="H160" s="28">
        <f t="shared" si="82"/>
        <v>612.68645006600241</v>
      </c>
      <c r="I160" s="28">
        <f t="shared" si="82"/>
        <v>666.35134723748126</v>
      </c>
      <c r="J160" s="28">
        <f t="shared" si="82"/>
        <v>715.93960011289039</v>
      </c>
      <c r="K160" s="28">
        <f t="shared" si="82"/>
        <v>695.74566499503294</v>
      </c>
      <c r="L160" s="28">
        <f t="shared" si="82"/>
        <v>668.98742086525067</v>
      </c>
      <c r="M160" s="28">
        <f t="shared" si="82"/>
        <v>684.29699049817498</v>
      </c>
      <c r="N160" s="28">
        <f t="shared" si="82"/>
        <v>735.72506494169693</v>
      </c>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spans="1:44" s="3" customFormat="1">
      <c r="A161" s="1" t="s">
        <v>148</v>
      </c>
      <c r="B161" s="70">
        <f t="shared" ref="B161:N161" si="83">4.76*B$55-3.01-((B160-675)/85)*(0.53*B$55+0.005294*(B160-675))</f>
        <v>5.7236671946323252</v>
      </c>
      <c r="C161" s="70">
        <f t="shared" si="83"/>
        <v>4.2058192503500287</v>
      </c>
      <c r="D161" s="70">
        <f t="shared" si="83"/>
        <v>3.8877433895854754</v>
      </c>
      <c r="E161" s="70">
        <f t="shared" si="83"/>
        <v>1.6145154182515</v>
      </c>
      <c r="F161" s="70">
        <f t="shared" si="83"/>
        <v>4.6557543615013879</v>
      </c>
      <c r="G161" s="70">
        <f t="shared" si="83"/>
        <v>5.8332246095024329</v>
      </c>
      <c r="H161" s="30">
        <f t="shared" si="83"/>
        <v>1.889839778875877</v>
      </c>
      <c r="I161" s="30">
        <f t="shared" si="83"/>
        <v>1.3384890149784889</v>
      </c>
      <c r="J161" s="30">
        <f t="shared" si="83"/>
        <v>1.324838411454224</v>
      </c>
      <c r="K161" s="30">
        <f t="shared" si="83"/>
        <v>1.2134559604383299</v>
      </c>
      <c r="L161" s="30">
        <f t="shared" si="83"/>
        <v>1.6439956811176482</v>
      </c>
      <c r="M161" s="30">
        <f t="shared" si="83"/>
        <v>1.954168100935312</v>
      </c>
      <c r="N161" s="30">
        <f t="shared" si="83"/>
        <v>2.1303215629183634</v>
      </c>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spans="1:44" s="3" customFormat="1">
      <c r="A162" t="s">
        <v>149</v>
      </c>
      <c r="B162" s="86">
        <f t="shared" ref="B162:N162" si="84">(0.677*B156-48.98)/(-0.0429-0.008314*LN(B$38*(B$52-4)/(8-B$52)))-273.15</f>
        <v>923.06574088731747</v>
      </c>
      <c r="C162" s="86">
        <f t="shared" si="84"/>
        <v>1047.8302198269207</v>
      </c>
      <c r="D162" s="86">
        <f t="shared" si="84"/>
        <v>1036.3822358553375</v>
      </c>
      <c r="E162" s="86">
        <f t="shared" si="84"/>
        <v>1312.1273479597194</v>
      </c>
      <c r="F162" s="86">
        <f t="shared" si="84"/>
        <v>893.54040031186639</v>
      </c>
      <c r="G162" s="86">
        <f t="shared" si="84"/>
        <v>845.10656647041708</v>
      </c>
      <c r="H162" s="29">
        <f t="shared" si="84"/>
        <v>647.72469212928718</v>
      </c>
      <c r="I162" s="29">
        <f t="shared" si="84"/>
        <v>647.81759410791506</v>
      </c>
      <c r="J162" s="29">
        <f t="shared" si="84"/>
        <v>673.6075858494263</v>
      </c>
      <c r="K162" s="29">
        <f t="shared" si="84"/>
        <v>670.79544256370173</v>
      </c>
      <c r="L162" s="29">
        <f t="shared" si="84"/>
        <v>671.93857767922896</v>
      </c>
      <c r="M162" s="29">
        <f t="shared" si="84"/>
        <v>692.16575984246208</v>
      </c>
      <c r="N162" s="29">
        <f t="shared" si="84"/>
        <v>724.2676061672372</v>
      </c>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spans="1:44" s="3" customFormat="1">
      <c r="A163" s="1" t="s">
        <v>150</v>
      </c>
      <c r="B163" s="70">
        <f t="shared" ref="B163:N163" si="85">4.76*B$55-3.01-((B162-675)/85)*(0.53*B$55+0.005294*(B162-675))</f>
        <v>0.80007188198000101</v>
      </c>
      <c r="C163" s="70">
        <f t="shared" si="85"/>
        <v>-5.9442072108622135</v>
      </c>
      <c r="D163" s="70">
        <f t="shared" si="85"/>
        <v>-5.3794014901777274</v>
      </c>
      <c r="E163" s="70">
        <f t="shared" si="85"/>
        <v>-26.489118370013564</v>
      </c>
      <c r="F163" s="70">
        <f t="shared" si="85"/>
        <v>1.3443182587609268</v>
      </c>
      <c r="G163" s="70">
        <f t="shared" si="85"/>
        <v>3.4289932124255413</v>
      </c>
      <c r="H163" s="30">
        <f t="shared" si="85"/>
        <v>1.8671637913572963</v>
      </c>
      <c r="I163" s="30">
        <f t="shared" si="85"/>
        <v>1.4016302112507804</v>
      </c>
      <c r="J163" s="30">
        <f t="shared" si="85"/>
        <v>1.6892205043908308</v>
      </c>
      <c r="K163" s="30">
        <f t="shared" si="85"/>
        <v>1.381952699335746</v>
      </c>
      <c r="L163" s="30">
        <f t="shared" si="85"/>
        <v>1.6278039508495172</v>
      </c>
      <c r="M163" s="30">
        <f t="shared" si="85"/>
        <v>1.8893435107411194</v>
      </c>
      <c r="N163" s="30">
        <f t="shared" si="85"/>
        <v>2.2963728400257857</v>
      </c>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spans="1:44" s="3" customFormat="1">
      <c r="A164" s="10" t="s">
        <v>153</v>
      </c>
      <c r="B164" s="64"/>
      <c r="C164" s="64"/>
      <c r="D164" s="64"/>
      <c r="E164" s="64"/>
      <c r="F164" s="64"/>
      <c r="G164" s="64"/>
      <c r="H164" s="14"/>
      <c r="I164" s="14"/>
      <c r="J164" s="14"/>
      <c r="K164" s="14"/>
      <c r="L164" s="14"/>
      <c r="M164" s="14"/>
      <c r="N164" s="14"/>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spans="1:44" s="3" customFormat="1">
      <c r="A165" s="27" t="s">
        <v>145</v>
      </c>
      <c r="B165" s="85">
        <f t="shared" ref="B165:N165" si="86">((-76.95+B159*0.79+39.4*B$96+22.4*B$99+(41.5-2.89*B159)*B$94)/(-0.065-0.0083144*LN(B$100)))-273.15</f>
        <v>964.52712946467852</v>
      </c>
      <c r="C165" s="85">
        <f t="shared" si="86"/>
        <v>1337.302167445665</v>
      </c>
      <c r="D165" s="85">
        <f t="shared" si="86"/>
        <v>982.44931569826974</v>
      </c>
      <c r="E165" s="85">
        <f t="shared" si="86"/>
        <v>1311.5429254631567</v>
      </c>
      <c r="F165" s="85">
        <f t="shared" si="86"/>
        <v>885.17856843048742</v>
      </c>
      <c r="G165" s="85">
        <f t="shared" si="86"/>
        <v>843.24090853044606</v>
      </c>
      <c r="H165" s="28">
        <f t="shared" si="86"/>
        <v>717.74328983147609</v>
      </c>
      <c r="I165" s="28">
        <f t="shared" si="86"/>
        <v>701.95963833610904</v>
      </c>
      <c r="J165" s="28">
        <f t="shared" si="86"/>
        <v>716.25182077387558</v>
      </c>
      <c r="K165" s="28">
        <f t="shared" si="86"/>
        <v>730.71679525805473</v>
      </c>
      <c r="L165" s="28">
        <f t="shared" si="86"/>
        <v>745.52275502101031</v>
      </c>
      <c r="M165" s="28">
        <f t="shared" si="86"/>
        <v>774.68019710734814</v>
      </c>
      <c r="N165" s="28">
        <f t="shared" si="86"/>
        <v>792.38086358001726</v>
      </c>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spans="1:44" s="3" customFormat="1">
      <c r="A166" s="1" t="s">
        <v>146</v>
      </c>
      <c r="B166" s="70">
        <f t="shared" ref="B166:N166" si="87">4.76*B$55-3.01-((B165-675)/85)*(0.53*B$55+0.005294*(B165-675))</f>
        <v>-1.2030629079964363</v>
      </c>
      <c r="C166" s="70">
        <f t="shared" si="87"/>
        <v>-28.84840124102459</v>
      </c>
      <c r="D166" s="70">
        <f t="shared" si="87"/>
        <v>-2.3594037787364606</v>
      </c>
      <c r="E166" s="70">
        <f t="shared" si="87"/>
        <v>-26.434411690891295</v>
      </c>
      <c r="F166" s="70">
        <f t="shared" si="87"/>
        <v>1.6800687179626426</v>
      </c>
      <c r="G166" s="70">
        <f t="shared" si="87"/>
        <v>3.4942236662753077</v>
      </c>
      <c r="H166" s="30">
        <f t="shared" si="87"/>
        <v>1.3637044887864067</v>
      </c>
      <c r="I166" s="30">
        <f t="shared" si="87"/>
        <v>1.0971034071440318</v>
      </c>
      <c r="J166" s="30">
        <f t="shared" si="87"/>
        <v>1.3213216508102341</v>
      </c>
      <c r="K166" s="30">
        <f t="shared" si="87"/>
        <v>0.84677110711544201</v>
      </c>
      <c r="L166" s="30">
        <f t="shared" si="87"/>
        <v>0.87331805776374072</v>
      </c>
      <c r="M166" s="30">
        <f t="shared" si="87"/>
        <v>0.74507531160469109</v>
      </c>
      <c r="N166" s="30">
        <f t="shared" si="87"/>
        <v>1.0688690607094933</v>
      </c>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spans="1:44" s="3" customFormat="1">
      <c r="A167" s="27" t="s">
        <v>147</v>
      </c>
      <c r="B167" s="85">
        <f t="shared" ref="B167:N167" si="88">((78.44+3-33.6*B$97-(66.8-2.92*B161)*B$94+78.5*B$93+9.4*B$96)/(0.0721-0.0083144*LN((27*B$97*B$92*B$39)/(64*B$98*B$93*B$38))))-273.15</f>
        <v>792.01607358023841</v>
      </c>
      <c r="C167" s="85">
        <f t="shared" si="88"/>
        <v>835.92029394777603</v>
      </c>
      <c r="D167" s="85">
        <f t="shared" si="88"/>
        <v>839.7039776086707</v>
      </c>
      <c r="E167" s="85">
        <f t="shared" si="88"/>
        <v>897.99288537433642</v>
      </c>
      <c r="F167" s="85">
        <f t="shared" si="88"/>
        <v>798.22162311357999</v>
      </c>
      <c r="G167" s="85">
        <f t="shared" si="88"/>
        <v>765.2545521624628</v>
      </c>
      <c r="H167" s="28">
        <f t="shared" si="88"/>
        <v>612.68645006616566</v>
      </c>
      <c r="I167" s="28">
        <f t="shared" si="88"/>
        <v>666.35134723267765</v>
      </c>
      <c r="J167" s="28">
        <f t="shared" si="88"/>
        <v>715.93960190845166</v>
      </c>
      <c r="K167" s="28">
        <f t="shared" si="88"/>
        <v>695.74566504371069</v>
      </c>
      <c r="L167" s="28">
        <f t="shared" si="88"/>
        <v>668.9874208646263</v>
      </c>
      <c r="M167" s="28">
        <f t="shared" si="88"/>
        <v>684.2969905005308</v>
      </c>
      <c r="N167" s="28">
        <f t="shared" si="88"/>
        <v>735.72506675112209</v>
      </c>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spans="1:44" s="3" customFormat="1">
      <c r="A168" s="1" t="s">
        <v>148</v>
      </c>
      <c r="B168" s="70">
        <f t="shared" ref="B168:N168" si="89">4.76*B$55-3.01-((B167-675)/85)*(0.53*B$55+0.005294*(B167-675))</f>
        <v>5.7234590329190702</v>
      </c>
      <c r="C168" s="70">
        <f t="shared" si="89"/>
        <v>4.2056025108290571</v>
      </c>
      <c r="D168" s="70">
        <f t="shared" si="89"/>
        <v>3.8851134356900019</v>
      </c>
      <c r="E168" s="70">
        <f t="shared" si="89"/>
        <v>1.6104142178007397</v>
      </c>
      <c r="F168" s="70">
        <f t="shared" si="89"/>
        <v>4.6553929508597491</v>
      </c>
      <c r="G168" s="70">
        <f t="shared" si="89"/>
        <v>5.8330663671977385</v>
      </c>
      <c r="H168" s="30">
        <f t="shared" si="89"/>
        <v>1.8898397788761274</v>
      </c>
      <c r="I168" s="30">
        <f t="shared" si="89"/>
        <v>1.338489015000399</v>
      </c>
      <c r="J168" s="30">
        <f t="shared" si="89"/>
        <v>1.3248383912644721</v>
      </c>
      <c r="K168" s="30">
        <f t="shared" si="89"/>
        <v>1.2134559600339505</v>
      </c>
      <c r="L168" s="30">
        <f t="shared" si="89"/>
        <v>1.6439956811209591</v>
      </c>
      <c r="M168" s="30">
        <f t="shared" si="89"/>
        <v>1.9541681009170588</v>
      </c>
      <c r="N168" s="30">
        <f t="shared" si="89"/>
        <v>2.1303215354034277</v>
      </c>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spans="1:44" s="3" customFormat="1">
      <c r="A169" t="s">
        <v>149</v>
      </c>
      <c r="B169" s="86">
        <f t="shared" ref="B169:N169" si="90">(0.677*B163-48.98)/(-0.0429-0.008314*LN(B$38*(B$52-4)/(8-B$52)))-273.15</f>
        <v>940.16063778016576</v>
      </c>
      <c r="C169" s="86">
        <f t="shared" si="90"/>
        <v>1101.8444419551515</v>
      </c>
      <c r="D169" s="86">
        <f t="shared" si="90"/>
        <v>1084.7290972596493</v>
      </c>
      <c r="E169" s="86">
        <f t="shared" si="90"/>
        <v>1545.4664695360043</v>
      </c>
      <c r="F169" s="86">
        <f t="shared" si="90"/>
        <v>903.8105568748307</v>
      </c>
      <c r="G169" s="86">
        <f t="shared" si="90"/>
        <v>850.32904699912012</v>
      </c>
      <c r="H169" s="29">
        <f t="shared" si="90"/>
        <v>647.72461071325927</v>
      </c>
      <c r="I169" s="29">
        <f t="shared" si="90"/>
        <v>647.81755897953428</v>
      </c>
      <c r="J169" s="29">
        <f t="shared" si="90"/>
        <v>673.60753252769064</v>
      </c>
      <c r="K169" s="29">
        <f t="shared" si="90"/>
        <v>670.79534815397983</v>
      </c>
      <c r="L169" s="29">
        <f t="shared" si="90"/>
        <v>671.93848097188265</v>
      </c>
      <c r="M169" s="29">
        <f t="shared" si="90"/>
        <v>692.16843308587602</v>
      </c>
      <c r="N169" s="29">
        <f t="shared" si="90"/>
        <v>724.31145551379973</v>
      </c>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spans="1:44" s="3" customFormat="1">
      <c r="A170" s="1" t="s">
        <v>150</v>
      </c>
      <c r="B170" s="70">
        <f t="shared" ref="B170:N170" si="91">4.76*B$55-3.01-((B169-675)/85)*(0.53*B$55+0.005294*(B169-675))</f>
        <v>1.0496409617744007E-4</v>
      </c>
      <c r="C170" s="70">
        <f t="shared" si="91"/>
        <v>-9.4259203738885304</v>
      </c>
      <c r="D170" s="70">
        <f t="shared" si="91"/>
        <v>-8.3945857789355518</v>
      </c>
      <c r="E170" s="70">
        <f t="shared" si="91"/>
        <v>-51.731139747207102</v>
      </c>
      <c r="F170" s="70">
        <f t="shared" si="91"/>
        <v>0.92002539291145791</v>
      </c>
      <c r="G170" s="70">
        <f t="shared" si="91"/>
        <v>3.2440900046527705</v>
      </c>
      <c r="H170" s="30">
        <f t="shared" si="91"/>
        <v>1.8671640217188441</v>
      </c>
      <c r="I170" s="30">
        <f t="shared" si="91"/>
        <v>1.4016302903772462</v>
      </c>
      <c r="J170" s="30">
        <f t="shared" si="91"/>
        <v>1.6892208227844299</v>
      </c>
      <c r="K170" s="30">
        <f t="shared" si="91"/>
        <v>1.3819531902050906</v>
      </c>
      <c r="L170" s="30">
        <f t="shared" si="91"/>
        <v>1.6278044992159124</v>
      </c>
      <c r="M170" s="30">
        <f t="shared" si="91"/>
        <v>1.8893201774322568</v>
      </c>
      <c r="N170" s="30">
        <f t="shared" si="91"/>
        <v>2.2957685088778836</v>
      </c>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spans="1:44" s="3" customFormat="1">
      <c r="A171" s="10" t="s">
        <v>154</v>
      </c>
      <c r="B171" s="64"/>
      <c r="C171" s="64"/>
      <c r="D171" s="64"/>
      <c r="E171" s="64"/>
      <c r="F171" s="64"/>
      <c r="G171" s="64"/>
      <c r="H171" s="14"/>
      <c r="I171" s="14"/>
      <c r="J171" s="14"/>
      <c r="K171" s="14"/>
      <c r="L171" s="14"/>
      <c r="M171" s="14"/>
      <c r="N171" s="14"/>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spans="1:44" s="3" customFormat="1">
      <c r="A172" s="27" t="s">
        <v>145</v>
      </c>
      <c r="B172" s="85">
        <f t="shared" ref="B172:N172" si="92">((-76.95+B166*0.79+39.4*B$96+22.4*B$99+(41.5-2.89*B166)*B$94)/(-0.065-0.0083144*LN(B$100)))-273.15</f>
        <v>969.75755304007009</v>
      </c>
      <c r="C172" s="85">
        <f t="shared" si="92"/>
        <v>1487.9259160169026</v>
      </c>
      <c r="D172" s="85">
        <f t="shared" si="92"/>
        <v>985.2907075386039</v>
      </c>
      <c r="E172" s="85">
        <f t="shared" si="92"/>
        <v>1394.9914985062651</v>
      </c>
      <c r="F172" s="85">
        <f t="shared" si="92"/>
        <v>885.92003551859</v>
      </c>
      <c r="G172" s="85">
        <f t="shared" si="92"/>
        <v>843.50466909975046</v>
      </c>
      <c r="H172" s="28">
        <f t="shared" si="92"/>
        <v>717.74429039974621</v>
      </c>
      <c r="I172" s="28">
        <f t="shared" si="92"/>
        <v>701.95977164505609</v>
      </c>
      <c r="J172" s="28">
        <f t="shared" si="92"/>
        <v>716.25236516546181</v>
      </c>
      <c r="K172" s="28">
        <f t="shared" si="92"/>
        <v>730.71844892627496</v>
      </c>
      <c r="L172" s="28">
        <f t="shared" si="92"/>
        <v>745.52939279270652</v>
      </c>
      <c r="M172" s="28">
        <f t="shared" si="92"/>
        <v>774.71989195436993</v>
      </c>
      <c r="N172" s="28">
        <f t="shared" si="92"/>
        <v>792.4723182700676</v>
      </c>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spans="1:44" s="3" customFormat="1">
      <c r="A173" s="1" t="s">
        <v>146</v>
      </c>
      <c r="B173" s="70">
        <f t="shared" ref="B173:N173" si="93">4.76*B$55-3.01-((B172-675)/85)*(0.53*B$55+0.005294*(B172-675))</f>
        <v>-1.4709721838709786</v>
      </c>
      <c r="C173" s="70">
        <f t="shared" si="93"/>
        <v>-44.894989256580828</v>
      </c>
      <c r="D173" s="70">
        <f t="shared" si="93"/>
        <v>-2.5094671765229037</v>
      </c>
      <c r="E173" s="70">
        <f t="shared" si="93"/>
        <v>-34.676549945549127</v>
      </c>
      <c r="F173" s="70">
        <f t="shared" si="93"/>
        <v>1.65064869380108</v>
      </c>
      <c r="G173" s="70">
        <f t="shared" si="93"/>
        <v>3.4850279151214627</v>
      </c>
      <c r="H173" s="30">
        <f t="shared" si="93"/>
        <v>1.3636929308713828</v>
      </c>
      <c r="I173" s="30">
        <f t="shared" si="93"/>
        <v>1.0971022078044574</v>
      </c>
      <c r="J173" s="30">
        <f t="shared" si="93"/>
        <v>1.3213155083407473</v>
      </c>
      <c r="K173" s="30">
        <f t="shared" si="93"/>
        <v>0.84675016581151674</v>
      </c>
      <c r="L173" s="30">
        <f t="shared" si="93"/>
        <v>0.87321957460251542</v>
      </c>
      <c r="M173" s="30">
        <f t="shared" si="93"/>
        <v>0.74432074604990106</v>
      </c>
      <c r="N173" s="30">
        <f t="shared" si="93"/>
        <v>1.0668324141121421</v>
      </c>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spans="1:44" s="3" customFormat="1">
      <c r="A174" s="27" t="s">
        <v>147</v>
      </c>
      <c r="B174" s="85">
        <f t="shared" ref="B174:N174" si="94">((78.44+3-33.6*B$97-(66.8-2.92*B168)*B$94+78.5*B$93+9.4*B$96)/(0.0721-0.0083144*LN((27*B$97*B$92*B$39)/(64*B$98*B$93*B$38))))-273.15</f>
        <v>792.01542040434686</v>
      </c>
      <c r="C174" s="85">
        <f t="shared" si="94"/>
        <v>835.91976982305152</v>
      </c>
      <c r="D174" s="85">
        <f t="shared" si="94"/>
        <v>839.69243207308125</v>
      </c>
      <c r="E174" s="85">
        <f t="shared" si="94"/>
        <v>897.97794990948876</v>
      </c>
      <c r="F174" s="85">
        <f t="shared" si="94"/>
        <v>798.22030071582992</v>
      </c>
      <c r="G174" s="85">
        <f t="shared" si="94"/>
        <v>765.25395511018689</v>
      </c>
      <c r="H174" s="28">
        <f t="shared" si="94"/>
        <v>612.686450066166</v>
      </c>
      <c r="I174" s="28">
        <f t="shared" si="94"/>
        <v>666.35134723270028</v>
      </c>
      <c r="J174" s="28">
        <f t="shared" si="94"/>
        <v>715.93960188086521</v>
      </c>
      <c r="K174" s="28">
        <f t="shared" si="94"/>
        <v>695.74566504335792</v>
      </c>
      <c r="L174" s="28">
        <f t="shared" si="94"/>
        <v>668.98742086462846</v>
      </c>
      <c r="M174" s="28">
        <f t="shared" si="94"/>
        <v>684.29699050052125</v>
      </c>
      <c r="N174" s="28">
        <f t="shared" si="94"/>
        <v>735.72506672569284</v>
      </c>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spans="1:44" s="3" customFormat="1">
      <c r="A175" s="1" t="s">
        <v>148</v>
      </c>
      <c r="B175" s="70">
        <f t="shared" ref="B175:N175" si="95">4.76*B$55-3.01-((B174-675)/85)*(0.53*B$55+0.005294*(B174-675))</f>
        <v>5.7234782406939022</v>
      </c>
      <c r="C175" s="70">
        <f t="shared" si="95"/>
        <v>4.2056206971864354</v>
      </c>
      <c r="D175" s="70">
        <f t="shared" si="95"/>
        <v>3.8855158509786696</v>
      </c>
      <c r="E175" s="70">
        <f t="shared" si="95"/>
        <v>1.6110423591061114</v>
      </c>
      <c r="F175" s="70">
        <f t="shared" si="95"/>
        <v>4.6554310360425442</v>
      </c>
      <c r="G175" s="70">
        <f t="shared" si="95"/>
        <v>5.8330813730306543</v>
      </c>
      <c r="H175" s="30">
        <f t="shared" si="95"/>
        <v>1.8898397788761281</v>
      </c>
      <c r="I175" s="30">
        <f t="shared" si="95"/>
        <v>1.3384890150002957</v>
      </c>
      <c r="J175" s="30">
        <f t="shared" si="95"/>
        <v>1.3248383915746611</v>
      </c>
      <c r="K175" s="30">
        <f t="shared" si="95"/>
        <v>1.2134559600368811</v>
      </c>
      <c r="L175" s="30">
        <f t="shared" si="95"/>
        <v>1.6439956811209475</v>
      </c>
      <c r="M175" s="30">
        <f t="shared" si="95"/>
        <v>1.9541681009171328</v>
      </c>
      <c r="N175" s="30">
        <f t="shared" si="95"/>
        <v>2.1303215357901157</v>
      </c>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spans="1:44" s="3" customFormat="1">
      <c r="A176" t="s">
        <v>149</v>
      </c>
      <c r="B176" s="86">
        <f t="shared" ref="B176:N176" si="96">(0.677*B170-48.98)/(-0.0429-0.008314*LN(B$38*(B$52-4)/(8-B$52)))-273.15</f>
        <v>953.72637338584138</v>
      </c>
      <c r="C176" s="86">
        <f t="shared" si="96"/>
        <v>1162.9910097803863</v>
      </c>
      <c r="D176" s="86">
        <f t="shared" si="96"/>
        <v>1137.403240589822</v>
      </c>
      <c r="E176" s="86">
        <f t="shared" si="96"/>
        <v>2009.9203042389995</v>
      </c>
      <c r="F176" s="86">
        <f t="shared" si="96"/>
        <v>910.84359739403283</v>
      </c>
      <c r="G176" s="86">
        <f t="shared" si="96"/>
        <v>853.34320942884517</v>
      </c>
      <c r="H176" s="29">
        <f t="shared" si="96"/>
        <v>647.72460770347232</v>
      </c>
      <c r="I176" s="29">
        <f t="shared" si="96"/>
        <v>647.81755795238803</v>
      </c>
      <c r="J176" s="29">
        <f t="shared" si="96"/>
        <v>673.60752826156852</v>
      </c>
      <c r="K176" s="29">
        <f t="shared" si="96"/>
        <v>670.79534162480195</v>
      </c>
      <c r="L176" s="29">
        <f t="shared" si="96"/>
        <v>671.93847364370163</v>
      </c>
      <c r="M176" s="29">
        <f t="shared" si="96"/>
        <v>692.16875276103747</v>
      </c>
      <c r="N176" s="29">
        <f t="shared" si="96"/>
        <v>724.32006048010555</v>
      </c>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spans="1:44" s="3" customFormat="1">
      <c r="A177" s="1" t="s">
        <v>150</v>
      </c>
      <c r="B177" s="70">
        <f t="shared" ref="B177:N177" si="97">4.76*B$55-3.01-((B176-675)/85)*(0.53*B$55+0.005294*(B176-675))</f>
        <v>-0.66061788580016767</v>
      </c>
      <c r="C177" s="70">
        <f t="shared" si="97"/>
        <v>-13.805951622343713</v>
      </c>
      <c r="D177" s="70">
        <f t="shared" si="97"/>
        <v>-12.01106043173059</v>
      </c>
      <c r="E177" s="70">
        <f t="shared" si="97"/>
        <v>-122.1598023549806</v>
      </c>
      <c r="F177" s="70">
        <f t="shared" si="97"/>
        <v>0.62188870316722689</v>
      </c>
      <c r="G177" s="70">
        <f t="shared" si="97"/>
        <v>3.1358265845859021</v>
      </c>
      <c r="H177" s="30">
        <f t="shared" si="97"/>
        <v>1.8671640302348318</v>
      </c>
      <c r="I177" s="30">
        <f t="shared" si="97"/>
        <v>1.4016302926908846</v>
      </c>
      <c r="J177" s="30">
        <f t="shared" si="97"/>
        <v>1.689220848258191</v>
      </c>
      <c r="K177" s="30">
        <f t="shared" si="97"/>
        <v>1.3819532241525414</v>
      </c>
      <c r="L177" s="30">
        <f t="shared" si="97"/>
        <v>1.6278045407693598</v>
      </c>
      <c r="M177" s="30">
        <f t="shared" si="97"/>
        <v>1.8893173870995337</v>
      </c>
      <c r="N177" s="30">
        <f t="shared" si="97"/>
        <v>2.2956498872272504</v>
      </c>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spans="1:44" s="3" customFormat="1">
      <c r="A178" s="10" t="s">
        <v>126</v>
      </c>
      <c r="B178" s="64"/>
      <c r="C178" s="64"/>
      <c r="D178" s="64"/>
      <c r="E178" s="64"/>
      <c r="F178" s="64"/>
      <c r="G178" s="64"/>
      <c r="H178" s="14"/>
      <c r="I178" s="14"/>
      <c r="J178" s="14"/>
      <c r="K178" s="14"/>
      <c r="L178" s="14"/>
      <c r="M178" s="14"/>
      <c r="N178" s="14"/>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spans="1:44" s="3" customFormat="1">
      <c r="A179" s="27" t="s">
        <v>127</v>
      </c>
      <c r="B179" s="85">
        <f t="shared" ref="B179:N179" si="98">((-76.95+B173*0.79+39.4*B$96+22.4*B$99+(41.5-2.89*B173)*B$94)/(-0.065-0.0083144*LN(B$100)))-273.15</f>
        <v>972.93871765825531</v>
      </c>
      <c r="C179" s="85">
        <f t="shared" si="98"/>
        <v>1731.4975571868949</v>
      </c>
      <c r="D179" s="85">
        <f t="shared" si="98"/>
        <v>986.74285826701464</v>
      </c>
      <c r="E179" s="85">
        <f t="shared" si="98"/>
        <v>1498.8876459235803</v>
      </c>
      <c r="F179" s="85">
        <f t="shared" si="98"/>
        <v>886.21461129978377</v>
      </c>
      <c r="G179" s="85">
        <f t="shared" si="98"/>
        <v>843.59051721545427</v>
      </c>
      <c r="H179" s="28">
        <f t="shared" si="98"/>
        <v>717.7444195745345</v>
      </c>
      <c r="I179" s="28">
        <f t="shared" si="98"/>
        <v>701.95978398809427</v>
      </c>
      <c r="J179" s="28">
        <f t="shared" si="98"/>
        <v>716.25242753973669</v>
      </c>
      <c r="K179" s="28">
        <f t="shared" si="98"/>
        <v>730.71867610090965</v>
      </c>
      <c r="L179" s="28">
        <f t="shared" si="98"/>
        <v>745.53056219504469</v>
      </c>
      <c r="M179" s="28">
        <f t="shared" si="98"/>
        <v>774.72951331183629</v>
      </c>
      <c r="N179" s="28">
        <f t="shared" si="98"/>
        <v>792.49802146368654</v>
      </c>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spans="1:44" s="3" customFormat="1">
      <c r="A180" s="1" t="s">
        <v>128</v>
      </c>
      <c r="B180" s="70">
        <f t="shared" ref="B180:N180" si="99">4.76*B$55-3.01-((B179-675)/85)*(0.53*B$55+0.005294*(B179-675))</f>
        <v>-1.6355822725678006</v>
      </c>
      <c r="C180" s="70">
        <f t="shared" si="99"/>
        <v>-76.823740039178489</v>
      </c>
      <c r="D180" s="70">
        <f t="shared" si="99"/>
        <v>-2.5865484313820026</v>
      </c>
      <c r="E180" s="70">
        <f t="shared" si="99"/>
        <v>-46.150564479160458</v>
      </c>
      <c r="F180" s="70">
        <f t="shared" si="99"/>
        <v>1.6389414708445811</v>
      </c>
      <c r="G180" s="70">
        <f t="shared" si="99"/>
        <v>3.482033036252334</v>
      </c>
      <c r="H180" s="30">
        <f t="shared" si="99"/>
        <v>1.3636914387190078</v>
      </c>
      <c r="I180" s="30">
        <f t="shared" si="99"/>
        <v>1.0971020967578293</v>
      </c>
      <c r="J180" s="30">
        <f t="shared" si="99"/>
        <v>1.3213148045580785</v>
      </c>
      <c r="K180" s="30">
        <f t="shared" si="99"/>
        <v>0.84674728894842022</v>
      </c>
      <c r="L180" s="30">
        <f t="shared" si="99"/>
        <v>0.87320222386816437</v>
      </c>
      <c r="M180" s="30">
        <f t="shared" si="99"/>
        <v>0.74413782260888817</v>
      </c>
      <c r="N180" s="30">
        <f t="shared" si="99"/>
        <v>1.0662598303071784</v>
      </c>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spans="1:44" s="3" customFormat="1">
      <c r="A181" s="27" t="s">
        <v>147</v>
      </c>
      <c r="B181" s="85">
        <f t="shared" ref="B181:N181" si="100">((78.44+3-33.6*B$97-(66.8-2.92*B175)*B$94+78.5*B$93+9.4*B$96)/(0.0721-0.0083144*LN((27*B$97*B$92*B$39)/(64*B$98*B$93*B$38))))-273.15</f>
        <v>792.0154806750628</v>
      </c>
      <c r="C181" s="85">
        <f t="shared" si="100"/>
        <v>835.91981380173854</v>
      </c>
      <c r="D181" s="85">
        <f t="shared" si="100"/>
        <v>839.69419868201123</v>
      </c>
      <c r="E181" s="85">
        <f t="shared" si="100"/>
        <v>897.98023743054443</v>
      </c>
      <c r="F181" s="85">
        <f t="shared" si="100"/>
        <v>798.22044006911449</v>
      </c>
      <c r="G181" s="85">
        <f t="shared" si="100"/>
        <v>765.2540117275795</v>
      </c>
      <c r="H181" s="28">
        <f t="shared" si="100"/>
        <v>612.686450066166</v>
      </c>
      <c r="I181" s="28">
        <f t="shared" si="100"/>
        <v>666.35134723270016</v>
      </c>
      <c r="J181" s="28">
        <f t="shared" si="100"/>
        <v>715.93960188128915</v>
      </c>
      <c r="K181" s="28">
        <f t="shared" si="100"/>
        <v>695.74566504336053</v>
      </c>
      <c r="L181" s="28">
        <f t="shared" si="100"/>
        <v>668.98742086462812</v>
      </c>
      <c r="M181" s="28">
        <f t="shared" si="100"/>
        <v>684.29699050052125</v>
      </c>
      <c r="N181" s="28">
        <f t="shared" si="100"/>
        <v>735.72506672605016</v>
      </c>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spans="1:44" s="3" customFormat="1">
      <c r="A182" s="1" t="s">
        <v>148</v>
      </c>
      <c r="B182" s="70">
        <f t="shared" ref="B182:N182" si="101">4.76*B$55-3.01-((B181-675)/85)*(0.53*B$55+0.005294*(B181-675))</f>
        <v>5.723476468330742</v>
      </c>
      <c r="C182" s="70">
        <f t="shared" si="101"/>
        <v>4.2056191711919677</v>
      </c>
      <c r="D182" s="70">
        <f t="shared" si="101"/>
        <v>3.8854542775666374</v>
      </c>
      <c r="E182" s="70">
        <f t="shared" si="101"/>
        <v>1.6109461545645569</v>
      </c>
      <c r="F182" s="70">
        <f t="shared" si="101"/>
        <v>4.6554270226647709</v>
      </c>
      <c r="G182" s="70">
        <f t="shared" si="101"/>
        <v>5.8330799500564359</v>
      </c>
      <c r="H182" s="30">
        <f t="shared" si="101"/>
        <v>1.8898397788761281</v>
      </c>
      <c r="I182" s="30">
        <f t="shared" si="101"/>
        <v>1.3384890150002964</v>
      </c>
      <c r="J182" s="30">
        <f t="shared" si="101"/>
        <v>1.3248383915698942</v>
      </c>
      <c r="K182" s="30">
        <f t="shared" si="101"/>
        <v>1.2134559600368595</v>
      </c>
      <c r="L182" s="30">
        <f t="shared" si="101"/>
        <v>1.6439956811209493</v>
      </c>
      <c r="M182" s="30">
        <f t="shared" si="101"/>
        <v>1.9541681009171328</v>
      </c>
      <c r="N182" s="30">
        <f t="shared" si="101"/>
        <v>2.1303215357846823</v>
      </c>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spans="1:44" s="3" customFormat="1">
      <c r="A183" t="s">
        <v>149</v>
      </c>
      <c r="B183" s="86">
        <f t="shared" ref="B183:N183" si="102">(0.677*B177-48.98)/(-0.0429-0.008314*LN(B$38*(B$52-4)/(8-B$52)))-273.15</f>
        <v>964.93082608250108</v>
      </c>
      <c r="C183" s="86">
        <f t="shared" si="102"/>
        <v>1239.9140259134906</v>
      </c>
      <c r="D183" s="86">
        <f t="shared" si="102"/>
        <v>1200.5817019931674</v>
      </c>
      <c r="E183" s="86">
        <f t="shared" si="102"/>
        <v>3305.8094857107549</v>
      </c>
      <c r="F183" s="86">
        <f t="shared" si="102"/>
        <v>915.78548444422893</v>
      </c>
      <c r="G183" s="86">
        <f t="shared" si="102"/>
        <v>855.10804378304499</v>
      </c>
      <c r="H183" s="29">
        <f t="shared" si="102"/>
        <v>647.72460759220678</v>
      </c>
      <c r="I183" s="29">
        <f t="shared" si="102"/>
        <v>647.81755792235447</v>
      </c>
      <c r="J183" s="29">
        <f t="shared" si="102"/>
        <v>673.60752792024823</v>
      </c>
      <c r="K183" s="29">
        <f t="shared" si="102"/>
        <v>670.79534117325829</v>
      </c>
      <c r="L183" s="29">
        <f t="shared" si="102"/>
        <v>671.93847308839565</v>
      </c>
      <c r="M183" s="29">
        <f t="shared" si="102"/>
        <v>692.16879098965182</v>
      </c>
      <c r="N183" s="29">
        <f t="shared" si="102"/>
        <v>724.32174951319678</v>
      </c>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spans="1:44" s="3" customFormat="1">
      <c r="A184" s="1" t="s">
        <v>150</v>
      </c>
      <c r="B184" s="70">
        <f t="shared" ref="B184:N184" si="103">4.76*B$55-3.01-((B183-675)/85)*(0.53*B$55+0.005294*(B183-675))</f>
        <v>-1.2236194282792034</v>
      </c>
      <c r="C184" s="70">
        <f t="shared" si="103"/>
        <v>-19.977560315451029</v>
      </c>
      <c r="D184" s="70">
        <f t="shared" si="103"/>
        <v>-16.80460402298629</v>
      </c>
      <c r="E184" s="70">
        <f t="shared" si="103"/>
        <v>-460.74441493280256</v>
      </c>
      <c r="F184" s="70">
        <f t="shared" si="103"/>
        <v>0.40871203219993468</v>
      </c>
      <c r="G184" s="70">
        <f t="shared" si="103"/>
        <v>3.0719115365924781</v>
      </c>
      <c r="H184" s="30">
        <f t="shared" si="103"/>
        <v>1.86716403054965</v>
      </c>
      <c r="I184" s="30">
        <f t="shared" si="103"/>
        <v>1.4016302927585349</v>
      </c>
      <c r="J184" s="30">
        <f t="shared" si="103"/>
        <v>1.689220850296274</v>
      </c>
      <c r="K184" s="30">
        <f t="shared" si="103"/>
        <v>1.3819532265002725</v>
      </c>
      <c r="L184" s="30">
        <f t="shared" si="103"/>
        <v>1.6278045439181459</v>
      </c>
      <c r="M184" s="30">
        <f t="shared" si="103"/>
        <v>1.8893170534144719</v>
      </c>
      <c r="N184" s="30">
        <f t="shared" si="103"/>
        <v>2.2956266023933032</v>
      </c>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spans="1:44" s="3" customFormat="1">
      <c r="B185" s="81"/>
      <c r="C185" s="81"/>
      <c r="D185" s="81"/>
      <c r="E185" s="81"/>
      <c r="F185" s="81"/>
      <c r="G185" s="82"/>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spans="1:44" s="3" customFormat="1">
      <c r="B186" s="81"/>
      <c r="C186" s="81"/>
      <c r="D186" s="81"/>
      <c r="E186" s="81"/>
      <c r="F186" s="81"/>
      <c r="G186" s="82"/>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spans="1:44" s="3" customFormat="1">
      <c r="B187" s="81"/>
      <c r="C187" s="81"/>
      <c r="D187" s="81"/>
      <c r="E187" s="81"/>
      <c r="F187" s="81"/>
      <c r="G187" s="82"/>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spans="1:44" s="3" customFormat="1">
      <c r="A188" s="8" t="s">
        <v>0</v>
      </c>
      <c r="B188" s="98"/>
      <c r="C188" s="98"/>
      <c r="D188" s="98"/>
      <c r="E188" s="98"/>
      <c r="F188" s="98"/>
      <c r="G188" s="98"/>
      <c r="H188" s="11"/>
      <c r="I188" s="11"/>
      <c r="J188" s="11"/>
      <c r="K188" s="11"/>
      <c r="L188" s="11"/>
      <c r="M188" s="11"/>
      <c r="N188" s="11"/>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spans="1:44" s="3" customFormat="1">
      <c r="A189" s="3" t="s">
        <v>1</v>
      </c>
      <c r="B189" s="82">
        <f t="shared" ref="B189:N189" si="104">B22/60.09*2+B23/79.9*2+B24/101.94*3+B25/71.85+B26/40.32+B27/70.94+B28/56.08+B29/61.982+B30/94.2</f>
        <v>2.6179688111463189</v>
      </c>
      <c r="C189" s="82">
        <f t="shared" si="104"/>
        <v>2.5680788570957018</v>
      </c>
      <c r="D189" s="82">
        <f t="shared" si="104"/>
        <v>2.6065268300001851</v>
      </c>
      <c r="E189" s="82">
        <f t="shared" si="104"/>
        <v>2.6023442215175323</v>
      </c>
      <c r="F189" s="82">
        <f t="shared" si="104"/>
        <v>2.6272772536589493</v>
      </c>
      <c r="G189" s="82">
        <f t="shared" si="104"/>
        <v>2.6212785902608653</v>
      </c>
      <c r="H189" s="12">
        <f t="shared" si="104"/>
        <v>2.6102483928759121</v>
      </c>
      <c r="I189" s="12">
        <f t="shared" si="104"/>
        <v>2.5683978013839446</v>
      </c>
      <c r="J189" s="12">
        <f t="shared" si="104"/>
        <v>2.6221474674209162</v>
      </c>
      <c r="K189" s="12">
        <f t="shared" si="104"/>
        <v>2.5878687508499225</v>
      </c>
      <c r="L189" s="12">
        <f t="shared" si="104"/>
        <v>2.6214190031753382</v>
      </c>
      <c r="M189" s="12">
        <f t="shared" si="104"/>
        <v>2.5667022006062252</v>
      </c>
      <c r="N189" s="12">
        <f t="shared" si="104"/>
        <v>2.6028248891646433</v>
      </c>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spans="1:44" s="3" customFormat="1">
      <c r="B190" s="82"/>
      <c r="C190" s="82"/>
      <c r="D190" s="82"/>
      <c r="E190" s="82"/>
      <c r="F190" s="82"/>
      <c r="G190" s="82"/>
      <c r="H190" s="12"/>
      <c r="I190" s="12"/>
      <c r="J190" s="12"/>
      <c r="K190" s="12"/>
      <c r="L190" s="12"/>
      <c r="M190" s="12"/>
      <c r="N190" s="12"/>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spans="1:44" s="3" customFormat="1">
      <c r="A191" s="5" t="s">
        <v>55</v>
      </c>
      <c r="B191" s="99"/>
      <c r="C191" s="99"/>
      <c r="D191" s="99"/>
      <c r="E191" s="99"/>
      <c r="F191" s="99"/>
      <c r="G191" s="100"/>
      <c r="H191" s="13"/>
      <c r="I191" s="13"/>
      <c r="J191" s="13"/>
      <c r="K191" s="13"/>
      <c r="L191" s="13"/>
      <c r="M191" s="13"/>
      <c r="N191" s="13"/>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spans="1:44" s="3" customFormat="1">
      <c r="A192" s="3" t="s">
        <v>56</v>
      </c>
      <c r="B192" s="81">
        <f t="shared" ref="B192:N192" si="105">B22/60.09*2*23/B$189/2</f>
        <v>5.9505289564617483</v>
      </c>
      <c r="C192" s="81">
        <f t="shared" si="105"/>
        <v>5.9319891601696382</v>
      </c>
      <c r="D192" s="81">
        <f t="shared" si="105"/>
        <v>6.0647581113000451</v>
      </c>
      <c r="E192" s="81">
        <f t="shared" si="105"/>
        <v>6.0450891798176096</v>
      </c>
      <c r="F192" s="81">
        <f t="shared" si="105"/>
        <v>6.1771135215968345</v>
      </c>
      <c r="G192" s="82">
        <f t="shared" si="105"/>
        <v>6.1328415188192711</v>
      </c>
      <c r="H192" s="3">
        <f t="shared" si="105"/>
        <v>7.1353601661908286</v>
      </c>
      <c r="I192" s="3">
        <f t="shared" si="105"/>
        <v>7.2411949787338612</v>
      </c>
      <c r="J192" s="3">
        <f t="shared" si="105"/>
        <v>7.1832649373890822</v>
      </c>
      <c r="K192" s="3">
        <f t="shared" si="105"/>
        <v>7.217772805321629</v>
      </c>
      <c r="L192" s="3">
        <f t="shared" si="105"/>
        <v>7.1370770588474857</v>
      </c>
      <c r="M192" s="3">
        <f t="shared" si="105"/>
        <v>7.0491337568122772</v>
      </c>
      <c r="N192" s="3">
        <f t="shared" si="105"/>
        <v>6.9071874341055688</v>
      </c>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spans="1:44" s="3" customFormat="1">
      <c r="A193" s="3" t="s">
        <v>57</v>
      </c>
      <c r="B193" s="81">
        <f t="shared" ref="B193:N193" si="106">8-B192</f>
        <v>2.0494710435382517</v>
      </c>
      <c r="C193" s="81">
        <f t="shared" si="106"/>
        <v>2.0680108398303618</v>
      </c>
      <c r="D193" s="81">
        <f t="shared" si="106"/>
        <v>1.9352418886999549</v>
      </c>
      <c r="E193" s="81">
        <f t="shared" si="106"/>
        <v>1.9549108201823904</v>
      </c>
      <c r="F193" s="81">
        <f t="shared" si="106"/>
        <v>1.8228864784031655</v>
      </c>
      <c r="G193" s="82">
        <f t="shared" si="106"/>
        <v>1.8671584811807289</v>
      </c>
      <c r="H193" s="3">
        <f t="shared" si="106"/>
        <v>0.86463983380917142</v>
      </c>
      <c r="I193" s="3">
        <f t="shared" si="106"/>
        <v>0.7588050212661388</v>
      </c>
      <c r="J193" s="3">
        <f t="shared" si="106"/>
        <v>0.81673506261091777</v>
      </c>
      <c r="K193" s="3">
        <f t="shared" si="106"/>
        <v>0.78222719467837099</v>
      </c>
      <c r="L193" s="3">
        <f t="shared" si="106"/>
        <v>0.86292294115251433</v>
      </c>
      <c r="M193" s="3">
        <f t="shared" si="106"/>
        <v>0.95086624318772284</v>
      </c>
      <c r="N193" s="3">
        <f t="shared" si="106"/>
        <v>1.0928125658944312</v>
      </c>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spans="1:44" s="3" customFormat="1">
      <c r="B194" s="81"/>
      <c r="C194" s="81"/>
      <c r="D194" s="81"/>
      <c r="E194" s="81"/>
      <c r="F194" s="81"/>
      <c r="G194" s="82"/>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spans="1:44" s="3" customFormat="1">
      <c r="A195" s="3" t="s">
        <v>58</v>
      </c>
      <c r="B195" s="81">
        <f t="shared" ref="B195:N195" si="107">B193+B198</f>
        <v>2.4131080574510562</v>
      </c>
      <c r="C195" s="81">
        <f t="shared" si="107"/>
        <v>2.3897020463463448</v>
      </c>
      <c r="D195" s="81">
        <f t="shared" si="107"/>
        <v>2.3198280808810128</v>
      </c>
      <c r="E195" s="81">
        <f t="shared" si="107"/>
        <v>2.3235566163027146</v>
      </c>
      <c r="F195" s="81">
        <f t="shared" si="107"/>
        <v>2.181277991961593</v>
      </c>
      <c r="G195" s="82">
        <f t="shared" si="107"/>
        <v>2.2551286255886445</v>
      </c>
      <c r="H195" s="3">
        <f t="shared" si="107"/>
        <v>1.0095880758079998</v>
      </c>
      <c r="I195" s="3">
        <f t="shared" si="107"/>
        <v>0.91359614126611044</v>
      </c>
      <c r="J195" s="3">
        <f t="shared" si="107"/>
        <v>0.99640214490692836</v>
      </c>
      <c r="K195" s="3">
        <f t="shared" si="107"/>
        <v>0.92764666658539596</v>
      </c>
      <c r="L195" s="3">
        <f t="shared" si="107"/>
        <v>0.97946523413549935</v>
      </c>
      <c r="M195" s="3">
        <f t="shared" si="107"/>
        <v>1.0671523142810224</v>
      </c>
      <c r="N195" s="3">
        <f t="shared" si="107"/>
        <v>1.2378455599922216</v>
      </c>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spans="1:44" s="3" customFormat="1">
      <c r="B196" s="81"/>
      <c r="C196" s="81"/>
      <c r="D196" s="81"/>
      <c r="E196" s="81"/>
      <c r="F196" s="81"/>
      <c r="G196" s="82"/>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spans="1:44" s="3" customFormat="1">
      <c r="A197" s="5" t="s">
        <v>59</v>
      </c>
      <c r="B197" s="81"/>
      <c r="C197" s="81"/>
      <c r="D197" s="81"/>
      <c r="E197" s="81"/>
      <c r="F197" s="81"/>
      <c r="G197" s="82"/>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spans="1:44" s="3" customFormat="1">
      <c r="A198" s="3" t="s">
        <v>60</v>
      </c>
      <c r="B198" s="81">
        <f t="shared" ref="B198:N198" si="108">B24/101.94*3*23/B$189*2/3-B193</f>
        <v>0.36363701391280445</v>
      </c>
      <c r="C198" s="81">
        <f t="shared" si="108"/>
        <v>0.32169120651598293</v>
      </c>
      <c r="D198" s="81">
        <f t="shared" si="108"/>
        <v>0.38458619218105783</v>
      </c>
      <c r="E198" s="81">
        <f t="shared" si="108"/>
        <v>0.36864579612032422</v>
      </c>
      <c r="F198" s="81">
        <f t="shared" si="108"/>
        <v>0.35839151355842747</v>
      </c>
      <c r="G198" s="82">
        <f t="shared" si="108"/>
        <v>0.38797014440791555</v>
      </c>
      <c r="H198" s="3">
        <f t="shared" si="108"/>
        <v>0.14494824199882839</v>
      </c>
      <c r="I198" s="3">
        <f t="shared" si="108"/>
        <v>0.15479111999997164</v>
      </c>
      <c r="J198" s="3">
        <f t="shared" si="108"/>
        <v>0.17966708229601058</v>
      </c>
      <c r="K198" s="3">
        <f t="shared" si="108"/>
        <v>0.14541947190702498</v>
      </c>
      <c r="L198" s="3">
        <f t="shared" si="108"/>
        <v>0.11654229298298502</v>
      </c>
      <c r="M198" s="3">
        <f t="shared" si="108"/>
        <v>0.11628607109329958</v>
      </c>
      <c r="N198" s="3">
        <f t="shared" si="108"/>
        <v>0.14503299409779036</v>
      </c>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spans="1:44" s="3" customFormat="1">
      <c r="A199" s="3" t="s">
        <v>61</v>
      </c>
      <c r="B199" s="81">
        <f t="shared" ref="B199:N199" si="109">B23/79.9*2*23/B$189/2</f>
        <v>0.33426443569852693</v>
      </c>
      <c r="C199" s="81">
        <f t="shared" si="109"/>
        <v>0.30488889437365002</v>
      </c>
      <c r="D199" s="81">
        <f t="shared" si="109"/>
        <v>0.35008872114914302</v>
      </c>
      <c r="E199" s="81">
        <f t="shared" si="109"/>
        <v>0.29976823154530169</v>
      </c>
      <c r="F199" s="81">
        <f t="shared" si="109"/>
        <v>0.30130604489694451</v>
      </c>
      <c r="G199" s="82">
        <f t="shared" si="109"/>
        <v>0.28771941438361259</v>
      </c>
      <c r="H199" s="3">
        <f t="shared" si="109"/>
        <v>7.0579600149411073E-2</v>
      </c>
      <c r="I199" s="3">
        <f t="shared" si="109"/>
        <v>6.7246551439780949E-2</v>
      </c>
      <c r="J199" s="3">
        <f t="shared" si="109"/>
        <v>8.8921946980322922E-2</v>
      </c>
      <c r="K199" s="3">
        <f t="shared" si="109"/>
        <v>6.4515906503423967E-2</v>
      </c>
      <c r="L199" s="3">
        <f t="shared" si="109"/>
        <v>8.2358016144774102E-2</v>
      </c>
      <c r="M199" s="3">
        <f t="shared" si="109"/>
        <v>8.4113719361264536E-2</v>
      </c>
      <c r="N199" s="3">
        <f t="shared" si="109"/>
        <v>0.14266775130102499</v>
      </c>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spans="1:44" s="3" customFormat="1">
      <c r="A200" s="3" t="s">
        <v>62</v>
      </c>
      <c r="B200" s="81">
        <v>0</v>
      </c>
      <c r="C200" s="81">
        <v>0</v>
      </c>
      <c r="D200" s="81">
        <v>0</v>
      </c>
      <c r="E200" s="81">
        <v>0</v>
      </c>
      <c r="F200" s="81">
        <v>0</v>
      </c>
      <c r="G200" s="82">
        <v>0</v>
      </c>
      <c r="H200" s="3">
        <v>0</v>
      </c>
      <c r="I200" s="3">
        <v>0</v>
      </c>
      <c r="J200" s="3">
        <v>0</v>
      </c>
      <c r="K200" s="3">
        <v>0</v>
      </c>
      <c r="L200" s="3">
        <v>0</v>
      </c>
      <c r="M200" s="3">
        <v>0</v>
      </c>
      <c r="N200" s="3">
        <v>0</v>
      </c>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spans="1:44" s="3" customFormat="1">
      <c r="A201" s="3" t="s">
        <v>63</v>
      </c>
      <c r="B201" s="81">
        <f t="shared" ref="B201:N201" si="110">B26/40.32*23/B$189</f>
        <v>3.2030238981323005</v>
      </c>
      <c r="C201" s="81">
        <f t="shared" si="110"/>
        <v>3.1541860135319628</v>
      </c>
      <c r="D201" s="81">
        <f t="shared" si="110"/>
        <v>2.9982350723508966</v>
      </c>
      <c r="E201" s="81">
        <f t="shared" si="110"/>
        <v>2.9372936689719578</v>
      </c>
      <c r="F201" s="81">
        <f t="shared" si="110"/>
        <v>3.2785239006828526</v>
      </c>
      <c r="G201" s="82">
        <f t="shared" si="110"/>
        <v>3.1772178076822386</v>
      </c>
      <c r="H201" s="3">
        <f t="shared" si="110"/>
        <v>3.1447510404028338</v>
      </c>
      <c r="I201" s="3">
        <f t="shared" si="110"/>
        <v>3.2182028015855586</v>
      </c>
      <c r="J201" s="3">
        <f t="shared" si="110"/>
        <v>3.0956731491232676</v>
      </c>
      <c r="K201" s="3">
        <f t="shared" si="110"/>
        <v>3.220440518173596</v>
      </c>
      <c r="L201" s="3">
        <f t="shared" si="110"/>
        <v>3.1052376435792168</v>
      </c>
      <c r="M201" s="3">
        <f t="shared" si="110"/>
        <v>3.1136512347645562</v>
      </c>
      <c r="N201" s="3">
        <f t="shared" si="110"/>
        <v>2.9674337100484633</v>
      </c>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spans="1:44" s="3" customFormat="1">
      <c r="A202" s="3" t="s">
        <v>64</v>
      </c>
      <c r="B202" s="81">
        <f t="shared" ref="B202:N202" si="111">B27/70.94*23/B$189</f>
        <v>1.6099616677550894E-2</v>
      </c>
      <c r="C202" s="81">
        <f t="shared" si="111"/>
        <v>1.7674874233318802E-2</v>
      </c>
      <c r="D202" s="81">
        <f t="shared" si="111"/>
        <v>1.990189519543616E-2</v>
      </c>
      <c r="E202" s="81">
        <f t="shared" si="111"/>
        <v>2.3671485404167889E-2</v>
      </c>
      <c r="F202" s="81">
        <f t="shared" si="111"/>
        <v>1.8510664316015481E-2</v>
      </c>
      <c r="G202" s="82">
        <f t="shared" si="111"/>
        <v>2.4737366712704902E-2</v>
      </c>
      <c r="H202" s="3">
        <f t="shared" si="111"/>
        <v>0.11054645532811118</v>
      </c>
      <c r="I202" s="3">
        <f t="shared" si="111"/>
        <v>0.10982307889844688</v>
      </c>
      <c r="J202" s="3">
        <f t="shared" si="111"/>
        <v>0.10015313735167468</v>
      </c>
      <c r="K202" s="3">
        <f t="shared" si="111"/>
        <v>0.1064911044345401</v>
      </c>
      <c r="L202" s="3">
        <f t="shared" si="111"/>
        <v>0.10018096883514024</v>
      </c>
      <c r="M202" s="3">
        <f t="shared" si="111"/>
        <v>9.2211275428709286E-2</v>
      </c>
      <c r="N202" s="3">
        <f t="shared" si="111"/>
        <v>8.6322684056224674E-2</v>
      </c>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spans="1:44" s="3" customFormat="1">
      <c r="A203" s="3" t="s">
        <v>65</v>
      </c>
      <c r="B203" s="81">
        <f t="shared" ref="B203:N203" si="112">IF((5-SUM(B198:B202)&gt;B25/71.85*23/B$189),B25/71.85*23/B$189,5-SUM(B198:B202))</f>
        <v>1.082975035578817</v>
      </c>
      <c r="C203" s="81">
        <f t="shared" si="112"/>
        <v>1.2015590113450858</v>
      </c>
      <c r="D203" s="81">
        <f t="shared" si="112"/>
        <v>1.2471881191234666</v>
      </c>
      <c r="E203" s="81">
        <f t="shared" si="112"/>
        <v>1.3706208179582484</v>
      </c>
      <c r="F203" s="81">
        <f t="shared" si="112"/>
        <v>1.0432678765457597</v>
      </c>
      <c r="G203" s="82">
        <f t="shared" si="112"/>
        <v>1.1223552668135279</v>
      </c>
      <c r="H203" s="3">
        <f t="shared" si="112"/>
        <v>1.5291746621208158</v>
      </c>
      <c r="I203" s="3">
        <f t="shared" si="112"/>
        <v>1.449936448076242</v>
      </c>
      <c r="J203" s="3">
        <f t="shared" si="112"/>
        <v>1.5355846842487244</v>
      </c>
      <c r="K203" s="3">
        <f t="shared" si="112"/>
        <v>1.4631329989814148</v>
      </c>
      <c r="L203" s="3">
        <f t="shared" si="112"/>
        <v>1.5956810784578841</v>
      </c>
      <c r="M203" s="3">
        <f t="shared" si="112"/>
        <v>1.5937376993521704</v>
      </c>
      <c r="N203" s="3">
        <f t="shared" si="112"/>
        <v>1.6585428604964969</v>
      </c>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spans="1:44" s="3" customFormat="1">
      <c r="A204" s="3" t="s">
        <v>66</v>
      </c>
      <c r="B204" s="83">
        <f t="shared" ref="B204:N204" si="113">IF(SUM(B198:B203)=5,0,5-SUM(B198:B203))</f>
        <v>0</v>
      </c>
      <c r="C204" s="83">
        <f t="shared" si="113"/>
        <v>0</v>
      </c>
      <c r="D204" s="83">
        <f t="shared" si="113"/>
        <v>0</v>
      </c>
      <c r="E204" s="83">
        <f t="shared" si="113"/>
        <v>0</v>
      </c>
      <c r="F204" s="83">
        <f t="shared" si="113"/>
        <v>0</v>
      </c>
      <c r="G204" s="84">
        <f t="shared" si="113"/>
        <v>0</v>
      </c>
      <c r="H204" s="5">
        <f t="shared" si="113"/>
        <v>0</v>
      </c>
      <c r="I204" s="5">
        <f t="shared" si="113"/>
        <v>0</v>
      </c>
      <c r="J204" s="5">
        <f t="shared" si="113"/>
        <v>0</v>
      </c>
      <c r="K204" s="5">
        <f t="shared" si="113"/>
        <v>0</v>
      </c>
      <c r="L204" s="5">
        <f t="shared" si="113"/>
        <v>0</v>
      </c>
      <c r="M204" s="5">
        <f t="shared" si="113"/>
        <v>0</v>
      </c>
      <c r="N204" s="5">
        <f t="shared" si="113"/>
        <v>0</v>
      </c>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spans="1:44" s="3" customFormat="1">
      <c r="B205" s="81">
        <f t="shared" ref="B205:N205" si="114">SUM(B198:B204)</f>
        <v>5</v>
      </c>
      <c r="C205" s="81">
        <f t="shared" si="114"/>
        <v>5</v>
      </c>
      <c r="D205" s="81">
        <f t="shared" si="114"/>
        <v>5</v>
      </c>
      <c r="E205" s="81">
        <f t="shared" si="114"/>
        <v>5</v>
      </c>
      <c r="F205" s="81">
        <f t="shared" si="114"/>
        <v>5</v>
      </c>
      <c r="G205" s="82">
        <f t="shared" si="114"/>
        <v>5</v>
      </c>
      <c r="H205" s="3">
        <f t="shared" si="114"/>
        <v>5</v>
      </c>
      <c r="I205" s="3">
        <f t="shared" si="114"/>
        <v>5</v>
      </c>
      <c r="J205" s="3">
        <f t="shared" si="114"/>
        <v>5</v>
      </c>
      <c r="K205" s="3">
        <f t="shared" si="114"/>
        <v>5</v>
      </c>
      <c r="L205" s="3">
        <f t="shared" si="114"/>
        <v>5</v>
      </c>
      <c r="M205" s="3">
        <f t="shared" si="114"/>
        <v>5</v>
      </c>
      <c r="N205" s="3">
        <f t="shared" si="114"/>
        <v>5</v>
      </c>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spans="1:44" s="3" customFormat="1">
      <c r="A206" s="5" t="s">
        <v>67</v>
      </c>
      <c r="B206" s="81"/>
      <c r="C206" s="81"/>
      <c r="D206" s="81"/>
      <c r="E206" s="81"/>
      <c r="F206" s="81"/>
      <c r="G206" s="82"/>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spans="1:44" s="3" customFormat="1">
      <c r="A207" s="3" t="s">
        <v>68</v>
      </c>
      <c r="B207" s="81">
        <f t="shared" ref="B207:N207" si="115">B25/71.85*23/B$189-B203</f>
        <v>0.21313675236806784</v>
      </c>
      <c r="C207" s="81">
        <f t="shared" si="115"/>
        <v>0.21945238049034987</v>
      </c>
      <c r="D207" s="81">
        <f t="shared" si="115"/>
        <v>0.12830013642972604</v>
      </c>
      <c r="E207" s="81">
        <f t="shared" si="115"/>
        <v>0.22849409757716588</v>
      </c>
      <c r="F207" s="81">
        <f t="shared" si="115"/>
        <v>0.17514690107255482</v>
      </c>
      <c r="G207" s="82">
        <f t="shared" si="115"/>
        <v>0.19654403601683312</v>
      </c>
      <c r="H207" s="3">
        <f t="shared" si="115"/>
        <v>0.22575154793555208</v>
      </c>
      <c r="I207" s="3">
        <f t="shared" si="115"/>
        <v>0.25506546826165333</v>
      </c>
      <c r="J207" s="3">
        <f t="shared" si="115"/>
        <v>0.20283223624723168</v>
      </c>
      <c r="K207" s="3">
        <f t="shared" si="115"/>
        <v>0.20430121816939772</v>
      </c>
      <c r="L207" s="3">
        <f t="shared" si="115"/>
        <v>0.17863192120302207</v>
      </c>
      <c r="M207" s="3">
        <f t="shared" si="115"/>
        <v>0.19470377181792742</v>
      </c>
      <c r="N207" s="3">
        <f t="shared" si="115"/>
        <v>0.15673232127571413</v>
      </c>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spans="1:44" s="3" customFormat="1">
      <c r="A208" s="3" t="s">
        <v>66</v>
      </c>
      <c r="B208" s="81">
        <f t="shared" ref="B208:N208" si="116">IF(B207+B28/56.08*23/B$189-B204&lt;=2,B28/56.08*23/B$189-B204,2-B207)</f>
        <v>1.7868632476319322</v>
      </c>
      <c r="C208" s="81">
        <f t="shared" si="116"/>
        <v>1.7805476195096501</v>
      </c>
      <c r="D208" s="81">
        <f t="shared" si="116"/>
        <v>1.8566910276544721</v>
      </c>
      <c r="E208" s="81">
        <f t="shared" si="116"/>
        <v>1.7715059024228341</v>
      </c>
      <c r="F208" s="81">
        <f t="shared" si="116"/>
        <v>1.8248530989274452</v>
      </c>
      <c r="G208" s="82">
        <f t="shared" si="116"/>
        <v>1.8034559639831669</v>
      </c>
      <c r="H208" s="3">
        <f t="shared" si="116"/>
        <v>1.7742484520644479</v>
      </c>
      <c r="I208" s="3">
        <f t="shared" si="116"/>
        <v>1.7449345317383467</v>
      </c>
      <c r="J208" s="3">
        <f t="shared" si="116"/>
        <v>1.7846307141062641</v>
      </c>
      <c r="K208" s="3">
        <f t="shared" si="116"/>
        <v>1.7956987818306023</v>
      </c>
      <c r="L208" s="3">
        <f t="shared" si="116"/>
        <v>1.8213680787969779</v>
      </c>
      <c r="M208" s="3">
        <f t="shared" si="116"/>
        <v>1.8052962281820726</v>
      </c>
      <c r="N208" s="3">
        <f t="shared" si="116"/>
        <v>1.8432676787242859</v>
      </c>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spans="1:44" s="3" customFormat="1">
      <c r="A209" s="3" t="s">
        <v>69</v>
      </c>
      <c r="B209" s="83">
        <f t="shared" ref="B209:N209" si="117">IF(2-B207-B208&gt;=0,2-B207-B208,0)</f>
        <v>0</v>
      </c>
      <c r="C209" s="83">
        <f t="shared" si="117"/>
        <v>0</v>
      </c>
      <c r="D209" s="83">
        <f t="shared" si="117"/>
        <v>1.5008835915801821E-2</v>
      </c>
      <c r="E209" s="83">
        <f t="shared" si="117"/>
        <v>0</v>
      </c>
      <c r="F209" s="83">
        <f t="shared" si="117"/>
        <v>0</v>
      </c>
      <c r="G209" s="84">
        <f t="shared" si="117"/>
        <v>0</v>
      </c>
      <c r="H209" s="5">
        <f t="shared" si="117"/>
        <v>0</v>
      </c>
      <c r="I209" s="5">
        <f t="shared" si="117"/>
        <v>0</v>
      </c>
      <c r="J209" s="5">
        <f t="shared" si="117"/>
        <v>1.2537049646504261E-2</v>
      </c>
      <c r="K209" s="5">
        <f t="shared" si="117"/>
        <v>0</v>
      </c>
      <c r="L209" s="5">
        <f t="shared" si="117"/>
        <v>0</v>
      </c>
      <c r="M209" s="5">
        <f t="shared" si="117"/>
        <v>0</v>
      </c>
      <c r="N209" s="5">
        <f t="shared" si="117"/>
        <v>0</v>
      </c>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spans="1:44" s="3" customFormat="1">
      <c r="B210" s="81">
        <f t="shared" ref="B210:N210" si="118">SUM(B207:B209)</f>
        <v>2</v>
      </c>
      <c r="C210" s="81">
        <f t="shared" si="118"/>
        <v>2</v>
      </c>
      <c r="D210" s="81">
        <f t="shared" si="118"/>
        <v>2</v>
      </c>
      <c r="E210" s="81">
        <f t="shared" si="118"/>
        <v>2</v>
      </c>
      <c r="F210" s="81">
        <f t="shared" si="118"/>
        <v>2</v>
      </c>
      <c r="G210" s="82">
        <f t="shared" si="118"/>
        <v>2</v>
      </c>
      <c r="H210" s="3">
        <f t="shared" si="118"/>
        <v>2</v>
      </c>
      <c r="I210" s="3">
        <f t="shared" si="118"/>
        <v>2</v>
      </c>
      <c r="J210" s="3">
        <f t="shared" si="118"/>
        <v>2</v>
      </c>
      <c r="K210" s="3">
        <f t="shared" si="118"/>
        <v>2</v>
      </c>
      <c r="L210" s="3">
        <f t="shared" si="118"/>
        <v>2</v>
      </c>
      <c r="M210" s="3">
        <f t="shared" si="118"/>
        <v>2</v>
      </c>
      <c r="N210" s="3">
        <f t="shared" si="118"/>
        <v>2</v>
      </c>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spans="1:44" s="3" customFormat="1">
      <c r="A211" s="5" t="s">
        <v>70</v>
      </c>
      <c r="B211" s="81"/>
      <c r="C211" s="81"/>
      <c r="D211" s="81"/>
      <c r="E211" s="81"/>
      <c r="F211" s="81"/>
      <c r="G211" s="82"/>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spans="1:44" s="3" customFormat="1">
      <c r="A212" s="9" t="s">
        <v>66</v>
      </c>
      <c r="B212" s="81">
        <f t="shared" ref="B212:N212" si="119">B28/56.08*23/B$189-B208-B204</f>
        <v>7.7378907058479607E-2</v>
      </c>
      <c r="C212" s="81">
        <f t="shared" si="119"/>
        <v>0.13588132604512237</v>
      </c>
      <c r="D212" s="81">
        <f t="shared" si="119"/>
        <v>0</v>
      </c>
      <c r="E212" s="81">
        <f t="shared" si="119"/>
        <v>5.6649366838312565E-2</v>
      </c>
      <c r="F212" s="81">
        <f t="shared" si="119"/>
        <v>1.7173650195478452E-2</v>
      </c>
      <c r="G212" s="82">
        <f t="shared" si="119"/>
        <v>2.7140050354533152E-2</v>
      </c>
      <c r="H212" s="3">
        <f t="shared" si="119"/>
        <v>5.7798267064376185E-2</v>
      </c>
      <c r="I212" s="3">
        <f t="shared" si="119"/>
        <v>2.1154805756476103E-2</v>
      </c>
      <c r="J212" s="3">
        <f t="shared" si="119"/>
        <v>0</v>
      </c>
      <c r="K212" s="3">
        <f t="shared" si="119"/>
        <v>4.902167972734528E-2</v>
      </c>
      <c r="L212" s="3">
        <f t="shared" si="119"/>
        <v>5.7630255356828419E-2</v>
      </c>
      <c r="M212" s="3">
        <f t="shared" si="119"/>
        <v>7.3811461811004619E-2</v>
      </c>
      <c r="N212" s="3">
        <f t="shared" si="119"/>
        <v>2.8669718957162527E-2</v>
      </c>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spans="1:44" s="3" customFormat="1">
      <c r="A213" s="3" t="s">
        <v>69</v>
      </c>
      <c r="B213" s="81">
        <f t="shared" ref="B213:N213" si="120">B29/61.982*23/B$189*2-B209</f>
        <v>0.77674477490213323</v>
      </c>
      <c r="C213" s="81">
        <f t="shared" si="120"/>
        <v>0.77160521108848823</v>
      </c>
      <c r="D213" s="81">
        <f t="shared" si="120"/>
        <v>0.77368748581973201</v>
      </c>
      <c r="E213" s="81">
        <f t="shared" si="120"/>
        <v>0.78711209567086693</v>
      </c>
      <c r="F213" s="81">
        <f t="shared" si="120"/>
        <v>0.67512507900610952</v>
      </c>
      <c r="G213" s="82">
        <f t="shared" si="120"/>
        <v>0.7134763903052822</v>
      </c>
      <c r="H213" s="3">
        <f t="shared" si="120"/>
        <v>0.3525592341528111</v>
      </c>
      <c r="I213" s="3">
        <f t="shared" si="120"/>
        <v>0.32073985999390864</v>
      </c>
      <c r="J213" s="3">
        <f t="shared" si="120"/>
        <v>0.35257388846371829</v>
      </c>
      <c r="K213" s="3">
        <f t="shared" si="120"/>
        <v>0.30972321241169359</v>
      </c>
      <c r="L213" s="3">
        <f t="shared" si="120"/>
        <v>0.33973246374585919</v>
      </c>
      <c r="M213" s="3">
        <f t="shared" si="120"/>
        <v>0.38745526022105992</v>
      </c>
      <c r="N213" s="3">
        <f t="shared" si="120"/>
        <v>0.43625330067810147</v>
      </c>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spans="1:44" s="3" customFormat="1">
      <c r="A214" s="3" t="s">
        <v>71</v>
      </c>
      <c r="B214" s="83">
        <f t="shared" ref="B214:N214" si="121">B30/94.2*23/B$189*2</f>
        <v>8.5802569209294743E-2</v>
      </c>
      <c r="C214" s="83">
        <f t="shared" si="121"/>
        <v>9.3173981388338101E-2</v>
      </c>
      <c r="D214" s="83">
        <f t="shared" si="121"/>
        <v>9.1799604316677039E-2</v>
      </c>
      <c r="E214" s="83">
        <f t="shared" si="121"/>
        <v>8.6317731623976768E-2</v>
      </c>
      <c r="F214" s="83">
        <f t="shared" si="121"/>
        <v>0.15241049565379666</v>
      </c>
      <c r="G214" s="84">
        <f t="shared" si="121"/>
        <v>0.13599301699123978</v>
      </c>
      <c r="H214" s="5">
        <f t="shared" si="121"/>
        <v>0.11037662322994254</v>
      </c>
      <c r="I214" s="5">
        <f t="shared" si="121"/>
        <v>0.10647132687974377</v>
      </c>
      <c r="J214" s="5">
        <f t="shared" si="121"/>
        <v>0.11918724753704471</v>
      </c>
      <c r="K214" s="5">
        <f t="shared" si="121"/>
        <v>0.1000093378981073</v>
      </c>
      <c r="L214" s="5">
        <f t="shared" si="121"/>
        <v>0.12667164142046333</v>
      </c>
      <c r="M214" s="5">
        <f t="shared" si="121"/>
        <v>0.13127454952882875</v>
      </c>
      <c r="N214" s="5">
        <f t="shared" si="121"/>
        <v>0.16885133060216112</v>
      </c>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spans="1:44" s="3" customFormat="1">
      <c r="A215" s="3" t="s">
        <v>72</v>
      </c>
      <c r="B215" s="81">
        <f t="shared" ref="B215:N215" si="122">B213+B214+B212</f>
        <v>0.93992625116990758</v>
      </c>
      <c r="C215" s="81">
        <f t="shared" si="122"/>
        <v>1.0006605185219488</v>
      </c>
      <c r="D215" s="81">
        <f t="shared" si="122"/>
        <v>0.86548709013640901</v>
      </c>
      <c r="E215" s="81">
        <f t="shared" si="122"/>
        <v>0.93007919413315632</v>
      </c>
      <c r="F215" s="81">
        <f t="shared" si="122"/>
        <v>0.84470922485538469</v>
      </c>
      <c r="G215" s="82">
        <f t="shared" si="122"/>
        <v>0.87660945765105514</v>
      </c>
      <c r="H215" s="3">
        <f t="shared" si="122"/>
        <v>0.52073412444712985</v>
      </c>
      <c r="I215" s="3">
        <f t="shared" si="122"/>
        <v>0.4483659926301285</v>
      </c>
      <c r="J215" s="3">
        <f t="shared" si="122"/>
        <v>0.47176113600076297</v>
      </c>
      <c r="K215" s="3">
        <f t="shared" si="122"/>
        <v>0.45875423003714616</v>
      </c>
      <c r="L215" s="3">
        <f t="shared" si="122"/>
        <v>0.524034360523151</v>
      </c>
      <c r="M215" s="3">
        <f t="shared" si="122"/>
        <v>0.59254127156089331</v>
      </c>
      <c r="N215" s="3">
        <f t="shared" si="122"/>
        <v>0.63377435023742512</v>
      </c>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spans="1:44" s="3" customFormat="1">
      <c r="B216" s="81"/>
      <c r="C216" s="81"/>
      <c r="D216" s="81"/>
      <c r="E216" s="81"/>
      <c r="F216" s="81"/>
      <c r="G216" s="82"/>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spans="1:44" s="3" customFormat="1">
      <c r="A217" s="5" t="s">
        <v>73</v>
      </c>
      <c r="B217" s="81"/>
      <c r="C217" s="81"/>
      <c r="D217" s="81"/>
      <c r="E217" s="81"/>
      <c r="F217" s="81"/>
      <c r="G217" s="82"/>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spans="1:44" s="3" customFormat="1">
      <c r="A218" s="3" t="s">
        <v>74</v>
      </c>
      <c r="B218" s="81">
        <v>0</v>
      </c>
      <c r="C218" s="81">
        <v>0</v>
      </c>
      <c r="D218" s="81">
        <v>0</v>
      </c>
      <c r="E218" s="81">
        <v>0</v>
      </c>
      <c r="F218" s="81">
        <v>0</v>
      </c>
      <c r="G218" s="82">
        <v>0</v>
      </c>
      <c r="H218" s="3">
        <v>0</v>
      </c>
      <c r="I218" s="3">
        <v>0</v>
      </c>
      <c r="J218" s="3">
        <v>0</v>
      </c>
      <c r="K218" s="3">
        <v>0</v>
      </c>
      <c r="L218" s="3">
        <v>0</v>
      </c>
      <c r="M218" s="3">
        <v>0</v>
      </c>
      <c r="N218" s="3">
        <v>0</v>
      </c>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spans="1:44" s="3" customFormat="1">
      <c r="A219" s="3" t="s">
        <v>75</v>
      </c>
      <c r="B219" s="81">
        <f t="shared" ref="B219:N219" si="123">2-(B218+B220+B221)</f>
        <v>2</v>
      </c>
      <c r="C219" s="81">
        <f t="shared" si="123"/>
        <v>2</v>
      </c>
      <c r="D219" s="81">
        <f t="shared" si="123"/>
        <v>2</v>
      </c>
      <c r="E219" s="81">
        <f t="shared" si="123"/>
        <v>2</v>
      </c>
      <c r="F219" s="81">
        <f t="shared" si="123"/>
        <v>2</v>
      </c>
      <c r="G219" s="82">
        <f t="shared" si="123"/>
        <v>2</v>
      </c>
      <c r="H219" s="3">
        <f t="shared" si="123"/>
        <v>2</v>
      </c>
      <c r="I219" s="3">
        <f t="shared" si="123"/>
        <v>2</v>
      </c>
      <c r="J219" s="3">
        <f t="shared" si="123"/>
        <v>2</v>
      </c>
      <c r="K219" s="3">
        <f t="shared" si="123"/>
        <v>2</v>
      </c>
      <c r="L219" s="3">
        <f t="shared" si="123"/>
        <v>2</v>
      </c>
      <c r="M219" s="3">
        <f t="shared" si="123"/>
        <v>2</v>
      </c>
      <c r="N219" s="3">
        <f t="shared" si="123"/>
        <v>2</v>
      </c>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spans="1:44" s="3" customFormat="1">
      <c r="A220" s="3" t="s">
        <v>108</v>
      </c>
      <c r="B220" s="81">
        <f t="shared" ref="B220:N220" si="124">B31/19*23/B$189</f>
        <v>0</v>
      </c>
      <c r="C220" s="81">
        <f t="shared" si="124"/>
        <v>0</v>
      </c>
      <c r="D220" s="81">
        <f t="shared" si="124"/>
        <v>0</v>
      </c>
      <c r="E220" s="81">
        <f t="shared" si="124"/>
        <v>0</v>
      </c>
      <c r="F220" s="81">
        <f t="shared" si="124"/>
        <v>0</v>
      </c>
      <c r="G220" s="82">
        <f t="shared" si="124"/>
        <v>0</v>
      </c>
      <c r="H220" s="3">
        <f t="shared" si="124"/>
        <v>0</v>
      </c>
      <c r="I220" s="3">
        <f t="shared" si="124"/>
        <v>0</v>
      </c>
      <c r="J220" s="3">
        <f t="shared" si="124"/>
        <v>0</v>
      </c>
      <c r="K220" s="3">
        <f t="shared" si="124"/>
        <v>0</v>
      </c>
      <c r="L220" s="3">
        <f t="shared" si="124"/>
        <v>0</v>
      </c>
      <c r="M220" s="3">
        <f t="shared" si="124"/>
        <v>0</v>
      </c>
      <c r="N220" s="3">
        <f t="shared" si="124"/>
        <v>0</v>
      </c>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spans="1:44" s="3" customFormat="1">
      <c r="A221" s="3" t="s">
        <v>109</v>
      </c>
      <c r="B221" s="83">
        <f t="shared" ref="B221:N221" si="125">B32/35.457*23/B$189</f>
        <v>0</v>
      </c>
      <c r="C221" s="83">
        <f t="shared" si="125"/>
        <v>0</v>
      </c>
      <c r="D221" s="83">
        <f t="shared" si="125"/>
        <v>0</v>
      </c>
      <c r="E221" s="83">
        <f t="shared" si="125"/>
        <v>0</v>
      </c>
      <c r="F221" s="83">
        <f t="shared" si="125"/>
        <v>0</v>
      </c>
      <c r="G221" s="84">
        <f t="shared" si="125"/>
        <v>0</v>
      </c>
      <c r="H221" s="5">
        <f t="shared" si="125"/>
        <v>0</v>
      </c>
      <c r="I221" s="5">
        <f t="shared" si="125"/>
        <v>0</v>
      </c>
      <c r="J221" s="5">
        <f t="shared" si="125"/>
        <v>0</v>
      </c>
      <c r="K221" s="5">
        <f t="shared" si="125"/>
        <v>0</v>
      </c>
      <c r="L221" s="5">
        <f t="shared" si="125"/>
        <v>0</v>
      </c>
      <c r="M221" s="5">
        <f t="shared" si="125"/>
        <v>0</v>
      </c>
      <c r="N221" s="5">
        <f t="shared" si="125"/>
        <v>0</v>
      </c>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spans="1:44" s="3" customFormat="1">
      <c r="B222" s="81">
        <f t="shared" ref="B222:N222" si="126">SUM(B218:B221)</f>
        <v>2</v>
      </c>
      <c r="C222" s="81">
        <f t="shared" si="126"/>
        <v>2</v>
      </c>
      <c r="D222" s="81">
        <f t="shared" si="126"/>
        <v>2</v>
      </c>
      <c r="E222" s="81">
        <f t="shared" si="126"/>
        <v>2</v>
      </c>
      <c r="F222" s="81">
        <f t="shared" si="126"/>
        <v>2</v>
      </c>
      <c r="G222" s="82">
        <f t="shared" si="126"/>
        <v>2</v>
      </c>
      <c r="H222" s="3">
        <f t="shared" si="126"/>
        <v>2</v>
      </c>
      <c r="I222" s="3">
        <f t="shared" si="126"/>
        <v>2</v>
      </c>
      <c r="J222" s="3">
        <f t="shared" si="126"/>
        <v>2</v>
      </c>
      <c r="K222" s="3">
        <f t="shared" si="126"/>
        <v>2</v>
      </c>
      <c r="L222" s="3">
        <f t="shared" si="126"/>
        <v>2</v>
      </c>
      <c r="M222" s="3">
        <f t="shared" si="126"/>
        <v>2</v>
      </c>
      <c r="N222" s="3">
        <f t="shared" si="126"/>
        <v>2</v>
      </c>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spans="1:44" s="3" customFormat="1">
      <c r="B223" s="81"/>
      <c r="C223" s="81"/>
      <c r="D223" s="81"/>
      <c r="E223" s="81"/>
      <c r="F223" s="81"/>
      <c r="G223" s="82"/>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spans="1:44" s="3" customFormat="1">
      <c r="A224" s="3" t="s">
        <v>76</v>
      </c>
      <c r="B224" s="81">
        <f t="shared" ref="B224:N224" si="127">8+5+B210+B215</f>
        <v>15.939926251169908</v>
      </c>
      <c r="C224" s="81">
        <f t="shared" si="127"/>
        <v>16.000660518521947</v>
      </c>
      <c r="D224" s="81">
        <f t="shared" si="127"/>
        <v>15.865487090136408</v>
      </c>
      <c r="E224" s="81">
        <f t="shared" si="127"/>
        <v>15.930079194133157</v>
      </c>
      <c r="F224" s="81">
        <f t="shared" si="127"/>
        <v>15.844709224855384</v>
      </c>
      <c r="G224" s="82">
        <f t="shared" si="127"/>
        <v>15.876609457651055</v>
      </c>
      <c r="H224" s="3">
        <f t="shared" si="127"/>
        <v>15.520734124447129</v>
      </c>
      <c r="I224" s="3">
        <f t="shared" si="127"/>
        <v>15.448365992630128</v>
      </c>
      <c r="J224" s="3">
        <f t="shared" si="127"/>
        <v>15.471761136000763</v>
      </c>
      <c r="K224" s="3">
        <f t="shared" si="127"/>
        <v>15.458754230037146</v>
      </c>
      <c r="L224" s="3">
        <f t="shared" si="127"/>
        <v>15.524034360523151</v>
      </c>
      <c r="M224" s="3">
        <f t="shared" si="127"/>
        <v>15.592541271560894</v>
      </c>
      <c r="N224" s="3">
        <f t="shared" si="127"/>
        <v>15.633774350237426</v>
      </c>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spans="1:44" s="3" customFormat="1">
      <c r="A225" s="3" t="s">
        <v>77</v>
      </c>
      <c r="B225" s="81">
        <f t="shared" ref="B225:N225" si="128">(B192+B199)*4+(B193+B198+B200)*3+(B201+B202+B203+B204+B207+B208+B212)*2+B209+B213+B214</f>
        <v>45.999999999999993</v>
      </c>
      <c r="C225" s="81">
        <f t="shared" si="128"/>
        <v>46</v>
      </c>
      <c r="D225" s="81">
        <f t="shared" si="128"/>
        <v>45.999999999999993</v>
      </c>
      <c r="E225" s="81">
        <f t="shared" si="128"/>
        <v>46</v>
      </c>
      <c r="F225" s="81">
        <f t="shared" si="128"/>
        <v>46.000000000000014</v>
      </c>
      <c r="G225" s="82">
        <f t="shared" si="128"/>
        <v>46</v>
      </c>
      <c r="H225" s="3">
        <f t="shared" si="128"/>
        <v>45.999999999999986</v>
      </c>
      <c r="I225" s="3">
        <f t="shared" si="128"/>
        <v>46</v>
      </c>
      <c r="J225" s="3">
        <f t="shared" si="128"/>
        <v>45.999999999999986</v>
      </c>
      <c r="K225" s="3">
        <f t="shared" si="128"/>
        <v>45.999999999999993</v>
      </c>
      <c r="L225" s="3">
        <f t="shared" si="128"/>
        <v>46</v>
      </c>
      <c r="M225" s="3">
        <f t="shared" si="128"/>
        <v>46</v>
      </c>
      <c r="N225" s="3">
        <f t="shared" si="128"/>
        <v>45.999999999999993</v>
      </c>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spans="1:44" s="3" customFormat="1">
      <c r="A226" s="3" t="s">
        <v>90</v>
      </c>
      <c r="B226" s="81">
        <f t="shared" ref="B226:N226" si="129">16/B224</f>
        <v>1.0037687595214364</v>
      </c>
      <c r="C226" s="81">
        <f t="shared" si="129"/>
        <v>0.99995871929654512</v>
      </c>
      <c r="D226" s="81">
        <f t="shared" si="129"/>
        <v>1.0084783347085018</v>
      </c>
      <c r="E226" s="81">
        <f t="shared" si="129"/>
        <v>1.0043892315295329</v>
      </c>
      <c r="F226" s="81">
        <f t="shared" si="129"/>
        <v>1.0098007967795972</v>
      </c>
      <c r="G226" s="82">
        <f t="shared" si="129"/>
        <v>1.0077718446547466</v>
      </c>
      <c r="H226" s="3">
        <f t="shared" si="129"/>
        <v>1.0308790725818804</v>
      </c>
      <c r="I226" s="3">
        <f t="shared" si="129"/>
        <v>1.0357082430357383</v>
      </c>
      <c r="J226" s="3">
        <f t="shared" si="129"/>
        <v>1.0341421289635926</v>
      </c>
      <c r="K226" s="3">
        <f t="shared" si="129"/>
        <v>1.0350122501405181</v>
      </c>
      <c r="L226" s="3">
        <f t="shared" si="129"/>
        <v>1.0306599192209471</v>
      </c>
      <c r="M226" s="3">
        <f t="shared" si="129"/>
        <v>1.026131643414808</v>
      </c>
      <c r="N226" s="3">
        <f t="shared" si="129"/>
        <v>1.0234252869178078</v>
      </c>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spans="1:44" s="3" customFormat="1">
      <c r="A227" s="3" t="s">
        <v>2</v>
      </c>
      <c r="B227" s="81">
        <f t="shared" ref="B227:N227" si="130">8/B192</f>
        <v>1.3444182960092492</v>
      </c>
      <c r="C227" s="81">
        <f t="shared" si="130"/>
        <v>1.3486201312901964</v>
      </c>
      <c r="D227" s="81">
        <f t="shared" si="130"/>
        <v>1.3190963024715119</v>
      </c>
      <c r="E227" s="81">
        <f t="shared" si="130"/>
        <v>1.3233882515264024</v>
      </c>
      <c r="F227" s="81">
        <f t="shared" si="130"/>
        <v>1.295103282792176</v>
      </c>
      <c r="G227" s="82">
        <f t="shared" si="130"/>
        <v>1.3044524264080779</v>
      </c>
      <c r="H227" s="3">
        <f t="shared" si="130"/>
        <v>1.1211767610422887</v>
      </c>
      <c r="I227" s="3">
        <f t="shared" si="130"/>
        <v>1.1047900275430531</v>
      </c>
      <c r="J227" s="3">
        <f t="shared" si="130"/>
        <v>1.1136996991938568</v>
      </c>
      <c r="K227" s="3">
        <f t="shared" si="130"/>
        <v>1.1083751478159078</v>
      </c>
      <c r="L227" s="3">
        <f t="shared" si="130"/>
        <v>1.1209070511691885</v>
      </c>
      <c r="M227" s="3">
        <f t="shared" si="130"/>
        <v>1.1348912186931914</v>
      </c>
      <c r="N227" s="3">
        <f t="shared" si="130"/>
        <v>1.1582138281782335</v>
      </c>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spans="1:44" s="3" customFormat="1">
      <c r="A228" s="3" t="s">
        <v>3</v>
      </c>
      <c r="B228" s="81">
        <f t="shared" ref="B228:N228" si="131">15/(B224-(B209+B213+B214))</f>
        <v>0.99486788071484666</v>
      </c>
      <c r="C228" s="81">
        <f t="shared" si="131"/>
        <v>0.99102256927640531</v>
      </c>
      <c r="D228" s="81">
        <f t="shared" si="131"/>
        <v>1.0010015912422943</v>
      </c>
      <c r="E228" s="81">
        <f t="shared" si="131"/>
        <v>0.99623758477347024</v>
      </c>
      <c r="F228" s="81">
        <f t="shared" si="131"/>
        <v>0.99885639930685266</v>
      </c>
      <c r="G228" s="82">
        <f t="shared" si="131"/>
        <v>0.99819393109643029</v>
      </c>
      <c r="H228" s="3">
        <f t="shared" si="131"/>
        <v>0.99616157249291903</v>
      </c>
      <c r="I228" s="3">
        <f t="shared" si="131"/>
        <v>0.99859166581863812</v>
      </c>
      <c r="J228" s="3">
        <f t="shared" si="131"/>
        <v>1.0008365024612926</v>
      </c>
      <c r="K228" s="3">
        <f t="shared" si="131"/>
        <v>0.99674253378255262</v>
      </c>
      <c r="L228" s="3">
        <f t="shared" si="131"/>
        <v>0.99617268757570099</v>
      </c>
      <c r="M228" s="3">
        <f t="shared" si="131"/>
        <v>0.99510333123125472</v>
      </c>
      <c r="N228" s="3">
        <f t="shared" si="131"/>
        <v>0.99809233155739663</v>
      </c>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spans="1:44" s="3" customFormat="1">
      <c r="A229" s="3" t="s">
        <v>4</v>
      </c>
      <c r="B229" s="81">
        <f t="shared" ref="B229:N229" si="132">2/(B208+B212)</f>
        <v>1.0728220016739902</v>
      </c>
      <c r="C229" s="81">
        <f t="shared" si="132"/>
        <v>1.0436076978690358</v>
      </c>
      <c r="D229" s="81">
        <f t="shared" si="132"/>
        <v>1.0771851483154782</v>
      </c>
      <c r="E229" s="81">
        <f t="shared" si="132"/>
        <v>1.0939989800802339</v>
      </c>
      <c r="F229" s="81">
        <f t="shared" si="132"/>
        <v>1.0857605628975231</v>
      </c>
      <c r="G229" s="82">
        <f t="shared" si="132"/>
        <v>1.0925403444208794</v>
      </c>
      <c r="H229" s="3">
        <f t="shared" si="132"/>
        <v>1.0916752171860775</v>
      </c>
      <c r="I229" s="3">
        <f t="shared" si="132"/>
        <v>1.1324455436874881</v>
      </c>
      <c r="J229" s="3">
        <f t="shared" si="132"/>
        <v>1.1206800287540675</v>
      </c>
      <c r="K229" s="3">
        <f t="shared" si="132"/>
        <v>1.0841751049429527</v>
      </c>
      <c r="L229" s="3">
        <f t="shared" si="132"/>
        <v>1.0643968989470582</v>
      </c>
      <c r="M229" s="3">
        <f t="shared" si="132"/>
        <v>1.064334955708349</v>
      </c>
      <c r="N229" s="3">
        <f t="shared" si="132"/>
        <v>1.0684117975724872</v>
      </c>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spans="1:44" s="3" customFormat="1">
      <c r="A230" s="3" t="s">
        <v>5</v>
      </c>
      <c r="B230" s="81">
        <f>1</f>
        <v>1</v>
      </c>
      <c r="C230" s="81">
        <f>1</f>
        <v>1</v>
      </c>
      <c r="D230" s="81">
        <f>1</f>
        <v>1</v>
      </c>
      <c r="E230" s="81">
        <f>1</f>
        <v>1</v>
      </c>
      <c r="F230" s="81">
        <f>1</f>
        <v>1</v>
      </c>
      <c r="G230" s="82">
        <f>1</f>
        <v>1</v>
      </c>
      <c r="H230" s="3">
        <f>1</f>
        <v>1</v>
      </c>
      <c r="I230" s="3">
        <f>1</f>
        <v>1</v>
      </c>
      <c r="J230" s="3">
        <f>1</f>
        <v>1</v>
      </c>
      <c r="K230" s="3">
        <f>1</f>
        <v>1</v>
      </c>
      <c r="L230" s="3">
        <f>1</f>
        <v>1</v>
      </c>
      <c r="M230" s="3">
        <f>1</f>
        <v>1</v>
      </c>
      <c r="N230" s="3">
        <f>1</f>
        <v>1</v>
      </c>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spans="1:44" s="3" customFormat="1">
      <c r="A231" s="3" t="s">
        <v>6</v>
      </c>
      <c r="B231" s="81">
        <f t="shared" ref="B231:N231" si="133">8/(B192+B195)</f>
        <v>0.95652166476045064</v>
      </c>
      <c r="C231" s="81">
        <f t="shared" si="133"/>
        <v>0.96134304932342429</v>
      </c>
      <c r="D231" s="81">
        <f t="shared" si="133"/>
        <v>0.95413176233554631</v>
      </c>
      <c r="E231" s="81">
        <f t="shared" si="133"/>
        <v>0.95594916966240495</v>
      </c>
      <c r="F231" s="81">
        <f t="shared" si="133"/>
        <v>0.95712195187589999</v>
      </c>
      <c r="G231" s="82">
        <f t="shared" si="133"/>
        <v>0.95374683770583424</v>
      </c>
      <c r="H231" s="3">
        <f t="shared" si="133"/>
        <v>0.9822039087674721</v>
      </c>
      <c r="I231" s="3">
        <f t="shared" si="133"/>
        <v>0.98101838321519474</v>
      </c>
      <c r="J231" s="3">
        <f t="shared" si="133"/>
        <v>0.97803491505358697</v>
      </c>
      <c r="K231" s="3">
        <f t="shared" si="133"/>
        <v>0.98214708617419066</v>
      </c>
      <c r="L231" s="3">
        <f t="shared" si="133"/>
        <v>0.98564138659343414</v>
      </c>
      <c r="M231" s="3">
        <f t="shared" si="133"/>
        <v>0.98567250216728319</v>
      </c>
      <c r="N231" s="3">
        <f t="shared" si="133"/>
        <v>0.98219368857033651</v>
      </c>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spans="1:44" s="3" customFormat="1">
      <c r="A232" s="3" t="s">
        <v>7</v>
      </c>
      <c r="B232" s="81">
        <f t="shared" ref="B232:N232" si="134">15/(B224-B214)</f>
        <v>0.94612608687211985</v>
      </c>
      <c r="C232" s="81">
        <f t="shared" si="134"/>
        <v>0.94295223604211642</v>
      </c>
      <c r="D232" s="81">
        <f t="shared" si="134"/>
        <v>0.95095075349278579</v>
      </c>
      <c r="E232" s="81">
        <f t="shared" si="134"/>
        <v>0.94674487718678679</v>
      </c>
      <c r="F232" s="81">
        <f t="shared" si="134"/>
        <v>0.9558828989207746</v>
      </c>
      <c r="G232" s="82">
        <f t="shared" si="134"/>
        <v>0.95294870163110523</v>
      </c>
      <c r="H232" s="3">
        <f t="shared" si="134"/>
        <v>0.97337131853139847</v>
      </c>
      <c r="I232" s="3">
        <f t="shared" si="134"/>
        <v>0.97771496459862695</v>
      </c>
      <c r="J232" s="3">
        <f t="shared" si="134"/>
        <v>0.97703486783224991</v>
      </c>
      <c r="K232" s="3">
        <f t="shared" si="134"/>
        <v>0.9766423041297696</v>
      </c>
      <c r="L232" s="3">
        <f t="shared" si="134"/>
        <v>0.97419280649862838</v>
      </c>
      <c r="M232" s="3">
        <f t="shared" si="134"/>
        <v>0.97016630459037567</v>
      </c>
      <c r="N232" s="3">
        <f t="shared" si="134"/>
        <v>0.96993693282242865</v>
      </c>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spans="1:44" s="3" customFormat="1">
      <c r="A233" s="3" t="s">
        <v>8</v>
      </c>
      <c r="B233" s="81">
        <f t="shared" ref="B233:N233" si="135">12.9/(B224-(B204+B208+B209+B212+B213+B214))</f>
        <v>0.97630110410293391</v>
      </c>
      <c r="C233" s="81">
        <f t="shared" si="135"/>
        <v>0.97583467368422872</v>
      </c>
      <c r="D233" s="81">
        <f t="shared" si="135"/>
        <v>0.98261007639547981</v>
      </c>
      <c r="E233" s="81">
        <f t="shared" si="135"/>
        <v>0.97516768763291584</v>
      </c>
      <c r="F233" s="81">
        <f t="shared" si="135"/>
        <v>0.97911621759221856</v>
      </c>
      <c r="G233" s="82">
        <f t="shared" si="135"/>
        <v>0.97752865938176792</v>
      </c>
      <c r="H233" s="3">
        <f t="shared" si="135"/>
        <v>0.97536990266640844</v>
      </c>
      <c r="I233" s="3">
        <f t="shared" si="135"/>
        <v>0.97321284688394538</v>
      </c>
      <c r="J233" s="3">
        <f t="shared" si="135"/>
        <v>0.97706308534195929</v>
      </c>
      <c r="K233" s="3">
        <f t="shared" si="135"/>
        <v>0.97695438682126756</v>
      </c>
      <c r="L233" s="3">
        <f t="shared" si="135"/>
        <v>0.97885729544090738</v>
      </c>
      <c r="M233" s="3">
        <f t="shared" si="135"/>
        <v>0.97766499521972039</v>
      </c>
      <c r="N233" s="3">
        <f t="shared" si="135"/>
        <v>0.98048661970111273</v>
      </c>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spans="1:44" s="3" customFormat="1">
      <c r="A234" s="3" t="s">
        <v>9</v>
      </c>
      <c r="B234" s="81">
        <f t="shared" ref="B234:N234" si="136">36/(46+B195+B192+B199)</f>
        <v>0.65816053351084836</v>
      </c>
      <c r="C234" s="81">
        <f t="shared" si="136"/>
        <v>0.65901983857513569</v>
      </c>
      <c r="D234" s="81">
        <f t="shared" si="136"/>
        <v>0.65771834868854739</v>
      </c>
      <c r="E234" s="81">
        <f t="shared" si="136"/>
        <v>0.65851553662745288</v>
      </c>
      <c r="F234" s="81">
        <f t="shared" si="136"/>
        <v>0.65862054874160414</v>
      </c>
      <c r="G234" s="82">
        <f t="shared" si="136"/>
        <v>0.65842790992676958</v>
      </c>
      <c r="H234" s="3">
        <f t="shared" si="136"/>
        <v>0.66401640697506736</v>
      </c>
      <c r="I234" s="3">
        <f t="shared" si="136"/>
        <v>0.66393668600474232</v>
      </c>
      <c r="J234" s="3">
        <f t="shared" si="136"/>
        <v>0.66336716402519769</v>
      </c>
      <c r="K234" s="3">
        <f t="shared" si="136"/>
        <v>0.66408490895079164</v>
      </c>
      <c r="L234" s="3">
        <f t="shared" si="136"/>
        <v>0.66422011876018006</v>
      </c>
      <c r="M234" s="3">
        <f t="shared" si="136"/>
        <v>0.66420174277644528</v>
      </c>
      <c r="N234" s="3">
        <f t="shared" si="136"/>
        <v>0.66313362890122396</v>
      </c>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spans="1:44" s="3" customFormat="1">
      <c r="A235" s="3" t="s">
        <v>10</v>
      </c>
      <c r="B235" s="81">
        <f t="shared" ref="B235:N235" si="137">1-((B200+B203)/46)</f>
        <v>0.97645706444393876</v>
      </c>
      <c r="C235" s="81">
        <f t="shared" si="137"/>
        <v>0.9738791519272807</v>
      </c>
      <c r="D235" s="81">
        <f t="shared" si="137"/>
        <v>0.97288721480166374</v>
      </c>
      <c r="E235" s="81">
        <f t="shared" si="137"/>
        <v>0.97020389526177719</v>
      </c>
      <c r="F235" s="81">
        <f t="shared" si="137"/>
        <v>0.977320263553353</v>
      </c>
      <c r="G235" s="82">
        <f t="shared" si="137"/>
        <v>0.97560097246057553</v>
      </c>
      <c r="H235" s="3">
        <f t="shared" si="137"/>
        <v>0.96675707256259091</v>
      </c>
      <c r="I235" s="3">
        <f t="shared" si="137"/>
        <v>0.96847964243312523</v>
      </c>
      <c r="J235" s="3">
        <f t="shared" si="137"/>
        <v>0.96661772425546255</v>
      </c>
      <c r="K235" s="3">
        <f t="shared" si="137"/>
        <v>0.96819276089170836</v>
      </c>
      <c r="L235" s="3">
        <f t="shared" si="137"/>
        <v>0.96531128090308949</v>
      </c>
      <c r="M235" s="3">
        <f t="shared" si="137"/>
        <v>0.9653535282749528</v>
      </c>
      <c r="N235" s="3">
        <f t="shared" si="137"/>
        <v>0.96394472042398915</v>
      </c>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spans="1:44" s="3" customFormat="1">
      <c r="A236" s="3" t="s">
        <v>11</v>
      </c>
      <c r="B236" s="81">
        <f t="shared" ref="B236:N236" si="138">MIN(B226:B230)</f>
        <v>0.99486788071484666</v>
      </c>
      <c r="C236" s="81">
        <f t="shared" si="138"/>
        <v>0.99102256927640531</v>
      </c>
      <c r="D236" s="81">
        <f t="shared" si="138"/>
        <v>1</v>
      </c>
      <c r="E236" s="81">
        <f t="shared" si="138"/>
        <v>0.99623758477347024</v>
      </c>
      <c r="F236" s="81">
        <f t="shared" si="138"/>
        <v>0.99885639930685266</v>
      </c>
      <c r="G236" s="82">
        <f t="shared" si="138"/>
        <v>0.99819393109643029</v>
      </c>
      <c r="H236" s="3">
        <f t="shared" si="138"/>
        <v>0.99616157249291903</v>
      </c>
      <c r="I236" s="3">
        <f t="shared" si="138"/>
        <v>0.99859166581863812</v>
      </c>
      <c r="J236" s="3">
        <f t="shared" si="138"/>
        <v>1</v>
      </c>
      <c r="K236" s="3">
        <f t="shared" si="138"/>
        <v>0.99674253378255262</v>
      </c>
      <c r="L236" s="3">
        <f t="shared" si="138"/>
        <v>0.99617268757570099</v>
      </c>
      <c r="M236" s="3">
        <f t="shared" si="138"/>
        <v>0.99510333123125472</v>
      </c>
      <c r="N236" s="3">
        <f t="shared" si="138"/>
        <v>0.99809233155739663</v>
      </c>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spans="1:44" s="3" customFormat="1">
      <c r="A237" s="3" t="s">
        <v>12</v>
      </c>
      <c r="B237" s="81">
        <f t="shared" ref="B237:N237" si="139">MAX(B231:B235)</f>
        <v>0.97645706444393876</v>
      </c>
      <c r="C237" s="81">
        <f t="shared" si="139"/>
        <v>0.97583467368422872</v>
      </c>
      <c r="D237" s="81">
        <f t="shared" si="139"/>
        <v>0.98261007639547981</v>
      </c>
      <c r="E237" s="81">
        <f t="shared" si="139"/>
        <v>0.97516768763291584</v>
      </c>
      <c r="F237" s="81">
        <f t="shared" si="139"/>
        <v>0.97911621759221856</v>
      </c>
      <c r="G237" s="82">
        <f t="shared" si="139"/>
        <v>0.97752865938176792</v>
      </c>
      <c r="H237" s="3">
        <f t="shared" si="139"/>
        <v>0.9822039087674721</v>
      </c>
      <c r="I237" s="3">
        <f t="shared" si="139"/>
        <v>0.98101838321519474</v>
      </c>
      <c r="J237" s="3">
        <f t="shared" si="139"/>
        <v>0.97803491505358697</v>
      </c>
      <c r="K237" s="3">
        <f t="shared" si="139"/>
        <v>0.98214708617419066</v>
      </c>
      <c r="L237" s="3">
        <f t="shared" si="139"/>
        <v>0.98564138659343414</v>
      </c>
      <c r="M237" s="3">
        <f t="shared" si="139"/>
        <v>0.98567250216728319</v>
      </c>
      <c r="N237" s="3">
        <f t="shared" si="139"/>
        <v>0.98219368857033651</v>
      </c>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spans="1:44" s="3" customFormat="1">
      <c r="A238" s="3" t="s">
        <v>13</v>
      </c>
      <c r="B238" s="81">
        <f t="shared" ref="B238:N238" si="140">AVERAGE(B236:B237)</f>
        <v>0.98566247257939277</v>
      </c>
      <c r="C238" s="81">
        <f t="shared" si="140"/>
        <v>0.98342862148031696</v>
      </c>
      <c r="D238" s="81">
        <f t="shared" si="140"/>
        <v>0.99130503819773996</v>
      </c>
      <c r="E238" s="81">
        <f t="shared" si="140"/>
        <v>0.98570263620319309</v>
      </c>
      <c r="F238" s="81">
        <f t="shared" si="140"/>
        <v>0.98898630844953561</v>
      </c>
      <c r="G238" s="82">
        <f t="shared" si="140"/>
        <v>0.98786129523909905</v>
      </c>
      <c r="H238" s="3">
        <f t="shared" si="140"/>
        <v>0.98918274063019562</v>
      </c>
      <c r="I238" s="3">
        <f t="shared" si="140"/>
        <v>0.98980502451691643</v>
      </c>
      <c r="J238" s="3">
        <f t="shared" si="140"/>
        <v>0.98901745752679349</v>
      </c>
      <c r="K238" s="3">
        <f t="shared" si="140"/>
        <v>0.9894448099783717</v>
      </c>
      <c r="L238" s="3">
        <f t="shared" si="140"/>
        <v>0.99090703708456762</v>
      </c>
      <c r="M238" s="3">
        <f t="shared" si="140"/>
        <v>0.99038791669926896</v>
      </c>
      <c r="N238" s="3">
        <f t="shared" si="140"/>
        <v>0.99014301006386662</v>
      </c>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sheetData>
  <phoneticPr fontId="7" type="noConversion"/>
  <pageMargins left="0.75" right="0.75" top="1" bottom="0.5" header="0.5" footer="0.5"/>
  <pageSetup paperSize="0" scale="0" orientation="portrait" horizontalDpi="0" verticalDpi="0" copies="0"/>
  <headerFooter alignWithMargins="0">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G1" workbookViewId="0">
      <selection activeCell="V6" sqref="V6"/>
    </sheetView>
  </sheetViews>
  <sheetFormatPr defaultRowHeight="13.2"/>
  <sheetData>
    <row r="1" spans="1:26" ht="15.6">
      <c r="A1" t="s">
        <v>163</v>
      </c>
      <c r="B1" t="s">
        <v>164</v>
      </c>
      <c r="C1" t="s">
        <v>165</v>
      </c>
      <c r="D1" t="s">
        <v>175</v>
      </c>
      <c r="E1" t="s">
        <v>166</v>
      </c>
      <c r="F1" t="s">
        <v>177</v>
      </c>
      <c r="G1" t="s">
        <v>178</v>
      </c>
      <c r="H1" t="s">
        <v>167</v>
      </c>
      <c r="I1" t="s">
        <v>176</v>
      </c>
      <c r="J1" t="s">
        <v>168</v>
      </c>
      <c r="K1" s="22" t="s">
        <v>45</v>
      </c>
      <c r="L1" s="22" t="s">
        <v>46</v>
      </c>
      <c r="M1" t="s">
        <v>179</v>
      </c>
      <c r="N1" t="s">
        <v>180</v>
      </c>
      <c r="O1" s="106" t="s">
        <v>181</v>
      </c>
      <c r="P1" s="106" t="s">
        <v>182</v>
      </c>
      <c r="Q1" s="106" t="s">
        <v>188</v>
      </c>
      <c r="R1" s="106" t="s">
        <v>183</v>
      </c>
      <c r="S1" s="106" t="s">
        <v>184</v>
      </c>
      <c r="T1" s="106" t="s">
        <v>185</v>
      </c>
      <c r="U1" s="106" t="s">
        <v>186</v>
      </c>
      <c r="V1" s="106" t="s">
        <v>187</v>
      </c>
      <c r="W1" s="107" t="s">
        <v>189</v>
      </c>
      <c r="X1" s="107" t="s">
        <v>190</v>
      </c>
      <c r="Y1" s="107" t="s">
        <v>191</v>
      </c>
      <c r="Z1" s="107" t="s">
        <v>192</v>
      </c>
    </row>
    <row r="2" spans="1:26" ht="15.6">
      <c r="A2" s="63" t="s">
        <v>169</v>
      </c>
      <c r="B2" s="63">
        <v>40.700000000000003</v>
      </c>
      <c r="C2" s="63">
        <v>3.04</v>
      </c>
      <c r="D2" s="63">
        <v>14</v>
      </c>
      <c r="E2" s="63">
        <v>10.6</v>
      </c>
      <c r="F2" s="63">
        <v>14.7</v>
      </c>
      <c r="G2" s="63">
        <v>0.13</v>
      </c>
      <c r="H2" s="63">
        <v>11.9</v>
      </c>
      <c r="I2" s="63">
        <v>2.74</v>
      </c>
      <c r="J2" s="63">
        <v>0.46</v>
      </c>
      <c r="K2" s="78">
        <v>0.8</v>
      </c>
      <c r="L2" s="30">
        <f>1-K2</f>
        <v>0.19999999999999996</v>
      </c>
      <c r="M2">
        <v>931.72426598990353</v>
      </c>
      <c r="N2">
        <v>780.33184212076173</v>
      </c>
      <c r="O2" s="106">
        <v>46.8</v>
      </c>
      <c r="P2" s="106">
        <v>34.200000000000003</v>
      </c>
      <c r="Q2" s="106">
        <v>0.77</v>
      </c>
      <c r="R2" s="106">
        <v>0.08</v>
      </c>
      <c r="S2" s="106">
        <v>17.100000000000001</v>
      </c>
      <c r="T2" s="106">
        <v>1.61</v>
      </c>
      <c r="U2" s="106">
        <v>0.05</v>
      </c>
      <c r="V2" s="106">
        <v>100.60999999999999</v>
      </c>
      <c r="W2">
        <v>0.14514065671808099</v>
      </c>
      <c r="X2">
        <v>0.85189352447228595</v>
      </c>
      <c r="Y2">
        <v>1373.3709614881336</v>
      </c>
      <c r="Z2">
        <v>1012.0285535937631</v>
      </c>
    </row>
    <row r="3" spans="1:26" ht="15.6">
      <c r="A3" s="63" t="s">
        <v>170</v>
      </c>
      <c r="B3" s="63">
        <v>39.799999999999997</v>
      </c>
      <c r="C3" s="63">
        <v>2.72</v>
      </c>
      <c r="D3" s="63">
        <v>13.6</v>
      </c>
      <c r="E3" s="63">
        <v>11.4</v>
      </c>
      <c r="F3" s="63">
        <v>14.2</v>
      </c>
      <c r="G3" s="63">
        <v>0.14000000000000001</v>
      </c>
      <c r="H3" s="63">
        <v>12</v>
      </c>
      <c r="I3" s="63">
        <v>2.67</v>
      </c>
      <c r="J3" s="63">
        <v>0.49</v>
      </c>
      <c r="K3" s="78">
        <v>0.7</v>
      </c>
      <c r="L3" s="30">
        <f>1-K3</f>
        <v>0.30000000000000004</v>
      </c>
      <c r="M3">
        <v>1019.6771075809532</v>
      </c>
      <c r="N3">
        <v>830.58612876436939</v>
      </c>
      <c r="O3" s="106">
        <v>47.4</v>
      </c>
      <c r="P3" s="106">
        <v>33</v>
      </c>
      <c r="Q3" s="106">
        <v>0.79</v>
      </c>
      <c r="R3" s="106">
        <v>0.09</v>
      </c>
      <c r="S3" s="106">
        <v>16.600000000000001</v>
      </c>
      <c r="T3" s="106">
        <v>2.04</v>
      </c>
      <c r="U3" s="106">
        <v>7.0000000000000007E-2</v>
      </c>
      <c r="V3" s="106">
        <v>99.990000000000023</v>
      </c>
      <c r="W3">
        <v>0.181179728400653</v>
      </c>
      <c r="X3">
        <v>0.81472965402389397</v>
      </c>
      <c r="Y3">
        <v>1358.9710739865254</v>
      </c>
      <c r="Z3">
        <v>991.66052083871057</v>
      </c>
    </row>
    <row r="4" spans="1:26" ht="15.6">
      <c r="A4" s="63" t="s">
        <v>171</v>
      </c>
      <c r="B4" s="63">
        <v>41.3</v>
      </c>
      <c r="C4" s="63">
        <v>3.17</v>
      </c>
      <c r="D4" s="63">
        <v>13.4</v>
      </c>
      <c r="E4" s="63">
        <v>11.2</v>
      </c>
      <c r="F4" s="63">
        <v>13.7</v>
      </c>
      <c r="G4" s="63">
        <v>0.16</v>
      </c>
      <c r="H4" s="63">
        <v>11.8</v>
      </c>
      <c r="I4" s="63">
        <v>2.77</v>
      </c>
      <c r="J4" s="63">
        <v>0.49</v>
      </c>
      <c r="K4" s="78">
        <v>0.6</v>
      </c>
      <c r="L4" s="30">
        <f>1-K4</f>
        <v>0.4</v>
      </c>
      <c r="M4">
        <v>943.10512820273618</v>
      </c>
      <c r="N4">
        <v>831.41675686084648</v>
      </c>
      <c r="O4" s="106">
        <v>48.2</v>
      </c>
      <c r="P4" s="106">
        <v>32.299999999999997</v>
      </c>
      <c r="Q4" s="106">
        <v>0.57999999999999996</v>
      </c>
      <c r="R4" s="106">
        <v>0.04</v>
      </c>
      <c r="S4" s="106">
        <v>16</v>
      </c>
      <c r="T4" s="106">
        <v>2.1800000000000002</v>
      </c>
      <c r="U4" s="106">
        <v>0.06</v>
      </c>
      <c r="V4" s="106">
        <v>99.360000000000014</v>
      </c>
      <c r="W4">
        <v>0.197081984706895</v>
      </c>
      <c r="X4">
        <v>0.799348961554886</v>
      </c>
      <c r="Y4">
        <v>1156.0866524765534</v>
      </c>
      <c r="Z4">
        <v>951.87361023388041</v>
      </c>
    </row>
    <row r="5" spans="1:26" ht="15.6">
      <c r="A5" s="63" t="s">
        <v>172</v>
      </c>
      <c r="B5" s="63">
        <v>41.1</v>
      </c>
      <c r="C5" s="63">
        <v>2.71</v>
      </c>
      <c r="D5" s="63">
        <v>13.4</v>
      </c>
      <c r="E5" s="63">
        <v>13</v>
      </c>
      <c r="F5" s="63">
        <v>13.4</v>
      </c>
      <c r="G5" s="63">
        <v>0.19</v>
      </c>
      <c r="H5" s="63">
        <v>11.6</v>
      </c>
      <c r="I5" s="63">
        <v>2.76</v>
      </c>
      <c r="J5" s="63">
        <v>0.46</v>
      </c>
      <c r="K5" s="78">
        <v>0.5</v>
      </c>
      <c r="L5" s="30">
        <f>1-K5</f>
        <v>0.5</v>
      </c>
      <c r="M5">
        <v>1036.561957835559</v>
      </c>
      <c r="N5">
        <v>899.39671615247323</v>
      </c>
      <c r="O5" s="106">
        <v>50.9</v>
      </c>
      <c r="P5" s="106">
        <v>31</v>
      </c>
      <c r="Q5" s="106">
        <v>0.59</v>
      </c>
      <c r="R5" s="106">
        <v>7.0000000000000007E-2</v>
      </c>
      <c r="S5" s="106">
        <v>14.2</v>
      </c>
      <c r="T5" s="106">
        <v>3.38</v>
      </c>
      <c r="U5" s="106">
        <v>7.0000000000000007E-2</v>
      </c>
      <c r="V5" s="106">
        <v>100.21</v>
      </c>
      <c r="W5">
        <v>0.29982476320277901</v>
      </c>
      <c r="X5">
        <v>0.69608959542924997</v>
      </c>
      <c r="Y5">
        <v>1083.2696199008456</v>
      </c>
      <c r="Z5">
        <v>947.85317186649525</v>
      </c>
    </row>
    <row r="6" spans="1:26" ht="15.6">
      <c r="A6" s="63" t="s">
        <v>173</v>
      </c>
      <c r="B6" s="63">
        <v>42.4</v>
      </c>
      <c r="C6" s="63">
        <v>2.75</v>
      </c>
      <c r="D6" s="63">
        <v>12.7</v>
      </c>
      <c r="E6" s="63">
        <v>10</v>
      </c>
      <c r="F6" s="63">
        <v>15.1</v>
      </c>
      <c r="G6" s="63">
        <v>0.15</v>
      </c>
      <c r="H6" s="63">
        <v>11.8</v>
      </c>
      <c r="I6" s="63">
        <v>2.39</v>
      </c>
      <c r="J6" s="63">
        <v>0.82</v>
      </c>
      <c r="K6" s="78">
        <v>0.7</v>
      </c>
      <c r="L6" s="30">
        <f>1-K6</f>
        <v>0.30000000000000004</v>
      </c>
      <c r="M6">
        <v>882.71663885185114</v>
      </c>
      <c r="N6">
        <v>788.5042457368603</v>
      </c>
      <c r="O6" s="106">
        <v>46.9</v>
      </c>
      <c r="P6" s="106">
        <v>32.9</v>
      </c>
      <c r="Q6" s="106">
        <v>0.7</v>
      </c>
      <c r="R6" s="106">
        <v>0.1</v>
      </c>
      <c r="S6" s="106">
        <v>17.100000000000001</v>
      </c>
      <c r="T6" s="106">
        <v>1.66</v>
      </c>
      <c r="U6" s="106">
        <v>0.11</v>
      </c>
      <c r="V6" s="106">
        <v>99.469999999999985</v>
      </c>
      <c r="W6">
        <v>0.14845065975728999</v>
      </c>
      <c r="X6">
        <v>0.84507674973056901</v>
      </c>
      <c r="Y6">
        <v>1172.4249663145151</v>
      </c>
      <c r="Z6">
        <v>972.06820126376704</v>
      </c>
    </row>
    <row r="7" spans="1:26" ht="15.6">
      <c r="A7" s="63" t="s">
        <v>174</v>
      </c>
      <c r="B7" s="63">
        <v>42</v>
      </c>
      <c r="C7" s="63">
        <v>2.62</v>
      </c>
      <c r="D7" s="63">
        <v>13.1</v>
      </c>
      <c r="E7" s="63">
        <v>10.8</v>
      </c>
      <c r="F7" s="63">
        <v>14.6</v>
      </c>
      <c r="G7" s="63">
        <v>0.2</v>
      </c>
      <c r="H7" s="63">
        <v>11.7</v>
      </c>
      <c r="I7" s="63">
        <v>2.52</v>
      </c>
      <c r="J7" s="63">
        <v>0.73</v>
      </c>
      <c r="K7" s="78">
        <v>0.8</v>
      </c>
      <c r="L7" s="30">
        <f>1-K7</f>
        <v>0.19999999999999996</v>
      </c>
      <c r="M7">
        <v>857.45418600640744</v>
      </c>
      <c r="N7">
        <v>750.79169735299104</v>
      </c>
      <c r="O7" s="106">
        <v>47.8</v>
      </c>
      <c r="P7" s="106">
        <v>33</v>
      </c>
      <c r="Q7" s="106">
        <v>0.63</v>
      </c>
      <c r="R7" s="106">
        <v>0.09</v>
      </c>
      <c r="S7" s="106">
        <v>16.399999999999999</v>
      </c>
      <c r="T7" s="106">
        <v>2.06</v>
      </c>
      <c r="U7" s="106">
        <v>0.12</v>
      </c>
      <c r="V7" s="106">
        <v>100.1</v>
      </c>
      <c r="W7">
        <v>0.18389716356604499</v>
      </c>
      <c r="X7">
        <v>0.80905427548402598</v>
      </c>
      <c r="Y7">
        <v>1131.370234322505</v>
      </c>
      <c r="Z7">
        <v>958.90325210028971</v>
      </c>
    </row>
    <row r="8" spans="1:26" ht="15.6">
      <c r="B8" s="30">
        <v>48.66</v>
      </c>
      <c r="C8" s="30">
        <v>0.64</v>
      </c>
      <c r="D8" s="30">
        <v>5.84</v>
      </c>
      <c r="E8" s="30">
        <v>14.31</v>
      </c>
      <c r="F8" s="30">
        <v>14.39</v>
      </c>
      <c r="G8" s="30">
        <v>0.89</v>
      </c>
      <c r="H8" s="30">
        <v>11.66</v>
      </c>
      <c r="I8" s="30">
        <v>1.24</v>
      </c>
      <c r="J8" s="30">
        <v>0.59</v>
      </c>
      <c r="K8" s="33">
        <v>0.9</v>
      </c>
      <c r="L8" s="30">
        <f>1-K8</f>
        <v>9.9999999999999978E-2</v>
      </c>
      <c r="M8">
        <v>710.63285743286087</v>
      </c>
      <c r="N8">
        <v>612.76849583069202</v>
      </c>
      <c r="O8" s="106">
        <v>46.6</v>
      </c>
      <c r="P8" s="106">
        <v>33.4</v>
      </c>
      <c r="Q8" s="106">
        <v>0.46</v>
      </c>
      <c r="R8" s="106">
        <v>7.0000000000000007E-2</v>
      </c>
      <c r="S8" s="106">
        <v>17.2</v>
      </c>
      <c r="T8" s="106">
        <v>1.7</v>
      </c>
      <c r="U8" s="106">
        <v>0.04</v>
      </c>
      <c r="V8" s="106">
        <v>99.47</v>
      </c>
      <c r="W8">
        <v>0.15136176622367201</v>
      </c>
      <c r="X8">
        <v>0.84629487567879302</v>
      </c>
      <c r="Y8">
        <v>851.13020767369369</v>
      </c>
      <c r="Z8">
        <v>875.85952657736641</v>
      </c>
    </row>
    <row r="9" spans="1:26" ht="15.6">
      <c r="B9" s="30">
        <v>48.59</v>
      </c>
      <c r="C9" s="30">
        <v>0.6</v>
      </c>
      <c r="D9" s="30">
        <v>5.2</v>
      </c>
      <c r="E9" s="30">
        <v>13.68</v>
      </c>
      <c r="F9" s="30">
        <v>14.49</v>
      </c>
      <c r="G9" s="30">
        <v>0.87</v>
      </c>
      <c r="H9" s="30">
        <v>11.06</v>
      </c>
      <c r="I9" s="30">
        <v>1.1100000000000001</v>
      </c>
      <c r="J9" s="30">
        <v>0.56000000000000005</v>
      </c>
      <c r="K9" s="33">
        <v>0.8</v>
      </c>
      <c r="L9" s="30">
        <f>1-K9</f>
        <v>0.19999999999999996</v>
      </c>
      <c r="M9">
        <v>692.66758509755573</v>
      </c>
      <c r="N9">
        <v>667.03534653661654</v>
      </c>
      <c r="O9" s="106">
        <v>47.1</v>
      </c>
      <c r="P9" s="106">
        <v>32.6</v>
      </c>
      <c r="Q9" s="106">
        <v>0.68</v>
      </c>
      <c r="R9" s="106">
        <v>7.0000000000000007E-2</v>
      </c>
      <c r="S9" s="106">
        <v>16.7</v>
      </c>
      <c r="T9" s="106">
        <v>2</v>
      </c>
      <c r="U9" s="106">
        <v>0.04</v>
      </c>
      <c r="V9" s="106">
        <v>99.190000000000012</v>
      </c>
      <c r="W9">
        <v>0.17769784724137799</v>
      </c>
      <c r="X9">
        <v>0.81996372711328802</v>
      </c>
      <c r="Y9">
        <v>783.23559395668588</v>
      </c>
      <c r="Z9">
        <v>866.80486644161067</v>
      </c>
    </row>
    <row r="10" spans="1:26">
      <c r="B10" s="30"/>
      <c r="C10" s="30"/>
      <c r="D10" s="30"/>
      <c r="E10" s="30"/>
      <c r="F10" s="30"/>
      <c r="G10" s="30"/>
      <c r="H10" s="30"/>
      <c r="I10" s="30"/>
      <c r="J10" s="30"/>
      <c r="K10" s="33"/>
      <c r="L10" s="30"/>
    </row>
    <row r="11" spans="1:26">
      <c r="B11" s="30"/>
      <c r="C11" s="30"/>
      <c r="D11" s="30"/>
      <c r="E11" s="30"/>
      <c r="F11" s="30"/>
      <c r="G11" s="30"/>
      <c r="H11" s="30"/>
      <c r="I11" s="30"/>
      <c r="J11" s="30"/>
      <c r="K11" s="33"/>
      <c r="L11" s="30"/>
    </row>
    <row r="12" spans="1:26">
      <c r="B12" s="30"/>
      <c r="C12" s="30"/>
      <c r="D12" s="30"/>
      <c r="E12" s="30"/>
      <c r="F12" s="30"/>
      <c r="G12" s="30"/>
      <c r="H12" s="30"/>
      <c r="I12" s="30"/>
      <c r="J12" s="30"/>
      <c r="K12" s="33"/>
      <c r="L12" s="30"/>
    </row>
    <row r="13" spans="1:26">
      <c r="B13" s="30"/>
      <c r="C13" s="30"/>
      <c r="D13" s="30"/>
      <c r="E13" s="30"/>
      <c r="F13" s="30"/>
      <c r="G13" s="30"/>
      <c r="H13" s="30"/>
      <c r="I13" s="30"/>
      <c r="J13" s="30"/>
      <c r="K13" s="33"/>
      <c r="L13" s="30"/>
    </row>
    <row r="14" spans="1:26">
      <c r="B14" s="30"/>
      <c r="C14" s="30"/>
      <c r="D14" s="30"/>
      <c r="E14" s="30"/>
      <c r="F14" s="30"/>
      <c r="G14" s="30"/>
      <c r="H14" s="30"/>
      <c r="I14" s="30"/>
      <c r="J14" s="30"/>
      <c r="K14" s="33"/>
      <c r="L14"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Calc_An_PWedited</vt:lpstr>
      <vt:lpstr>1st_input_An</vt:lpstr>
      <vt:lpstr>Thermobar_format</vt:lpstr>
      <vt:lpstr>'1st_input_An'!Print_Area</vt:lpstr>
      <vt:lpstr>Calc_An_PWedited!Print_Area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johnyu</dc:creator>
  <cp:lastModifiedBy>penny wieser</cp:lastModifiedBy>
  <dcterms:created xsi:type="dcterms:W3CDTF">2008-08-14T14:17:35Z</dcterms:created>
  <dcterms:modified xsi:type="dcterms:W3CDTF">2021-10-17T00:16:22Z</dcterms:modified>
</cp:coreProperties>
</file>