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Benchmarking\amphibole\"/>
    </mc:Choice>
  </mc:AlternateContent>
  <xr:revisionPtr revIDLastSave="0" documentId="13_ncr:1_{9306F56F-9C2E-4F8B-944A-766C38D7F83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_5_From_paper" sheetId="3" r:id="rId1"/>
    <sheet name="Amphibole_formula_calc" sheetId="2" r:id="rId2"/>
    <sheet name="Sheet1" sheetId="1" r:id="rId3"/>
    <sheet name="Table_5_unformatted" sheetId="4" r:id="rId4"/>
    <sheet name="Table5_transpo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8" i="3" l="1"/>
  <c r="C117" i="3"/>
  <c r="C185" i="3"/>
  <c r="C184" i="3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2" i="5"/>
  <c r="L19" i="3"/>
  <c r="M19" i="3"/>
  <c r="N19" i="3"/>
  <c r="O19" i="3"/>
  <c r="P19" i="3"/>
  <c r="P42" i="3" s="1"/>
  <c r="Q19" i="3"/>
  <c r="Q42" i="3" s="1"/>
  <c r="R19" i="3"/>
  <c r="R42" i="3" s="1"/>
  <c r="S19" i="3"/>
  <c r="S42" i="3" s="1"/>
  <c r="L20" i="3"/>
  <c r="M20" i="3"/>
  <c r="N20" i="3"/>
  <c r="O20" i="3"/>
  <c r="P20" i="3"/>
  <c r="P43" i="3" s="1"/>
  <c r="Q20" i="3"/>
  <c r="Q43" i="3" s="1"/>
  <c r="R20" i="3"/>
  <c r="R43" i="3" s="1"/>
  <c r="S20" i="3"/>
  <c r="S43" i="3" s="1"/>
  <c r="L21" i="3"/>
  <c r="M21" i="3"/>
  <c r="N21" i="3"/>
  <c r="O21" i="3"/>
  <c r="P21" i="3"/>
  <c r="P44" i="3" s="1"/>
  <c r="Q21" i="3"/>
  <c r="Q44" i="3" s="1"/>
  <c r="R21" i="3"/>
  <c r="R44" i="3" s="1"/>
  <c r="S21" i="3"/>
  <c r="S44" i="3" s="1"/>
  <c r="L22" i="3"/>
  <c r="M22" i="3"/>
  <c r="N22" i="3"/>
  <c r="O22" i="3"/>
  <c r="P22" i="3"/>
  <c r="Q22" i="3"/>
  <c r="Q45" i="3" s="1"/>
  <c r="R22" i="3"/>
  <c r="R45" i="3" s="1"/>
  <c r="S22" i="3"/>
  <c r="S45" i="3" s="1"/>
  <c r="L23" i="3"/>
  <c r="M23" i="3"/>
  <c r="N23" i="3"/>
  <c r="O23" i="3"/>
  <c r="P23" i="3"/>
  <c r="Q23" i="3"/>
  <c r="R23" i="3"/>
  <c r="R46" i="3" s="1"/>
  <c r="S23" i="3"/>
  <c r="S46" i="3" s="1"/>
  <c r="L24" i="3"/>
  <c r="M24" i="3"/>
  <c r="N24" i="3"/>
  <c r="O24" i="3"/>
  <c r="P24" i="3"/>
  <c r="Q24" i="3"/>
  <c r="R24" i="3"/>
  <c r="S24" i="3"/>
  <c r="S47" i="3" s="1"/>
  <c r="L25" i="3"/>
  <c r="M25" i="3"/>
  <c r="N25" i="3"/>
  <c r="O25" i="3"/>
  <c r="P25" i="3"/>
  <c r="Q25" i="3"/>
  <c r="R25" i="3"/>
  <c r="S25" i="3"/>
  <c r="S48" i="3" s="1"/>
  <c r="L26" i="3"/>
  <c r="M26" i="3"/>
  <c r="N26" i="3"/>
  <c r="O26" i="3"/>
  <c r="P26" i="3"/>
  <c r="P49" i="3" s="1"/>
  <c r="Q26" i="3"/>
  <c r="Q49" i="3" s="1"/>
  <c r="R26" i="3"/>
  <c r="R49" i="3" s="1"/>
  <c r="S26" i="3"/>
  <c r="S49" i="3" s="1"/>
  <c r="L27" i="3"/>
  <c r="M27" i="3"/>
  <c r="N27" i="3"/>
  <c r="O27" i="3"/>
  <c r="P27" i="3"/>
  <c r="P50" i="3" s="1"/>
  <c r="Q27" i="3"/>
  <c r="Q50" i="3" s="1"/>
  <c r="R27" i="3"/>
  <c r="R50" i="3" s="1"/>
  <c r="S27" i="3"/>
  <c r="S50" i="3" s="1"/>
  <c r="L28" i="3"/>
  <c r="M28" i="3"/>
  <c r="N28" i="3"/>
  <c r="O28" i="3"/>
  <c r="P28" i="3"/>
  <c r="P51" i="3" s="1"/>
  <c r="Q28" i="3"/>
  <c r="Q51" i="3" s="1"/>
  <c r="R28" i="3"/>
  <c r="R51" i="3" s="1"/>
  <c r="S28" i="3"/>
  <c r="S51" i="3" s="1"/>
  <c r="L30" i="3"/>
  <c r="M30" i="3"/>
  <c r="N30" i="3"/>
  <c r="O30" i="3"/>
  <c r="P30" i="3"/>
  <c r="Q30" i="3"/>
  <c r="Q40" i="3" s="1"/>
  <c r="R30" i="3"/>
  <c r="S30" i="3"/>
  <c r="L31" i="3"/>
  <c r="M31" i="3"/>
  <c r="N31" i="3"/>
  <c r="O31" i="3"/>
  <c r="P31" i="3"/>
  <c r="Q31" i="3"/>
  <c r="R31" i="3"/>
  <c r="S31" i="3"/>
  <c r="L32" i="3"/>
  <c r="M32" i="3"/>
  <c r="N32" i="3"/>
  <c r="O32" i="3"/>
  <c r="P32" i="3"/>
  <c r="Q32" i="3"/>
  <c r="R32" i="3"/>
  <c r="S32" i="3"/>
  <c r="L33" i="3"/>
  <c r="M33" i="3"/>
  <c r="N33" i="3"/>
  <c r="O33" i="3"/>
  <c r="P33" i="3"/>
  <c r="Q33" i="3"/>
  <c r="R33" i="3"/>
  <c r="S33" i="3"/>
  <c r="L34" i="3"/>
  <c r="M34" i="3"/>
  <c r="N34" i="3"/>
  <c r="O34" i="3"/>
  <c r="P34" i="3"/>
  <c r="Q34" i="3"/>
  <c r="R34" i="3"/>
  <c r="S34" i="3"/>
  <c r="L35" i="3"/>
  <c r="M35" i="3"/>
  <c r="N35" i="3"/>
  <c r="O35" i="3"/>
  <c r="P35" i="3"/>
  <c r="Q35" i="3"/>
  <c r="R35" i="3"/>
  <c r="S35" i="3"/>
  <c r="L36" i="3"/>
  <c r="M36" i="3"/>
  <c r="N36" i="3"/>
  <c r="O36" i="3"/>
  <c r="P36" i="3"/>
  <c r="Q36" i="3"/>
  <c r="R36" i="3"/>
  <c r="S36" i="3"/>
  <c r="L37" i="3"/>
  <c r="M37" i="3"/>
  <c r="N37" i="3"/>
  <c r="O37" i="3"/>
  <c r="P37" i="3"/>
  <c r="Q37" i="3"/>
  <c r="R37" i="3"/>
  <c r="S37" i="3"/>
  <c r="L38" i="3"/>
  <c r="M38" i="3"/>
  <c r="N38" i="3"/>
  <c r="O38" i="3"/>
  <c r="P38" i="3"/>
  <c r="Q38" i="3"/>
  <c r="R38" i="3"/>
  <c r="S38" i="3"/>
  <c r="L39" i="3"/>
  <c r="M39" i="3"/>
  <c r="N39" i="3"/>
  <c r="O39" i="3"/>
  <c r="P39" i="3"/>
  <c r="Q39" i="3"/>
  <c r="R39" i="3"/>
  <c r="S39" i="3"/>
  <c r="L40" i="3"/>
  <c r="M40" i="3"/>
  <c r="N40" i="3"/>
  <c r="O40" i="3"/>
  <c r="L42" i="3"/>
  <c r="M42" i="3"/>
  <c r="M52" i="3" s="1"/>
  <c r="M54" i="3" s="1"/>
  <c r="N42" i="3"/>
  <c r="O42" i="3"/>
  <c r="L43" i="3"/>
  <c r="M43" i="3"/>
  <c r="N43" i="3"/>
  <c r="N52" i="3" s="1"/>
  <c r="N54" i="3" s="1"/>
  <c r="O43" i="3"/>
  <c r="L44" i="3"/>
  <c r="M44" i="3"/>
  <c r="N44" i="3"/>
  <c r="N71" i="3" s="1"/>
  <c r="O44" i="3"/>
  <c r="L45" i="3"/>
  <c r="M45" i="3"/>
  <c r="N45" i="3"/>
  <c r="N72" i="3" s="1"/>
  <c r="O45" i="3"/>
  <c r="P45" i="3"/>
  <c r="L46" i="3"/>
  <c r="M46" i="3"/>
  <c r="N46" i="3"/>
  <c r="O46" i="3"/>
  <c r="P46" i="3"/>
  <c r="Q46" i="3"/>
  <c r="L47" i="3"/>
  <c r="M47" i="3"/>
  <c r="N47" i="3"/>
  <c r="O47" i="3"/>
  <c r="P47" i="3"/>
  <c r="Q47" i="3"/>
  <c r="R47" i="3"/>
  <c r="L48" i="3"/>
  <c r="M48" i="3"/>
  <c r="N48" i="3"/>
  <c r="O48" i="3"/>
  <c r="P48" i="3"/>
  <c r="Q48" i="3"/>
  <c r="R48" i="3"/>
  <c r="L49" i="3"/>
  <c r="M49" i="3"/>
  <c r="N49" i="3"/>
  <c r="O49" i="3"/>
  <c r="L50" i="3"/>
  <c r="M50" i="3"/>
  <c r="M77" i="3" s="1"/>
  <c r="N50" i="3"/>
  <c r="O50" i="3"/>
  <c r="L51" i="3"/>
  <c r="M51" i="3"/>
  <c r="N51" i="3"/>
  <c r="O51" i="3"/>
  <c r="O52" i="3"/>
  <c r="O54" i="3" s="1"/>
  <c r="K19" i="3"/>
  <c r="K20" i="3"/>
  <c r="K43" i="3" s="1"/>
  <c r="K21" i="3"/>
  <c r="K32" i="3" s="1"/>
  <c r="K22" i="3"/>
  <c r="K45" i="3" s="1"/>
  <c r="K23" i="3"/>
  <c r="K46" i="3" s="1"/>
  <c r="K24" i="3"/>
  <c r="K25" i="3"/>
  <c r="K26" i="3"/>
  <c r="K49" i="3" s="1"/>
  <c r="K27" i="3"/>
  <c r="K28" i="3"/>
  <c r="K51" i="3" s="1"/>
  <c r="K30" i="3"/>
  <c r="K31" i="3"/>
  <c r="K35" i="3"/>
  <c r="K38" i="3"/>
  <c r="K42" i="3"/>
  <c r="K44" i="3"/>
  <c r="K47" i="3"/>
  <c r="K50" i="3"/>
  <c r="J19" i="3"/>
  <c r="J30" i="3" s="1"/>
  <c r="J20" i="3"/>
  <c r="J21" i="3"/>
  <c r="J32" i="3" s="1"/>
  <c r="J22" i="3"/>
  <c r="J45" i="3" s="1"/>
  <c r="J23" i="3"/>
  <c r="J46" i="3" s="1"/>
  <c r="J24" i="3"/>
  <c r="J47" i="3" s="1"/>
  <c r="J25" i="3"/>
  <c r="J26" i="3"/>
  <c r="J49" i="3" s="1"/>
  <c r="J27" i="3"/>
  <c r="J28" i="3"/>
  <c r="J39" i="3" s="1"/>
  <c r="J31" i="3"/>
  <c r="J35" i="3"/>
  <c r="J38" i="3"/>
  <c r="J42" i="3"/>
  <c r="J43" i="3"/>
  <c r="J44" i="3"/>
  <c r="J50" i="3"/>
  <c r="J51" i="3"/>
  <c r="A119" i="3"/>
  <c r="A118" i="3"/>
  <c r="A117" i="3"/>
  <c r="A116" i="3"/>
  <c r="A115" i="3"/>
  <c r="A111" i="3"/>
  <c r="A110" i="3"/>
  <c r="A109" i="3"/>
  <c r="A108" i="3"/>
  <c r="I28" i="3"/>
  <c r="I51" i="3" s="1"/>
  <c r="H28" i="3"/>
  <c r="H51" i="3" s="1"/>
  <c r="G28" i="3"/>
  <c r="G51" i="3" s="1"/>
  <c r="F28" i="3"/>
  <c r="F51" i="3" s="1"/>
  <c r="E28" i="3"/>
  <c r="E39" i="3" s="1"/>
  <c r="D28" i="3"/>
  <c r="D39" i="3" s="1"/>
  <c r="C28" i="3"/>
  <c r="C51" i="3" s="1"/>
  <c r="I27" i="3"/>
  <c r="I50" i="3" s="1"/>
  <c r="H27" i="3"/>
  <c r="H50" i="3" s="1"/>
  <c r="G27" i="3"/>
  <c r="G50" i="3" s="1"/>
  <c r="F27" i="3"/>
  <c r="F38" i="3" s="1"/>
  <c r="E27" i="3"/>
  <c r="E38" i="3" s="1"/>
  <c r="D27" i="3"/>
  <c r="D38" i="3" s="1"/>
  <c r="C27" i="3"/>
  <c r="C50" i="3" s="1"/>
  <c r="I26" i="3"/>
  <c r="I49" i="3" s="1"/>
  <c r="H26" i="3"/>
  <c r="H49" i="3" s="1"/>
  <c r="G26" i="3"/>
  <c r="G37" i="3" s="1"/>
  <c r="F26" i="3"/>
  <c r="F37" i="3" s="1"/>
  <c r="E26" i="3"/>
  <c r="E49" i="3" s="1"/>
  <c r="D26" i="3"/>
  <c r="D49" i="3" s="1"/>
  <c r="C26" i="3"/>
  <c r="C49" i="3" s="1"/>
  <c r="I25" i="3"/>
  <c r="I48" i="3" s="1"/>
  <c r="H25" i="3"/>
  <c r="H36" i="3" s="1"/>
  <c r="G25" i="3"/>
  <c r="G48" i="3" s="1"/>
  <c r="F25" i="3"/>
  <c r="F48" i="3" s="1"/>
  <c r="E25" i="3"/>
  <c r="E48" i="3" s="1"/>
  <c r="D25" i="3"/>
  <c r="D48" i="3" s="1"/>
  <c r="C25" i="3"/>
  <c r="C36" i="3" s="1"/>
  <c r="I24" i="3"/>
  <c r="H24" i="3"/>
  <c r="H47" i="3" s="1"/>
  <c r="G24" i="3"/>
  <c r="G47" i="3" s="1"/>
  <c r="F24" i="3"/>
  <c r="F47" i="3" s="1"/>
  <c r="E24" i="3"/>
  <c r="E47" i="3" s="1"/>
  <c r="D24" i="3"/>
  <c r="D35" i="3" s="1"/>
  <c r="C24" i="3"/>
  <c r="C47" i="3" s="1"/>
  <c r="I23" i="3"/>
  <c r="I46" i="3" s="1"/>
  <c r="H23" i="3"/>
  <c r="H46" i="3" s="1"/>
  <c r="G23" i="3"/>
  <c r="G46" i="3" s="1"/>
  <c r="F23" i="3"/>
  <c r="F46" i="3" s="1"/>
  <c r="E23" i="3"/>
  <c r="E34" i="3" s="1"/>
  <c r="D23" i="3"/>
  <c r="D46" i="3" s="1"/>
  <c r="C23" i="3"/>
  <c r="C46" i="3" s="1"/>
  <c r="I22" i="3"/>
  <c r="I45" i="3" s="1"/>
  <c r="H22" i="3"/>
  <c r="H45" i="3" s="1"/>
  <c r="G22" i="3"/>
  <c r="G45" i="3" s="1"/>
  <c r="F22" i="3"/>
  <c r="F33" i="3" s="1"/>
  <c r="E22" i="3"/>
  <c r="E45" i="3" s="1"/>
  <c r="D22" i="3"/>
  <c r="D45" i="3" s="1"/>
  <c r="C22" i="3"/>
  <c r="C45" i="3" s="1"/>
  <c r="I21" i="3"/>
  <c r="I44" i="3" s="1"/>
  <c r="H21" i="3"/>
  <c r="H44" i="3" s="1"/>
  <c r="G21" i="3"/>
  <c r="G32" i="3" s="1"/>
  <c r="F21" i="3"/>
  <c r="F44" i="3" s="1"/>
  <c r="E21" i="3"/>
  <c r="E44" i="3" s="1"/>
  <c r="D21" i="3"/>
  <c r="D32" i="3" s="1"/>
  <c r="C21" i="3"/>
  <c r="C44" i="3" s="1"/>
  <c r="I20" i="3"/>
  <c r="I43" i="3" s="1"/>
  <c r="H20" i="3"/>
  <c r="H31" i="3" s="1"/>
  <c r="G20" i="3"/>
  <c r="G31" i="3" s="1"/>
  <c r="F20" i="3"/>
  <c r="F31" i="3" s="1"/>
  <c r="E20" i="3"/>
  <c r="E31" i="3" s="1"/>
  <c r="D20" i="3"/>
  <c r="D43" i="3" s="1"/>
  <c r="C20" i="3"/>
  <c r="C31" i="3" s="1"/>
  <c r="I19" i="3"/>
  <c r="I42" i="3" s="1"/>
  <c r="H19" i="3"/>
  <c r="H42" i="3" s="1"/>
  <c r="G19" i="3"/>
  <c r="G42" i="3" s="1"/>
  <c r="F19" i="3"/>
  <c r="F42" i="3" s="1"/>
  <c r="E19" i="3"/>
  <c r="E42" i="3" s="1"/>
  <c r="D19" i="3"/>
  <c r="D42" i="3" s="1"/>
  <c r="C19" i="3"/>
  <c r="C42" i="3" s="1"/>
  <c r="C144" i="2"/>
  <c r="C171" i="2"/>
  <c r="C173" i="2" s="1"/>
  <c r="C154" i="2"/>
  <c r="C153" i="2"/>
  <c r="C149" i="2"/>
  <c r="C126" i="2"/>
  <c r="C124" i="2"/>
  <c r="K14" i="2"/>
  <c r="T86" i="2"/>
  <c r="A119" i="2"/>
  <c r="A118" i="2"/>
  <c r="A117" i="2"/>
  <c r="A116" i="2"/>
  <c r="A115" i="2"/>
  <c r="A111" i="2"/>
  <c r="A110" i="2"/>
  <c r="A109" i="2"/>
  <c r="A108" i="2"/>
  <c r="A121" i="2" s="1"/>
  <c r="A124" i="2" s="1"/>
  <c r="O86" i="2"/>
  <c r="M64" i="3" l="1"/>
  <c r="M78" i="3"/>
  <c r="M65" i="3"/>
  <c r="M76" i="3"/>
  <c r="M59" i="3"/>
  <c r="M82" i="3" s="1"/>
  <c r="M83" i="3" s="1"/>
  <c r="M115" i="3" s="1"/>
  <c r="M63" i="3"/>
  <c r="M75" i="3"/>
  <c r="M58" i="3"/>
  <c r="M60" i="3"/>
  <c r="M87" i="3" s="1"/>
  <c r="M62" i="3"/>
  <c r="M74" i="3"/>
  <c r="M73" i="3"/>
  <c r="M61" i="3"/>
  <c r="M70" i="3"/>
  <c r="M57" i="3"/>
  <c r="M81" i="3" s="1"/>
  <c r="M109" i="3" s="1"/>
  <c r="M66" i="3"/>
  <c r="M99" i="3" s="1"/>
  <c r="R77" i="3"/>
  <c r="R70" i="3"/>
  <c r="M71" i="3"/>
  <c r="L71" i="3"/>
  <c r="Q75" i="3"/>
  <c r="R76" i="3"/>
  <c r="R52" i="3"/>
  <c r="R54" i="3" s="1"/>
  <c r="R61" i="3" s="1"/>
  <c r="O63" i="3"/>
  <c r="O66" i="3"/>
  <c r="O99" i="3" s="1"/>
  <c r="O62" i="3"/>
  <c r="O57" i="3"/>
  <c r="O81" i="3" s="1"/>
  <c r="O109" i="3" s="1"/>
  <c r="O64" i="3"/>
  <c r="O95" i="3" s="1"/>
  <c r="O111" i="3" s="1"/>
  <c r="Q70" i="3"/>
  <c r="N63" i="3"/>
  <c r="N75" i="3"/>
  <c r="N57" i="3"/>
  <c r="N61" i="3"/>
  <c r="N64" i="3"/>
  <c r="N95" i="3" s="1"/>
  <c r="N111" i="3" s="1"/>
  <c r="N65" i="3"/>
  <c r="N67" i="3" s="1"/>
  <c r="N134" i="3" s="1"/>
  <c r="N77" i="3"/>
  <c r="N66" i="3"/>
  <c r="N99" i="3" s="1"/>
  <c r="N59" i="3"/>
  <c r="N70" i="3"/>
  <c r="N78" i="3"/>
  <c r="N58" i="3"/>
  <c r="N85" i="3" s="1"/>
  <c r="N60" i="3"/>
  <c r="N87" i="3" s="1"/>
  <c r="N62" i="3"/>
  <c r="N69" i="3"/>
  <c r="N74" i="3"/>
  <c r="N76" i="3"/>
  <c r="N73" i="3"/>
  <c r="R72" i="3"/>
  <c r="L77" i="3"/>
  <c r="Q65" i="3"/>
  <c r="Q63" i="3"/>
  <c r="Q52" i="3"/>
  <c r="Q54" i="3" s="1"/>
  <c r="Q69" i="3"/>
  <c r="L69" i="3"/>
  <c r="P52" i="3"/>
  <c r="P54" i="3" s="1"/>
  <c r="P74" i="3" s="1"/>
  <c r="R74" i="3"/>
  <c r="M72" i="3"/>
  <c r="Q74" i="3"/>
  <c r="R62" i="3"/>
  <c r="R59" i="3"/>
  <c r="R40" i="3"/>
  <c r="L52" i="3"/>
  <c r="L54" i="3" s="1"/>
  <c r="P40" i="3"/>
  <c r="O75" i="3"/>
  <c r="O65" i="3"/>
  <c r="O61" i="3"/>
  <c r="O60" i="3"/>
  <c r="O87" i="3" s="1"/>
  <c r="O59" i="3"/>
  <c r="O82" i="3" s="1"/>
  <c r="O58" i="3"/>
  <c r="O85" i="3" s="1"/>
  <c r="O71" i="3"/>
  <c r="G33" i="3"/>
  <c r="K39" i="3"/>
  <c r="M69" i="3"/>
  <c r="O76" i="3"/>
  <c r="R64" i="3"/>
  <c r="R95" i="3" s="1"/>
  <c r="R111" i="3" s="1"/>
  <c r="O74" i="3"/>
  <c r="H33" i="3"/>
  <c r="O77" i="3"/>
  <c r="O69" i="3"/>
  <c r="O79" i="3" s="1"/>
  <c r="K34" i="3"/>
  <c r="S40" i="3"/>
  <c r="O72" i="3"/>
  <c r="R58" i="3"/>
  <c r="R85" i="3" s="1"/>
  <c r="J34" i="3"/>
  <c r="O73" i="3"/>
  <c r="P66" i="3"/>
  <c r="P99" i="3" s="1"/>
  <c r="D36" i="3"/>
  <c r="O78" i="3"/>
  <c r="O70" i="3"/>
  <c r="L66" i="3"/>
  <c r="L99" i="3" s="1"/>
  <c r="L65" i="3"/>
  <c r="L62" i="3"/>
  <c r="S72" i="3"/>
  <c r="S52" i="3"/>
  <c r="S54" i="3" s="1"/>
  <c r="S57" i="3" s="1"/>
  <c r="S75" i="3"/>
  <c r="S77" i="3"/>
  <c r="S78" i="3"/>
  <c r="S73" i="3"/>
  <c r="S59" i="3"/>
  <c r="P71" i="3"/>
  <c r="K36" i="3"/>
  <c r="K48" i="3"/>
  <c r="K52" i="3" s="1"/>
  <c r="K54" i="3" s="1"/>
  <c r="M95" i="3"/>
  <c r="M111" i="3" s="1"/>
  <c r="I35" i="3"/>
  <c r="I47" i="3"/>
  <c r="I52" i="3" s="1"/>
  <c r="I54" i="3" s="1"/>
  <c r="I74" i="3" s="1"/>
  <c r="J36" i="3"/>
  <c r="J48" i="3"/>
  <c r="H35" i="3"/>
  <c r="E36" i="3"/>
  <c r="M84" i="3"/>
  <c r="H39" i="3"/>
  <c r="M85" i="3"/>
  <c r="A121" i="3"/>
  <c r="A124" i="3" s="1"/>
  <c r="S82" i="3"/>
  <c r="S81" i="3"/>
  <c r="S69" i="3"/>
  <c r="S65" i="3"/>
  <c r="S64" i="3"/>
  <c r="S62" i="3"/>
  <c r="S61" i="3"/>
  <c r="S60" i="3"/>
  <c r="K37" i="3"/>
  <c r="K33" i="3"/>
  <c r="J52" i="3"/>
  <c r="J54" i="3" s="1"/>
  <c r="J62" i="3" s="1"/>
  <c r="J75" i="3"/>
  <c r="J76" i="3"/>
  <c r="J58" i="3"/>
  <c r="J37" i="3"/>
  <c r="J33" i="3"/>
  <c r="J60" i="3" s="1"/>
  <c r="E30" i="3"/>
  <c r="G49" i="3"/>
  <c r="D31" i="3"/>
  <c r="F34" i="3"/>
  <c r="G36" i="3"/>
  <c r="E50" i="3"/>
  <c r="I31" i="3"/>
  <c r="G34" i="3"/>
  <c r="D37" i="3"/>
  <c r="D44" i="3"/>
  <c r="E51" i="3"/>
  <c r="C32" i="3"/>
  <c r="I34" i="3"/>
  <c r="I37" i="3"/>
  <c r="H32" i="3"/>
  <c r="E35" i="3"/>
  <c r="C38" i="3"/>
  <c r="F35" i="3"/>
  <c r="G38" i="3"/>
  <c r="C43" i="3"/>
  <c r="C30" i="3"/>
  <c r="I32" i="3"/>
  <c r="E37" i="3"/>
  <c r="H38" i="3"/>
  <c r="I39" i="3"/>
  <c r="G44" i="3"/>
  <c r="E46" i="3"/>
  <c r="C48" i="3"/>
  <c r="D30" i="3"/>
  <c r="I33" i="3"/>
  <c r="H34" i="3"/>
  <c r="G35" i="3"/>
  <c r="F36" i="3"/>
  <c r="H37" i="3"/>
  <c r="I38" i="3"/>
  <c r="E43" i="3"/>
  <c r="D50" i="3"/>
  <c r="F43" i="3"/>
  <c r="F30" i="3"/>
  <c r="C33" i="3"/>
  <c r="I36" i="3"/>
  <c r="G43" i="3"/>
  <c r="H48" i="3"/>
  <c r="F50" i="3"/>
  <c r="G30" i="3"/>
  <c r="E32" i="3"/>
  <c r="D33" i="3"/>
  <c r="C34" i="3"/>
  <c r="C39" i="3"/>
  <c r="H43" i="3"/>
  <c r="F45" i="3"/>
  <c r="D47" i="3"/>
  <c r="H30" i="3"/>
  <c r="F32" i="3"/>
  <c r="E33" i="3"/>
  <c r="D34" i="3"/>
  <c r="C35" i="3"/>
  <c r="F39" i="3"/>
  <c r="I30" i="3"/>
  <c r="C37" i="3"/>
  <c r="G39" i="3"/>
  <c r="F49" i="3"/>
  <c r="D51" i="3"/>
  <c r="D21" i="2"/>
  <c r="E21" i="2"/>
  <c r="F21" i="2"/>
  <c r="G21" i="2"/>
  <c r="H21" i="2"/>
  <c r="I21" i="2"/>
  <c r="J21" i="2"/>
  <c r="K21" i="2"/>
  <c r="C21" i="2"/>
  <c r="D20" i="2"/>
  <c r="E20" i="2"/>
  <c r="F20" i="2"/>
  <c r="G20" i="2"/>
  <c r="H20" i="2"/>
  <c r="I20" i="2"/>
  <c r="J20" i="2"/>
  <c r="K20" i="2"/>
  <c r="C20" i="2"/>
  <c r="K19" i="2"/>
  <c r="D19" i="2"/>
  <c r="E19" i="2"/>
  <c r="F19" i="2"/>
  <c r="G19" i="2"/>
  <c r="H19" i="2"/>
  <c r="I19" i="2"/>
  <c r="J19" i="2"/>
  <c r="C19" i="2"/>
  <c r="D28" i="2"/>
  <c r="E28" i="2"/>
  <c r="F28" i="2"/>
  <c r="G28" i="2"/>
  <c r="H28" i="2"/>
  <c r="I28" i="2"/>
  <c r="J28" i="2"/>
  <c r="K28" i="2"/>
  <c r="C28" i="2"/>
  <c r="D27" i="2"/>
  <c r="E27" i="2"/>
  <c r="F27" i="2"/>
  <c r="G27" i="2"/>
  <c r="H27" i="2"/>
  <c r="I27" i="2"/>
  <c r="J27" i="2"/>
  <c r="K27" i="2"/>
  <c r="C27" i="2"/>
  <c r="D26" i="2"/>
  <c r="E26" i="2"/>
  <c r="F26" i="2"/>
  <c r="G26" i="2"/>
  <c r="H26" i="2"/>
  <c r="I26" i="2"/>
  <c r="J26" i="2"/>
  <c r="K26" i="2"/>
  <c r="C26" i="2"/>
  <c r="D25" i="2"/>
  <c r="E25" i="2"/>
  <c r="F25" i="2"/>
  <c r="G25" i="2"/>
  <c r="H25" i="2"/>
  <c r="I25" i="2"/>
  <c r="J25" i="2"/>
  <c r="K25" i="2"/>
  <c r="C25" i="2"/>
  <c r="D24" i="2"/>
  <c r="E24" i="2"/>
  <c r="F24" i="2"/>
  <c r="G24" i="2"/>
  <c r="H24" i="2"/>
  <c r="I24" i="2"/>
  <c r="J24" i="2"/>
  <c r="K24" i="2"/>
  <c r="C24" i="2"/>
  <c r="D23" i="2"/>
  <c r="E23" i="2"/>
  <c r="F23" i="2"/>
  <c r="G23" i="2"/>
  <c r="H23" i="2"/>
  <c r="I23" i="2"/>
  <c r="J23" i="2"/>
  <c r="K23" i="2"/>
  <c r="C23" i="2"/>
  <c r="D22" i="2"/>
  <c r="E22" i="2"/>
  <c r="F22" i="2"/>
  <c r="G22" i="2"/>
  <c r="H22" i="2"/>
  <c r="I22" i="2"/>
  <c r="J22" i="2"/>
  <c r="K22" i="2"/>
  <c r="C22" i="2"/>
  <c r="P64" i="3" l="1"/>
  <c r="P95" i="3" s="1"/>
  <c r="P111" i="3" s="1"/>
  <c r="P57" i="3"/>
  <c r="P72" i="3"/>
  <c r="N79" i="3"/>
  <c r="J66" i="3"/>
  <c r="J99" i="3" s="1"/>
  <c r="P61" i="3"/>
  <c r="P60" i="3"/>
  <c r="P87" i="3" s="1"/>
  <c r="Q62" i="3"/>
  <c r="Q66" i="3"/>
  <c r="Q99" i="3" s="1"/>
  <c r="Q57" i="3"/>
  <c r="Q73" i="3"/>
  <c r="Q72" i="3"/>
  <c r="R57" i="3"/>
  <c r="J59" i="3"/>
  <c r="S63" i="3"/>
  <c r="P75" i="3"/>
  <c r="S58" i="3"/>
  <c r="S85" i="3" s="1"/>
  <c r="O83" i="3"/>
  <c r="O115" i="3" s="1"/>
  <c r="R63" i="3"/>
  <c r="P65" i="3"/>
  <c r="R60" i="3"/>
  <c r="R87" i="3" s="1"/>
  <c r="R75" i="3"/>
  <c r="R79" i="3" s="1"/>
  <c r="Q76" i="3"/>
  <c r="R78" i="3"/>
  <c r="Q77" i="3"/>
  <c r="Q71" i="3"/>
  <c r="Q79" i="3" s="1"/>
  <c r="P73" i="3"/>
  <c r="J72" i="3"/>
  <c r="O67" i="3"/>
  <c r="O134" i="3" s="1"/>
  <c r="P76" i="3"/>
  <c r="O84" i="3"/>
  <c r="O118" i="3" s="1"/>
  <c r="R65" i="3"/>
  <c r="Q78" i="3"/>
  <c r="R66" i="3"/>
  <c r="R99" i="3" s="1"/>
  <c r="N82" i="3"/>
  <c r="N81" i="3"/>
  <c r="Q59" i="3"/>
  <c r="Q82" i="3" s="1"/>
  <c r="M67" i="3"/>
  <c r="M134" i="3" s="1"/>
  <c r="R71" i="3"/>
  <c r="R73" i="3"/>
  <c r="P59" i="3"/>
  <c r="P69" i="3"/>
  <c r="P79" i="3" s="1"/>
  <c r="P77" i="3"/>
  <c r="P58" i="3"/>
  <c r="P85" i="3" s="1"/>
  <c r="P63" i="3"/>
  <c r="Q58" i="3"/>
  <c r="Q85" i="3" s="1"/>
  <c r="Q61" i="3"/>
  <c r="J64" i="3"/>
  <c r="S66" i="3"/>
  <c r="J63" i="3"/>
  <c r="P70" i="3"/>
  <c r="P78" i="3"/>
  <c r="S76" i="3"/>
  <c r="S74" i="3"/>
  <c r="P62" i="3"/>
  <c r="L73" i="3"/>
  <c r="L63" i="3"/>
  <c r="L58" i="3"/>
  <c r="L85" i="3" s="1"/>
  <c r="L60" i="3"/>
  <c r="L87" i="3" s="1"/>
  <c r="L74" i="3"/>
  <c r="L72" i="3"/>
  <c r="L57" i="3"/>
  <c r="L59" i="3"/>
  <c r="L78" i="3"/>
  <c r="L75" i="3"/>
  <c r="L64" i="3"/>
  <c r="L95" i="3" s="1"/>
  <c r="L111" i="3" s="1"/>
  <c r="L61" i="3"/>
  <c r="L70" i="3"/>
  <c r="L79" i="3" s="1"/>
  <c r="L76" i="3"/>
  <c r="Q60" i="3"/>
  <c r="Q87" i="3" s="1"/>
  <c r="R69" i="3"/>
  <c r="Q64" i="3"/>
  <c r="Q95" i="3" s="1"/>
  <c r="Q111" i="3" s="1"/>
  <c r="M79" i="3"/>
  <c r="K71" i="3"/>
  <c r="K63" i="3"/>
  <c r="K70" i="3"/>
  <c r="S67" i="3"/>
  <c r="S134" i="3" s="1"/>
  <c r="E52" i="3"/>
  <c r="E54" i="3" s="1"/>
  <c r="E63" i="3" s="1"/>
  <c r="J71" i="3"/>
  <c r="M88" i="3"/>
  <c r="M92" i="3" s="1"/>
  <c r="M118" i="3"/>
  <c r="P67" i="3"/>
  <c r="P134" i="3" s="1"/>
  <c r="O88" i="3"/>
  <c r="O92" i="3" s="1"/>
  <c r="I64" i="3"/>
  <c r="S70" i="3"/>
  <c r="S71" i="3"/>
  <c r="S84" i="3"/>
  <c r="S118" i="3" s="1"/>
  <c r="S109" i="3"/>
  <c r="S83" i="3"/>
  <c r="S95" i="3"/>
  <c r="S111" i="3" s="1"/>
  <c r="S87" i="3"/>
  <c r="S99" i="3"/>
  <c r="K60" i="3"/>
  <c r="K58" i="3"/>
  <c r="K65" i="3"/>
  <c r="K62" i="3"/>
  <c r="K64" i="3"/>
  <c r="K61" i="3"/>
  <c r="K78" i="3"/>
  <c r="K69" i="3"/>
  <c r="K73" i="3"/>
  <c r="K77" i="3"/>
  <c r="K75" i="3"/>
  <c r="K66" i="3"/>
  <c r="K57" i="3"/>
  <c r="K40" i="3"/>
  <c r="K76" i="3"/>
  <c r="K74" i="3"/>
  <c r="K59" i="3"/>
  <c r="K72" i="3"/>
  <c r="J87" i="3"/>
  <c r="J85" i="3"/>
  <c r="J40" i="3"/>
  <c r="J95" i="3"/>
  <c r="J111" i="3" s="1"/>
  <c r="J69" i="3"/>
  <c r="J73" i="3"/>
  <c r="J77" i="3"/>
  <c r="J57" i="3"/>
  <c r="J61" i="3"/>
  <c r="J65" i="3"/>
  <c r="J70" i="3"/>
  <c r="J74" i="3"/>
  <c r="J78" i="3"/>
  <c r="E57" i="3"/>
  <c r="E76" i="3"/>
  <c r="E72" i="3"/>
  <c r="I71" i="3"/>
  <c r="E60" i="3"/>
  <c r="E87" i="3" s="1"/>
  <c r="G52" i="3"/>
  <c r="G54" i="3" s="1"/>
  <c r="G69" i="3" s="1"/>
  <c r="D52" i="3"/>
  <c r="D54" i="3" s="1"/>
  <c r="D62" i="3" s="1"/>
  <c r="I58" i="3"/>
  <c r="I85" i="3" s="1"/>
  <c r="I72" i="3"/>
  <c r="I63" i="3"/>
  <c r="I73" i="3"/>
  <c r="E59" i="3"/>
  <c r="I65" i="3"/>
  <c r="I69" i="3"/>
  <c r="D40" i="3"/>
  <c r="E74" i="3"/>
  <c r="E61" i="3"/>
  <c r="E78" i="3"/>
  <c r="C52" i="3"/>
  <c r="C54" i="3" s="1"/>
  <c r="C62" i="3" s="1"/>
  <c r="G40" i="3"/>
  <c r="E66" i="3"/>
  <c r="E73" i="3"/>
  <c r="E75" i="3"/>
  <c r="F40" i="3"/>
  <c r="I59" i="3"/>
  <c r="I78" i="3"/>
  <c r="I61" i="3"/>
  <c r="I75" i="3"/>
  <c r="I66" i="3"/>
  <c r="I60" i="3"/>
  <c r="E71" i="3"/>
  <c r="I70" i="3"/>
  <c r="F52" i="3"/>
  <c r="F54" i="3" s="1"/>
  <c r="F59" i="3" s="1"/>
  <c r="H52" i="3"/>
  <c r="H54" i="3" s="1"/>
  <c r="H70" i="3" s="1"/>
  <c r="I62" i="3"/>
  <c r="I95" i="3"/>
  <c r="I111" i="3" s="1"/>
  <c r="H40" i="3"/>
  <c r="H57" i="3"/>
  <c r="I57" i="3"/>
  <c r="I40" i="3"/>
  <c r="E40" i="3"/>
  <c r="I76" i="3"/>
  <c r="E64" i="3"/>
  <c r="C40" i="3"/>
  <c r="I77" i="3"/>
  <c r="E77" i="3"/>
  <c r="C42" i="2"/>
  <c r="C31" i="2"/>
  <c r="C43" i="2"/>
  <c r="C32" i="2"/>
  <c r="C33" i="2"/>
  <c r="C46" i="2"/>
  <c r="C47" i="2"/>
  <c r="C48" i="2"/>
  <c r="C49" i="2"/>
  <c r="C51" i="2"/>
  <c r="C34" i="2"/>
  <c r="C35" i="2"/>
  <c r="C37" i="2"/>
  <c r="F31" i="2"/>
  <c r="F44" i="2"/>
  <c r="F45" i="2"/>
  <c r="F47" i="2"/>
  <c r="F48" i="2"/>
  <c r="F37" i="2"/>
  <c r="F49" i="2"/>
  <c r="F51" i="2"/>
  <c r="F33" i="2"/>
  <c r="F35" i="2"/>
  <c r="F39" i="2"/>
  <c r="D30" i="2"/>
  <c r="H30" i="2"/>
  <c r="I30" i="2"/>
  <c r="J30" i="2"/>
  <c r="K42" i="2"/>
  <c r="D43" i="2"/>
  <c r="E31" i="2"/>
  <c r="I31" i="2"/>
  <c r="K31" i="2"/>
  <c r="D44" i="2"/>
  <c r="E44" i="2"/>
  <c r="G44" i="2"/>
  <c r="H44" i="2"/>
  <c r="D33" i="2"/>
  <c r="E45" i="2"/>
  <c r="G33" i="2"/>
  <c r="H33" i="2"/>
  <c r="K33" i="2"/>
  <c r="D34" i="2"/>
  <c r="E34" i="2"/>
  <c r="G46" i="2"/>
  <c r="H46" i="2"/>
  <c r="I34" i="2"/>
  <c r="E35" i="2"/>
  <c r="G35" i="2"/>
  <c r="H47" i="2"/>
  <c r="I47" i="2"/>
  <c r="J35" i="2"/>
  <c r="K35" i="2"/>
  <c r="E48" i="2"/>
  <c r="H36" i="2"/>
  <c r="I48" i="2"/>
  <c r="J36" i="2"/>
  <c r="K48" i="2"/>
  <c r="G37" i="2"/>
  <c r="H49" i="2"/>
  <c r="I37" i="2"/>
  <c r="J49" i="2"/>
  <c r="H50" i="2"/>
  <c r="I50" i="2"/>
  <c r="J38" i="2"/>
  <c r="K50" i="2"/>
  <c r="E39" i="2"/>
  <c r="I39" i="2"/>
  <c r="J39" i="2"/>
  <c r="K39" i="2"/>
  <c r="E30" i="2"/>
  <c r="G30" i="2"/>
  <c r="K30" i="2"/>
  <c r="D31" i="2"/>
  <c r="G31" i="2"/>
  <c r="H31" i="2"/>
  <c r="D32" i="2"/>
  <c r="E32" i="2"/>
  <c r="H32" i="2"/>
  <c r="I32" i="2"/>
  <c r="J32" i="2"/>
  <c r="E33" i="2"/>
  <c r="I33" i="2"/>
  <c r="J33" i="2"/>
  <c r="G34" i="2"/>
  <c r="J34" i="2"/>
  <c r="K34" i="2"/>
  <c r="D35" i="2"/>
  <c r="H35" i="2"/>
  <c r="D36" i="2"/>
  <c r="E36" i="2"/>
  <c r="I36" i="2"/>
  <c r="D37" i="2"/>
  <c r="E37" i="2"/>
  <c r="D38" i="2"/>
  <c r="E38" i="2"/>
  <c r="G38" i="2"/>
  <c r="H38" i="2"/>
  <c r="I38" i="2"/>
  <c r="K38" i="2"/>
  <c r="G39" i="2"/>
  <c r="H39" i="2"/>
  <c r="E42" i="2"/>
  <c r="G42" i="2"/>
  <c r="H42" i="2"/>
  <c r="G43" i="2"/>
  <c r="H43" i="2"/>
  <c r="I44" i="2"/>
  <c r="J44" i="2"/>
  <c r="D45" i="2"/>
  <c r="G45" i="2"/>
  <c r="I45" i="2"/>
  <c r="J45" i="2"/>
  <c r="I46" i="2"/>
  <c r="J46" i="2"/>
  <c r="K46" i="2"/>
  <c r="D47" i="2"/>
  <c r="K47" i="2"/>
  <c r="D48" i="2"/>
  <c r="J48" i="2"/>
  <c r="D49" i="2"/>
  <c r="E49" i="2"/>
  <c r="G49" i="2"/>
  <c r="D50" i="2"/>
  <c r="E50" i="2"/>
  <c r="G50" i="2"/>
  <c r="G51" i="2"/>
  <c r="H51" i="2"/>
  <c r="I51" i="2"/>
  <c r="J51" i="2"/>
  <c r="N84" i="3" l="1"/>
  <c r="N109" i="3"/>
  <c r="N83" i="3"/>
  <c r="N115" i="3" s="1"/>
  <c r="R82" i="3"/>
  <c r="R81" i="3"/>
  <c r="R67" i="3"/>
  <c r="R134" i="3" s="1"/>
  <c r="N118" i="3"/>
  <c r="Q81" i="3"/>
  <c r="Q67" i="3"/>
  <c r="Q134" i="3" s="1"/>
  <c r="P82" i="3"/>
  <c r="P81" i="3"/>
  <c r="D57" i="3"/>
  <c r="E58" i="3"/>
  <c r="E85" i="3" s="1"/>
  <c r="G78" i="3"/>
  <c r="E69" i="3"/>
  <c r="E79" i="3" s="1"/>
  <c r="D59" i="3"/>
  <c r="S79" i="3"/>
  <c r="E70" i="3"/>
  <c r="G63" i="3"/>
  <c r="E62" i="3"/>
  <c r="E65" i="3"/>
  <c r="D76" i="3"/>
  <c r="L81" i="3"/>
  <c r="L82" i="3"/>
  <c r="L67" i="3"/>
  <c r="L134" i="3" s="1"/>
  <c r="D61" i="3"/>
  <c r="D70" i="3"/>
  <c r="D77" i="3"/>
  <c r="D72" i="3"/>
  <c r="D79" i="3" s="1"/>
  <c r="E67" i="3"/>
  <c r="E134" i="3" s="1"/>
  <c r="D78" i="3"/>
  <c r="D60" i="3"/>
  <c r="D75" i="3"/>
  <c r="J79" i="3"/>
  <c r="K79" i="3"/>
  <c r="D65" i="3"/>
  <c r="D66" i="3"/>
  <c r="D67" i="3" s="1"/>
  <c r="D134" i="3" s="1"/>
  <c r="D58" i="3"/>
  <c r="F72" i="3"/>
  <c r="D74" i="3"/>
  <c r="F76" i="3"/>
  <c r="D71" i="3"/>
  <c r="D64" i="3"/>
  <c r="D95" i="3" s="1"/>
  <c r="D111" i="3" s="1"/>
  <c r="D69" i="3"/>
  <c r="D63" i="3"/>
  <c r="D73" i="3"/>
  <c r="O89" i="3"/>
  <c r="M89" i="3"/>
  <c r="S115" i="3"/>
  <c r="S88" i="3"/>
  <c r="S92" i="3" s="1"/>
  <c r="K82" i="3"/>
  <c r="K67" i="3"/>
  <c r="K134" i="3" s="1"/>
  <c r="K81" i="3"/>
  <c r="K99" i="3"/>
  <c r="K95" i="3"/>
  <c r="K111" i="3" s="1"/>
  <c r="K85" i="3"/>
  <c r="K87" i="3"/>
  <c r="J82" i="3"/>
  <c r="J67" i="3"/>
  <c r="J134" i="3" s="1"/>
  <c r="J81" i="3"/>
  <c r="G61" i="3"/>
  <c r="G60" i="3"/>
  <c r="G87" i="3" s="1"/>
  <c r="G70" i="3"/>
  <c r="G62" i="3"/>
  <c r="H64" i="3"/>
  <c r="H95" i="3" s="1"/>
  <c r="H111" i="3" s="1"/>
  <c r="G59" i="3"/>
  <c r="G73" i="3"/>
  <c r="G72" i="3"/>
  <c r="C60" i="3"/>
  <c r="G76" i="3"/>
  <c r="I79" i="3"/>
  <c r="F57" i="3"/>
  <c r="F81" i="3" s="1"/>
  <c r="G64" i="3"/>
  <c r="G95" i="3" s="1"/>
  <c r="G111" i="3" s="1"/>
  <c r="G74" i="3"/>
  <c r="G66" i="3"/>
  <c r="G99" i="3" s="1"/>
  <c r="G71" i="3"/>
  <c r="F66" i="3"/>
  <c r="F99" i="3" s="1"/>
  <c r="F77" i="3"/>
  <c r="G57" i="3"/>
  <c r="G82" i="3" s="1"/>
  <c r="G58" i="3"/>
  <c r="G85" i="3" s="1"/>
  <c r="E82" i="3"/>
  <c r="C61" i="3"/>
  <c r="C64" i="3"/>
  <c r="C95" i="3" s="1"/>
  <c r="H61" i="3"/>
  <c r="G65" i="3"/>
  <c r="G75" i="3"/>
  <c r="E81" i="3"/>
  <c r="C57" i="3"/>
  <c r="C82" i="3" s="1"/>
  <c r="F63" i="3"/>
  <c r="G77" i="3"/>
  <c r="E95" i="3"/>
  <c r="E111" i="3" s="1"/>
  <c r="H81" i="3"/>
  <c r="H65" i="3"/>
  <c r="I99" i="3"/>
  <c r="E99" i="3"/>
  <c r="I81" i="3"/>
  <c r="I67" i="3"/>
  <c r="I134" i="3" s="1"/>
  <c r="I82" i="3"/>
  <c r="I87" i="3"/>
  <c r="H75" i="3"/>
  <c r="D82" i="3"/>
  <c r="D81" i="3"/>
  <c r="D99" i="3"/>
  <c r="G81" i="3"/>
  <c r="C63" i="3"/>
  <c r="C76" i="3"/>
  <c r="C65" i="3"/>
  <c r="C69" i="3"/>
  <c r="C71" i="3"/>
  <c r="C59" i="3"/>
  <c r="C58" i="3"/>
  <c r="C73" i="3"/>
  <c r="C74" i="3"/>
  <c r="C77" i="3"/>
  <c r="C78" i="3"/>
  <c r="C72" i="3"/>
  <c r="D87" i="3"/>
  <c r="C87" i="3"/>
  <c r="H72" i="3"/>
  <c r="H62" i="3"/>
  <c r="H78" i="3"/>
  <c r="H77" i="3"/>
  <c r="H73" i="3"/>
  <c r="H66" i="3"/>
  <c r="H69" i="3"/>
  <c r="H59" i="3"/>
  <c r="H63" i="3"/>
  <c r="H74" i="3"/>
  <c r="H60" i="3"/>
  <c r="H76" i="3"/>
  <c r="H71" i="3"/>
  <c r="H58" i="3"/>
  <c r="F78" i="3"/>
  <c r="F75" i="3"/>
  <c r="F69" i="3"/>
  <c r="F74" i="3"/>
  <c r="F65" i="3"/>
  <c r="F60" i="3"/>
  <c r="F58" i="3"/>
  <c r="F71" i="3"/>
  <c r="F64" i="3"/>
  <c r="F61" i="3"/>
  <c r="F73" i="3"/>
  <c r="F62" i="3"/>
  <c r="F70" i="3"/>
  <c r="C66" i="3"/>
  <c r="C70" i="3"/>
  <c r="C75" i="3"/>
  <c r="E109" i="3"/>
  <c r="D85" i="3"/>
  <c r="D46" i="2"/>
  <c r="K36" i="2"/>
  <c r="G47" i="2"/>
  <c r="K45" i="2"/>
  <c r="K43" i="2"/>
  <c r="D42" i="2"/>
  <c r="C36" i="2"/>
  <c r="E46" i="2"/>
  <c r="J47" i="2"/>
  <c r="F32" i="2"/>
  <c r="E51" i="2"/>
  <c r="E47" i="2"/>
  <c r="I43" i="2"/>
  <c r="G32" i="2"/>
  <c r="C45" i="2"/>
  <c r="H48" i="2"/>
  <c r="H52" i="2" s="1"/>
  <c r="H54" i="2" s="1"/>
  <c r="H45" i="2"/>
  <c r="H37" i="2"/>
  <c r="J50" i="2"/>
  <c r="K51" i="2"/>
  <c r="J42" i="2"/>
  <c r="D39" i="2"/>
  <c r="D51" i="2"/>
  <c r="E40" i="2"/>
  <c r="F38" i="2"/>
  <c r="F50" i="2"/>
  <c r="K37" i="2"/>
  <c r="K49" i="2"/>
  <c r="D52" i="2"/>
  <c r="D54" i="2" s="1"/>
  <c r="D72" i="2" s="1"/>
  <c r="C38" i="2"/>
  <c r="C50" i="2"/>
  <c r="G36" i="2"/>
  <c r="G48" i="2"/>
  <c r="K44" i="2"/>
  <c r="K32" i="2"/>
  <c r="J43" i="2"/>
  <c r="J31" i="2"/>
  <c r="F30" i="2"/>
  <c r="F42" i="2"/>
  <c r="I42" i="2"/>
  <c r="F34" i="2"/>
  <c r="F46" i="2"/>
  <c r="I49" i="2"/>
  <c r="E43" i="2"/>
  <c r="F36" i="2"/>
  <c r="C44" i="2"/>
  <c r="H34" i="2"/>
  <c r="I35" i="2"/>
  <c r="F43" i="2"/>
  <c r="C30" i="2"/>
  <c r="J37" i="2"/>
  <c r="C39" i="2"/>
  <c r="R109" i="3" l="1"/>
  <c r="R84" i="3"/>
  <c r="R83" i="3"/>
  <c r="R115" i="3" s="1"/>
  <c r="L83" i="3"/>
  <c r="L84" i="3"/>
  <c r="L109" i="3"/>
  <c r="P84" i="3"/>
  <c r="P109" i="3"/>
  <c r="P83" i="3"/>
  <c r="C81" i="3"/>
  <c r="C109" i="3" s="1"/>
  <c r="N88" i="3"/>
  <c r="N89" i="3"/>
  <c r="F82" i="3"/>
  <c r="Q109" i="3"/>
  <c r="Q84" i="3"/>
  <c r="Q83" i="3"/>
  <c r="Q115" i="3" s="1"/>
  <c r="M93" i="3"/>
  <c r="M90" i="3"/>
  <c r="M94" i="3" s="1"/>
  <c r="G79" i="3"/>
  <c r="E84" i="3"/>
  <c r="E118" i="3" s="1"/>
  <c r="G67" i="3"/>
  <c r="G134" i="3" s="1"/>
  <c r="O93" i="3"/>
  <c r="O119" i="3" s="1"/>
  <c r="O90" i="3"/>
  <c r="O94" i="3" s="1"/>
  <c r="S89" i="3"/>
  <c r="K109" i="3"/>
  <c r="K83" i="3"/>
  <c r="K84" i="3"/>
  <c r="K118" i="3" s="1"/>
  <c r="J84" i="3"/>
  <c r="J118" i="3" s="1"/>
  <c r="J83" i="3"/>
  <c r="J109" i="3"/>
  <c r="C79" i="3"/>
  <c r="E83" i="3"/>
  <c r="H109" i="3"/>
  <c r="F79" i="3"/>
  <c r="H79" i="3"/>
  <c r="G109" i="3"/>
  <c r="G84" i="3"/>
  <c r="G83" i="3"/>
  <c r="F109" i="3"/>
  <c r="F83" i="3"/>
  <c r="F84" i="3"/>
  <c r="D109" i="3"/>
  <c r="D83" i="3"/>
  <c r="D84" i="3"/>
  <c r="D118" i="3" s="1"/>
  <c r="C111" i="3"/>
  <c r="C99" i="3"/>
  <c r="H85" i="3"/>
  <c r="H99" i="3"/>
  <c r="C85" i="3"/>
  <c r="H87" i="3"/>
  <c r="I109" i="3"/>
  <c r="I83" i="3"/>
  <c r="I84" i="3"/>
  <c r="I118" i="3" s="1"/>
  <c r="F85" i="3"/>
  <c r="C67" i="3"/>
  <c r="C134" i="3" s="1"/>
  <c r="H67" i="3"/>
  <c r="H134" i="3" s="1"/>
  <c r="F67" i="3"/>
  <c r="F134" i="3" s="1"/>
  <c r="F95" i="3"/>
  <c r="F111" i="3" s="1"/>
  <c r="E88" i="3"/>
  <c r="E92" i="3" s="1"/>
  <c r="F87" i="3"/>
  <c r="C84" i="3"/>
  <c r="C83" i="3"/>
  <c r="H82" i="3"/>
  <c r="C52" i="2"/>
  <c r="C54" i="2" s="1"/>
  <c r="C69" i="2" s="1"/>
  <c r="G40" i="2"/>
  <c r="E52" i="2"/>
  <c r="E54" i="2" s="1"/>
  <c r="E71" i="2" s="1"/>
  <c r="H69" i="2"/>
  <c r="H62" i="2"/>
  <c r="H63" i="2"/>
  <c r="H77" i="2"/>
  <c r="H73" i="2"/>
  <c r="H59" i="2"/>
  <c r="H58" i="2"/>
  <c r="H85" i="2" s="1"/>
  <c r="H70" i="2"/>
  <c r="H65" i="2"/>
  <c r="H78" i="2"/>
  <c r="H64" i="2"/>
  <c r="H95" i="2" s="1"/>
  <c r="H111" i="2" s="1"/>
  <c r="H76" i="2"/>
  <c r="H71" i="2"/>
  <c r="H57" i="2"/>
  <c r="H81" i="2" s="1"/>
  <c r="H60" i="2"/>
  <c r="H87" i="2" s="1"/>
  <c r="H72" i="2"/>
  <c r="H66" i="2"/>
  <c r="H99" i="2" s="1"/>
  <c r="H74" i="2"/>
  <c r="D65" i="2"/>
  <c r="D61" i="2"/>
  <c r="H61" i="2"/>
  <c r="D71" i="2"/>
  <c r="H75" i="2"/>
  <c r="J52" i="2"/>
  <c r="J54" i="2" s="1"/>
  <c r="J74" i="2" s="1"/>
  <c r="I52" i="2"/>
  <c r="I54" i="2" s="1"/>
  <c r="I69" i="2" s="1"/>
  <c r="D64" i="2"/>
  <c r="D59" i="2"/>
  <c r="D74" i="2"/>
  <c r="D58" i="2"/>
  <c r="D62" i="2"/>
  <c r="D69" i="2"/>
  <c r="D60" i="2"/>
  <c r="D63" i="2"/>
  <c r="D76" i="2"/>
  <c r="D75" i="2"/>
  <c r="F52" i="2"/>
  <c r="F54" i="2" s="1"/>
  <c r="F73" i="2" s="1"/>
  <c r="G52" i="2"/>
  <c r="G54" i="2" s="1"/>
  <c r="G63" i="2" s="1"/>
  <c r="D77" i="2"/>
  <c r="F40" i="2"/>
  <c r="D73" i="2"/>
  <c r="K52" i="2"/>
  <c r="K54" i="2" s="1"/>
  <c r="K64" i="2" s="1"/>
  <c r="D70" i="2"/>
  <c r="C40" i="2"/>
  <c r="I40" i="2"/>
  <c r="D78" i="2"/>
  <c r="D66" i="2"/>
  <c r="J40" i="2"/>
  <c r="K40" i="2"/>
  <c r="H40" i="2"/>
  <c r="D57" i="2"/>
  <c r="D40" i="2"/>
  <c r="Q88" i="3" l="1"/>
  <c r="Q92" i="3" s="1"/>
  <c r="Q89" i="3"/>
  <c r="Q118" i="3"/>
  <c r="L118" i="3"/>
  <c r="L88" i="3"/>
  <c r="L89" i="3"/>
  <c r="L93" i="3" s="1"/>
  <c r="N93" i="3"/>
  <c r="N119" i="3" s="1"/>
  <c r="L115" i="3"/>
  <c r="N92" i="3"/>
  <c r="N90" i="3"/>
  <c r="P118" i="3"/>
  <c r="R118" i="3"/>
  <c r="R88" i="3"/>
  <c r="E115" i="3"/>
  <c r="P115" i="3"/>
  <c r="O91" i="3"/>
  <c r="M96" i="3"/>
  <c r="M98" i="3" s="1"/>
  <c r="M100" i="3" s="1"/>
  <c r="O96" i="3"/>
  <c r="O98" i="3" s="1"/>
  <c r="O100" i="3" s="1"/>
  <c r="L119" i="3"/>
  <c r="M119" i="3"/>
  <c r="M91" i="3"/>
  <c r="S93" i="3"/>
  <c r="S119" i="3" s="1"/>
  <c r="S90" i="3"/>
  <c r="K115" i="3"/>
  <c r="K88" i="3"/>
  <c r="K92" i="3" s="1"/>
  <c r="J88" i="3"/>
  <c r="J92" i="3" s="1"/>
  <c r="J115" i="3"/>
  <c r="F88" i="3"/>
  <c r="F92" i="3" s="1"/>
  <c r="I115" i="3"/>
  <c r="C115" i="3"/>
  <c r="F115" i="3"/>
  <c r="G88" i="3"/>
  <c r="G92" i="3" s="1"/>
  <c r="G118" i="3"/>
  <c r="D115" i="3"/>
  <c r="H83" i="3"/>
  <c r="F118" i="3"/>
  <c r="C118" i="3"/>
  <c r="E89" i="3"/>
  <c r="E90" i="3" s="1"/>
  <c r="E94" i="3" s="1"/>
  <c r="D88" i="3"/>
  <c r="D92" i="3" s="1"/>
  <c r="C88" i="3"/>
  <c r="C89" i="3" s="1"/>
  <c r="I88" i="3"/>
  <c r="I92" i="3" s="1"/>
  <c r="G115" i="3"/>
  <c r="H84" i="3"/>
  <c r="E74" i="2"/>
  <c r="E77" i="2"/>
  <c r="E61" i="2"/>
  <c r="C63" i="2"/>
  <c r="C57" i="2"/>
  <c r="C62" i="2"/>
  <c r="C61" i="2"/>
  <c r="C64" i="2"/>
  <c r="C95" i="2" s="1"/>
  <c r="C78" i="2"/>
  <c r="C72" i="2"/>
  <c r="C73" i="2"/>
  <c r="E59" i="2"/>
  <c r="E62" i="2"/>
  <c r="E66" i="2"/>
  <c r="E99" i="2" s="1"/>
  <c r="E65" i="2"/>
  <c r="E70" i="2"/>
  <c r="E64" i="2"/>
  <c r="E95" i="2" s="1"/>
  <c r="E111" i="2" s="1"/>
  <c r="E58" i="2"/>
  <c r="E69" i="2"/>
  <c r="E73" i="2"/>
  <c r="E57" i="2"/>
  <c r="E81" i="2" s="1"/>
  <c r="E72" i="2"/>
  <c r="E75" i="2"/>
  <c r="E78" i="2"/>
  <c r="E76" i="2"/>
  <c r="E63" i="2"/>
  <c r="E60" i="2"/>
  <c r="E87" i="2" s="1"/>
  <c r="C59" i="2"/>
  <c r="H82" i="2"/>
  <c r="H84" i="2" s="1"/>
  <c r="H118" i="2" s="1"/>
  <c r="C65" i="2"/>
  <c r="C74" i="2"/>
  <c r="C71" i="2"/>
  <c r="C77" i="2"/>
  <c r="C58" i="2"/>
  <c r="C70" i="2"/>
  <c r="C75" i="2"/>
  <c r="C60" i="2"/>
  <c r="C87" i="2" s="1"/>
  <c r="O87" i="2" s="1"/>
  <c r="C66" i="2"/>
  <c r="C99" i="2" s="1"/>
  <c r="O99" i="2" s="1"/>
  <c r="F63" i="2"/>
  <c r="K76" i="2"/>
  <c r="F77" i="2"/>
  <c r="H79" i="2"/>
  <c r="J60" i="2"/>
  <c r="J87" i="2" s="1"/>
  <c r="F65" i="2"/>
  <c r="K71" i="2"/>
  <c r="J65" i="2"/>
  <c r="F61" i="2"/>
  <c r="I76" i="2"/>
  <c r="J69" i="2"/>
  <c r="H67" i="2"/>
  <c r="H134" i="2" s="1"/>
  <c r="F57" i="2"/>
  <c r="F81" i="2" s="1"/>
  <c r="C76" i="2"/>
  <c r="J66" i="2"/>
  <c r="J99" i="2" s="1"/>
  <c r="J57" i="2"/>
  <c r="J58" i="2"/>
  <c r="J85" i="2" s="1"/>
  <c r="J64" i="2"/>
  <c r="J95" i="2" s="1"/>
  <c r="J111" i="2" s="1"/>
  <c r="J62" i="2"/>
  <c r="J72" i="2"/>
  <c r="J59" i="2"/>
  <c r="J75" i="2"/>
  <c r="J63" i="2"/>
  <c r="F70" i="2"/>
  <c r="J70" i="2"/>
  <c r="F69" i="2"/>
  <c r="J71" i="2"/>
  <c r="J78" i="2"/>
  <c r="J77" i="2"/>
  <c r="J61" i="2"/>
  <c r="J76" i="2"/>
  <c r="J73" i="2"/>
  <c r="D79" i="2"/>
  <c r="I58" i="2"/>
  <c r="I64" i="2"/>
  <c r="I78" i="2"/>
  <c r="I70" i="2"/>
  <c r="I72" i="2"/>
  <c r="I66" i="2"/>
  <c r="I71" i="2"/>
  <c r="I73" i="2"/>
  <c r="I77" i="2"/>
  <c r="I75" i="2"/>
  <c r="I60" i="2"/>
  <c r="I57" i="2"/>
  <c r="I61" i="2"/>
  <c r="I63" i="2"/>
  <c r="I59" i="2"/>
  <c r="I74" i="2"/>
  <c r="I65" i="2"/>
  <c r="D81" i="2"/>
  <c r="D67" i="2"/>
  <c r="D134" i="2" s="1"/>
  <c r="D82" i="2"/>
  <c r="K95" i="2"/>
  <c r="K111" i="2" s="1"/>
  <c r="H109" i="2"/>
  <c r="G62" i="2"/>
  <c r="G69" i="2"/>
  <c r="G73" i="2"/>
  <c r="G61" i="2"/>
  <c r="G59" i="2"/>
  <c r="G77" i="2"/>
  <c r="G66" i="2"/>
  <c r="G58" i="2"/>
  <c r="G57" i="2"/>
  <c r="G74" i="2"/>
  <c r="G65" i="2"/>
  <c r="G78" i="2"/>
  <c r="G71" i="2"/>
  <c r="G60" i="2"/>
  <c r="G76" i="2"/>
  <c r="G64" i="2"/>
  <c r="G70" i="2"/>
  <c r="G72" i="2"/>
  <c r="D85" i="2"/>
  <c r="D99" i="2"/>
  <c r="K58" i="2"/>
  <c r="K73" i="2"/>
  <c r="K77" i="2"/>
  <c r="K78" i="2"/>
  <c r="K66" i="2"/>
  <c r="K69" i="2"/>
  <c r="K63" i="2"/>
  <c r="K60" i="2"/>
  <c r="K65" i="2"/>
  <c r="K75" i="2"/>
  <c r="K57" i="2"/>
  <c r="K62" i="2"/>
  <c r="K72" i="2"/>
  <c r="K70" i="2"/>
  <c r="K74" i="2"/>
  <c r="K61" i="2"/>
  <c r="G75" i="2"/>
  <c r="F62" i="2"/>
  <c r="F78" i="2"/>
  <c r="F74" i="2"/>
  <c r="F76" i="2"/>
  <c r="F71" i="2"/>
  <c r="F75" i="2"/>
  <c r="F66" i="2"/>
  <c r="F64" i="2"/>
  <c r="F60" i="2"/>
  <c r="F72" i="2"/>
  <c r="F59" i="2"/>
  <c r="F58" i="2"/>
  <c r="D95" i="2"/>
  <c r="D111" i="2" s="1"/>
  <c r="I62" i="2"/>
  <c r="D87" i="2"/>
  <c r="K59" i="2"/>
  <c r="P92" i="3" l="1"/>
  <c r="P89" i="3"/>
  <c r="P93" i="3" s="1"/>
  <c r="L92" i="3"/>
  <c r="L90" i="3"/>
  <c r="L94" i="3" s="1"/>
  <c r="R92" i="3"/>
  <c r="R89" i="3"/>
  <c r="R93" i="3" s="1"/>
  <c r="N91" i="3"/>
  <c r="N94" i="3"/>
  <c r="N96" i="3"/>
  <c r="N98" i="3" s="1"/>
  <c r="N100" i="3" s="1"/>
  <c r="N97" i="3"/>
  <c r="Q90" i="3"/>
  <c r="Q93" i="3"/>
  <c r="Q119" i="3"/>
  <c r="R90" i="3"/>
  <c r="R91" i="3" s="1"/>
  <c r="J89" i="3"/>
  <c r="M97" i="3"/>
  <c r="M101" i="3" s="1"/>
  <c r="O97" i="3"/>
  <c r="O101" i="3" s="1"/>
  <c r="K89" i="3"/>
  <c r="K93" i="3" s="1"/>
  <c r="K119" i="3" s="1"/>
  <c r="S94" i="3"/>
  <c r="S91" i="3"/>
  <c r="J93" i="3"/>
  <c r="J119" i="3"/>
  <c r="J90" i="3"/>
  <c r="J94" i="3" s="1"/>
  <c r="J96" i="3" s="1"/>
  <c r="J98" i="3" s="1"/>
  <c r="J100" i="3" s="1"/>
  <c r="G89" i="3"/>
  <c r="G90" i="3" s="1"/>
  <c r="C93" i="3"/>
  <c r="E93" i="3"/>
  <c r="C92" i="3"/>
  <c r="E91" i="3"/>
  <c r="F89" i="3"/>
  <c r="H88" i="3"/>
  <c r="H92" i="3" s="1"/>
  <c r="H115" i="3"/>
  <c r="F90" i="3"/>
  <c r="F94" i="3" s="1"/>
  <c r="C90" i="3"/>
  <c r="C91" i="3" s="1"/>
  <c r="I89" i="3"/>
  <c r="D89" i="3"/>
  <c r="H118" i="3"/>
  <c r="O95" i="2"/>
  <c r="C111" i="2"/>
  <c r="C85" i="2"/>
  <c r="O85" i="2" s="1"/>
  <c r="C81" i="2"/>
  <c r="C82" i="2"/>
  <c r="E82" i="2"/>
  <c r="E84" i="2" s="1"/>
  <c r="E79" i="2"/>
  <c r="E67" i="2"/>
  <c r="E134" i="2" s="1"/>
  <c r="E85" i="2"/>
  <c r="C79" i="2"/>
  <c r="H83" i="2"/>
  <c r="H115" i="2" s="1"/>
  <c r="J82" i="2"/>
  <c r="C67" i="2"/>
  <c r="C134" i="2" s="1"/>
  <c r="J79" i="2"/>
  <c r="J81" i="2"/>
  <c r="J109" i="2" s="1"/>
  <c r="J67" i="2"/>
  <c r="J134" i="2" s="1"/>
  <c r="F79" i="2"/>
  <c r="I79" i="2"/>
  <c r="F85" i="2"/>
  <c r="F67" i="2"/>
  <c r="F134" i="2" s="1"/>
  <c r="K67" i="2"/>
  <c r="K134" i="2" s="1"/>
  <c r="K81" i="2"/>
  <c r="K82" i="2"/>
  <c r="G87" i="2"/>
  <c r="F109" i="2"/>
  <c r="K85" i="2"/>
  <c r="I99" i="2"/>
  <c r="F87" i="2"/>
  <c r="G79" i="2"/>
  <c r="H88" i="2"/>
  <c r="H92" i="2" s="1"/>
  <c r="I82" i="2"/>
  <c r="I81" i="2"/>
  <c r="I67" i="2"/>
  <c r="I134" i="2" s="1"/>
  <c r="K87" i="2"/>
  <c r="F95" i="2"/>
  <c r="F111" i="2" s="1"/>
  <c r="K79" i="2"/>
  <c r="G67" i="2"/>
  <c r="G134" i="2" s="1"/>
  <c r="G82" i="2"/>
  <c r="G81" i="2"/>
  <c r="D83" i="2"/>
  <c r="D109" i="2"/>
  <c r="D84" i="2"/>
  <c r="I87" i="2"/>
  <c r="F99" i="2"/>
  <c r="K99" i="2"/>
  <c r="G95" i="2"/>
  <c r="G111" i="2" s="1"/>
  <c r="G85" i="2"/>
  <c r="I95" i="2"/>
  <c r="I111" i="2" s="1"/>
  <c r="E109" i="2"/>
  <c r="G99" i="2"/>
  <c r="F82" i="2"/>
  <c r="I85" i="2"/>
  <c r="P119" i="3" l="1"/>
  <c r="P90" i="3"/>
  <c r="P94" i="3" s="1"/>
  <c r="P96" i="3" s="1"/>
  <c r="P98" i="3" s="1"/>
  <c r="P100" i="3" s="1"/>
  <c r="R94" i="3"/>
  <c r="R96" i="3" s="1"/>
  <c r="R98" i="3" s="1"/>
  <c r="R100" i="3" s="1"/>
  <c r="Q94" i="3"/>
  <c r="Q96" i="3" s="1"/>
  <c r="Q91" i="3"/>
  <c r="N101" i="3"/>
  <c r="L96" i="3"/>
  <c r="K90" i="3"/>
  <c r="K94" i="3" s="1"/>
  <c r="K96" i="3" s="1"/>
  <c r="K98" i="3" s="1"/>
  <c r="K100" i="3" s="1"/>
  <c r="L91" i="3"/>
  <c r="R119" i="3"/>
  <c r="M110" i="3"/>
  <c r="M108" i="3"/>
  <c r="M117" i="3"/>
  <c r="M116" i="3"/>
  <c r="O116" i="3"/>
  <c r="O110" i="3"/>
  <c r="O108" i="3"/>
  <c r="O117" i="3"/>
  <c r="G93" i="3"/>
  <c r="R97" i="3"/>
  <c r="R101" i="3" s="1"/>
  <c r="S96" i="3"/>
  <c r="S98" i="3" s="1"/>
  <c r="S100" i="3" s="1"/>
  <c r="J97" i="3"/>
  <c r="J91" i="3"/>
  <c r="J101" i="3" s="1"/>
  <c r="E96" i="3"/>
  <c r="E98" i="3" s="1"/>
  <c r="E100" i="3" s="1"/>
  <c r="C119" i="3"/>
  <c r="G94" i="3"/>
  <c r="G96" i="3" s="1"/>
  <c r="G91" i="3"/>
  <c r="C94" i="3"/>
  <c r="D93" i="3"/>
  <c r="D119" i="3" s="1"/>
  <c r="G119" i="3"/>
  <c r="H89" i="3"/>
  <c r="H90" i="3" s="1"/>
  <c r="H94" i="3" s="1"/>
  <c r="C96" i="3"/>
  <c r="I93" i="3"/>
  <c r="I119" i="3" s="1"/>
  <c r="I90" i="3"/>
  <c r="I94" i="3" s="1"/>
  <c r="D90" i="3"/>
  <c r="D94" i="3" s="1"/>
  <c r="F93" i="3"/>
  <c r="F91" i="3"/>
  <c r="E119" i="3"/>
  <c r="O82" i="2"/>
  <c r="O81" i="2"/>
  <c r="C109" i="2"/>
  <c r="C84" i="2"/>
  <c r="O84" i="2" s="1"/>
  <c r="C83" i="2"/>
  <c r="K83" i="2"/>
  <c r="E83" i="2"/>
  <c r="E115" i="2" s="1"/>
  <c r="J84" i="2"/>
  <c r="J118" i="2" s="1"/>
  <c r="J83" i="2"/>
  <c r="J115" i="2" s="1"/>
  <c r="G83" i="2"/>
  <c r="G84" i="2"/>
  <c r="G118" i="2" s="1"/>
  <c r="G109" i="2"/>
  <c r="E88" i="2"/>
  <c r="E92" i="2" s="1"/>
  <c r="I109" i="2"/>
  <c r="I83" i="2"/>
  <c r="I84" i="2"/>
  <c r="I118" i="2" s="1"/>
  <c r="K84" i="2"/>
  <c r="K109" i="2"/>
  <c r="D88" i="2"/>
  <c r="D92" i="2" s="1"/>
  <c r="C88" i="2"/>
  <c r="F83" i="2"/>
  <c r="D115" i="2"/>
  <c r="H89" i="2"/>
  <c r="H90" i="2" s="1"/>
  <c r="H94" i="2" s="1"/>
  <c r="F84" i="2"/>
  <c r="E118" i="2"/>
  <c r="D118" i="2"/>
  <c r="P97" i="3" l="1"/>
  <c r="P91" i="3"/>
  <c r="Q98" i="3"/>
  <c r="Q100" i="3" s="1"/>
  <c r="Q97" i="3"/>
  <c r="Q101" i="3" s="1"/>
  <c r="K91" i="3"/>
  <c r="N117" i="3"/>
  <c r="N110" i="3"/>
  <c r="N116" i="3"/>
  <c r="N108" i="3"/>
  <c r="N121" i="3" s="1"/>
  <c r="L98" i="3"/>
  <c r="L100" i="3" s="1"/>
  <c r="L101" i="3" s="1"/>
  <c r="L97" i="3"/>
  <c r="R108" i="3"/>
  <c r="R117" i="3"/>
  <c r="R116" i="3"/>
  <c r="R110" i="3"/>
  <c r="O121" i="3"/>
  <c r="M121" i="3"/>
  <c r="K97" i="3"/>
  <c r="K101" i="3" s="1"/>
  <c r="S97" i="3"/>
  <c r="S101" i="3" s="1"/>
  <c r="J108" i="3"/>
  <c r="J110" i="3"/>
  <c r="J117" i="3"/>
  <c r="J116" i="3"/>
  <c r="C97" i="3"/>
  <c r="G98" i="3"/>
  <c r="G100" i="3" s="1"/>
  <c r="G97" i="3"/>
  <c r="G101" i="3" s="1"/>
  <c r="D91" i="3"/>
  <c r="C98" i="3"/>
  <c r="D96" i="3"/>
  <c r="D98" i="3" s="1"/>
  <c r="D100" i="3" s="1"/>
  <c r="F96" i="3"/>
  <c r="F98" i="3" s="1"/>
  <c r="F100" i="3" s="1"/>
  <c r="F119" i="3"/>
  <c r="I91" i="3"/>
  <c r="E97" i="3"/>
  <c r="E101" i="3" s="1"/>
  <c r="H93" i="3"/>
  <c r="H119" i="3" s="1"/>
  <c r="H91" i="3"/>
  <c r="I96" i="3"/>
  <c r="I98" i="3" s="1"/>
  <c r="I100" i="3" s="1"/>
  <c r="C92" i="2"/>
  <c r="O88" i="2"/>
  <c r="O83" i="2"/>
  <c r="C115" i="2"/>
  <c r="C118" i="2"/>
  <c r="J88" i="2"/>
  <c r="J92" i="2" s="1"/>
  <c r="E89" i="2"/>
  <c r="E93" i="2" s="1"/>
  <c r="E119" i="2" s="1"/>
  <c r="C89" i="2"/>
  <c r="D89" i="2"/>
  <c r="D90" i="2" s="1"/>
  <c r="D94" i="2" s="1"/>
  <c r="K115" i="2"/>
  <c r="K88" i="2"/>
  <c r="K92" i="2" s="1"/>
  <c r="F115" i="2"/>
  <c r="I88" i="2"/>
  <c r="I92" i="2" s="1"/>
  <c r="F88" i="2"/>
  <c r="F92" i="2" s="1"/>
  <c r="F118" i="2"/>
  <c r="I115" i="2"/>
  <c r="H93" i="2"/>
  <c r="H119" i="2" s="1"/>
  <c r="H91" i="2"/>
  <c r="G88" i="2"/>
  <c r="G92" i="2" s="1"/>
  <c r="K118" i="2"/>
  <c r="G115" i="2"/>
  <c r="P101" i="3" l="1"/>
  <c r="L108" i="3"/>
  <c r="L116" i="3"/>
  <c r="L117" i="3"/>
  <c r="L110" i="3"/>
  <c r="N131" i="3"/>
  <c r="N133" i="3"/>
  <c r="N127" i="3"/>
  <c r="N125" i="3"/>
  <c r="N130" i="3"/>
  <c r="N142" i="3" s="1"/>
  <c r="N124" i="3"/>
  <c r="N129" i="3"/>
  <c r="N141" i="3" s="1"/>
  <c r="N132" i="3"/>
  <c r="N144" i="3" s="1"/>
  <c r="N149" i="3"/>
  <c r="N158" i="3" s="1"/>
  <c r="N126" i="3"/>
  <c r="N138" i="3" s="1"/>
  <c r="N128" i="3"/>
  <c r="R121" i="3"/>
  <c r="R124" i="3" s="1"/>
  <c r="Q117" i="3"/>
  <c r="Q116" i="3"/>
  <c r="Q110" i="3"/>
  <c r="Q108" i="3"/>
  <c r="Q121" i="3" s="1"/>
  <c r="K116" i="3"/>
  <c r="K108" i="3"/>
  <c r="K110" i="3"/>
  <c r="K117" i="3"/>
  <c r="M124" i="3"/>
  <c r="M132" i="3"/>
  <c r="M144" i="3" s="1"/>
  <c r="M149" i="3"/>
  <c r="M158" i="3" s="1"/>
  <c r="M126" i="3"/>
  <c r="M138" i="3" s="1"/>
  <c r="M125" i="3"/>
  <c r="M133" i="3"/>
  <c r="M127" i="3"/>
  <c r="M128" i="3"/>
  <c r="M130" i="3"/>
  <c r="M131" i="3"/>
  <c r="M129" i="3"/>
  <c r="M141" i="3" s="1"/>
  <c r="O126" i="3"/>
  <c r="O138" i="3" s="1"/>
  <c r="O132" i="3"/>
  <c r="O144" i="3" s="1"/>
  <c r="O125" i="3"/>
  <c r="O124" i="3"/>
  <c r="O128" i="3"/>
  <c r="O149" i="3"/>
  <c r="O158" i="3" s="1"/>
  <c r="O130" i="3"/>
  <c r="O133" i="3"/>
  <c r="O131" i="3"/>
  <c r="O127" i="3"/>
  <c r="O129" i="3"/>
  <c r="O141" i="3" s="1"/>
  <c r="S117" i="3"/>
  <c r="S110" i="3"/>
  <c r="S116" i="3"/>
  <c r="S108" i="3"/>
  <c r="S121" i="3" s="1"/>
  <c r="J121" i="3"/>
  <c r="D97" i="3"/>
  <c r="D101" i="3" s="1"/>
  <c r="H96" i="3"/>
  <c r="H98" i="3" s="1"/>
  <c r="H100" i="3" s="1"/>
  <c r="G116" i="3"/>
  <c r="G108" i="3"/>
  <c r="G117" i="3"/>
  <c r="G110" i="3"/>
  <c r="F97" i="3"/>
  <c r="F101" i="3" s="1"/>
  <c r="E117" i="3"/>
  <c r="E110" i="3"/>
  <c r="E116" i="3"/>
  <c r="E108" i="3"/>
  <c r="E121" i="3" s="1"/>
  <c r="C100" i="3"/>
  <c r="C101" i="3" s="1"/>
  <c r="I97" i="3"/>
  <c r="I101" i="3" s="1"/>
  <c r="C90" i="2"/>
  <c r="C91" i="2" s="1"/>
  <c r="O91" i="2" s="1"/>
  <c r="O89" i="2"/>
  <c r="O92" i="2"/>
  <c r="J89" i="2"/>
  <c r="J93" i="2" s="1"/>
  <c r="J119" i="2" s="1"/>
  <c r="E90" i="2"/>
  <c r="E94" i="2" s="1"/>
  <c r="E96" i="2" s="1"/>
  <c r="E98" i="2" s="1"/>
  <c r="E100" i="2" s="1"/>
  <c r="D93" i="2"/>
  <c r="G89" i="2"/>
  <c r="G90" i="2" s="1"/>
  <c r="D91" i="2"/>
  <c r="C93" i="2"/>
  <c r="O93" i="2" s="1"/>
  <c r="H96" i="2"/>
  <c r="H98" i="2" s="1"/>
  <c r="H100" i="2" s="1"/>
  <c r="F89" i="2"/>
  <c r="F90" i="2" s="1"/>
  <c r="F94" i="2" s="1"/>
  <c r="J90" i="2"/>
  <c r="J94" i="2" s="1"/>
  <c r="I89" i="2"/>
  <c r="I90" i="2" s="1"/>
  <c r="I94" i="2" s="1"/>
  <c r="K89" i="2"/>
  <c r="P117" i="3" l="1"/>
  <c r="P110" i="3"/>
  <c r="P108" i="3"/>
  <c r="P116" i="3"/>
  <c r="R129" i="3"/>
  <c r="R141" i="3" s="1"/>
  <c r="N145" i="3"/>
  <c r="N188" i="3"/>
  <c r="N174" i="3"/>
  <c r="N159" i="3"/>
  <c r="N139" i="3"/>
  <c r="R128" i="3"/>
  <c r="R140" i="3" s="1"/>
  <c r="N143" i="3"/>
  <c r="N192" i="3"/>
  <c r="N170" i="3"/>
  <c r="R133" i="3"/>
  <c r="R145" i="3" s="1"/>
  <c r="N157" i="3"/>
  <c r="N137" i="3"/>
  <c r="R130" i="3"/>
  <c r="R142" i="3" s="1"/>
  <c r="Q126" i="3"/>
  <c r="Q138" i="3" s="1"/>
  <c r="Q132" i="3"/>
  <c r="Q144" i="3" s="1"/>
  <c r="Q131" i="3"/>
  <c r="Q133" i="3"/>
  <c r="Q127" i="3"/>
  <c r="Q128" i="3"/>
  <c r="Q129" i="3"/>
  <c r="Q141" i="3" s="1"/>
  <c r="Q130" i="3"/>
  <c r="Q142" i="3" s="1"/>
  <c r="Q149" i="3"/>
  <c r="Q158" i="3" s="1"/>
  <c r="Q124" i="3"/>
  <c r="Q125" i="3"/>
  <c r="R125" i="3"/>
  <c r="R149" i="3"/>
  <c r="R158" i="3" s="1"/>
  <c r="R127" i="3"/>
  <c r="R159" i="3" s="1"/>
  <c r="R132" i="3"/>
  <c r="R144" i="3" s="1"/>
  <c r="N185" i="3"/>
  <c r="N153" i="3"/>
  <c r="N154" i="3" s="1"/>
  <c r="N136" i="3"/>
  <c r="N187" i="3"/>
  <c r="N186" i="3"/>
  <c r="N150" i="3"/>
  <c r="N184" i="3" s="1"/>
  <c r="N140" i="3"/>
  <c r="R126" i="3"/>
  <c r="R138" i="3" s="1"/>
  <c r="R131" i="3"/>
  <c r="R170" i="3" s="1"/>
  <c r="L121" i="3"/>
  <c r="O139" i="3"/>
  <c r="O159" i="3"/>
  <c r="R137" i="3"/>
  <c r="R157" i="3"/>
  <c r="O192" i="3"/>
  <c r="O143" i="3"/>
  <c r="O170" i="3"/>
  <c r="M192" i="3"/>
  <c r="M170" i="3"/>
  <c r="M143" i="3"/>
  <c r="O174" i="3"/>
  <c r="O188" i="3"/>
  <c r="O145" i="3"/>
  <c r="M142" i="3"/>
  <c r="M136" i="3"/>
  <c r="M185" i="3"/>
  <c r="M153" i="3"/>
  <c r="M187" i="3"/>
  <c r="M186" i="3"/>
  <c r="O137" i="3"/>
  <c r="O157" i="3"/>
  <c r="O142" i="3"/>
  <c r="M140" i="3"/>
  <c r="M150" i="3"/>
  <c r="M184" i="3" s="1"/>
  <c r="R188" i="3"/>
  <c r="R174" i="3"/>
  <c r="M139" i="3"/>
  <c r="M159" i="3"/>
  <c r="R139" i="3"/>
  <c r="O150" i="3"/>
  <c r="O184" i="3" s="1"/>
  <c r="O140" i="3"/>
  <c r="M188" i="3"/>
  <c r="M174" i="3"/>
  <c r="M145" i="3"/>
  <c r="K121" i="3"/>
  <c r="O187" i="3"/>
  <c r="O185" i="3"/>
  <c r="O186" i="3"/>
  <c r="O153" i="3"/>
  <c r="O136" i="3"/>
  <c r="R186" i="3"/>
  <c r="R153" i="3"/>
  <c r="R136" i="3"/>
  <c r="R185" i="3"/>
  <c r="M157" i="3"/>
  <c r="M137" i="3"/>
  <c r="S125" i="3"/>
  <c r="S149" i="3"/>
  <c r="S158" i="3" s="1"/>
  <c r="S126" i="3"/>
  <c r="S138" i="3" s="1"/>
  <c r="S124" i="3"/>
  <c r="S128" i="3"/>
  <c r="S131" i="3"/>
  <c r="S132" i="3"/>
  <c r="S144" i="3" s="1"/>
  <c r="S129" i="3"/>
  <c r="S141" i="3" s="1"/>
  <c r="S133" i="3"/>
  <c r="S130" i="3"/>
  <c r="S127" i="3"/>
  <c r="J149" i="3"/>
  <c r="J158" i="3" s="1"/>
  <c r="J125" i="3"/>
  <c r="J129" i="3"/>
  <c r="J141" i="3" s="1"/>
  <c r="J126" i="3"/>
  <c r="J138" i="3" s="1"/>
  <c r="J133" i="3"/>
  <c r="J131" i="3"/>
  <c r="J127" i="3"/>
  <c r="J130" i="3"/>
  <c r="J128" i="3"/>
  <c r="J132" i="3"/>
  <c r="J144" i="3" s="1"/>
  <c r="J124" i="3"/>
  <c r="D116" i="3"/>
  <c r="D108" i="3"/>
  <c r="D117" i="3"/>
  <c r="D110" i="3"/>
  <c r="I108" i="3"/>
  <c r="I116" i="3"/>
  <c r="I110" i="3"/>
  <c r="I117" i="3"/>
  <c r="G121" i="3"/>
  <c r="E149" i="3"/>
  <c r="E158" i="3" s="1"/>
  <c r="E129" i="3"/>
  <c r="E141" i="3" s="1"/>
  <c r="E130" i="3"/>
  <c r="E124" i="3"/>
  <c r="E127" i="3"/>
  <c r="E126" i="3"/>
  <c r="E138" i="3" s="1"/>
  <c r="E131" i="3"/>
  <c r="E133" i="3"/>
  <c r="E132" i="3"/>
  <c r="E144" i="3" s="1"/>
  <c r="E128" i="3"/>
  <c r="E125" i="3"/>
  <c r="C110" i="3"/>
  <c r="C108" i="3"/>
  <c r="C116" i="3"/>
  <c r="F116" i="3"/>
  <c r="F108" i="3"/>
  <c r="F110" i="3"/>
  <c r="F117" i="3"/>
  <c r="H97" i="3"/>
  <c r="H101" i="3" s="1"/>
  <c r="C94" i="2"/>
  <c r="O90" i="2"/>
  <c r="E91" i="2"/>
  <c r="H97" i="2"/>
  <c r="H101" i="2" s="1"/>
  <c r="H110" i="2" s="1"/>
  <c r="I91" i="2"/>
  <c r="K90" i="2"/>
  <c r="K94" i="2" s="1"/>
  <c r="G93" i="2"/>
  <c r="G119" i="2" s="1"/>
  <c r="C119" i="2"/>
  <c r="D96" i="2"/>
  <c r="D98" i="2" s="1"/>
  <c r="D100" i="2" s="1"/>
  <c r="D119" i="2"/>
  <c r="E97" i="2"/>
  <c r="K93" i="2"/>
  <c r="I93" i="2"/>
  <c r="G94" i="2"/>
  <c r="G96" i="2" s="1"/>
  <c r="G98" i="2" s="1"/>
  <c r="G100" i="2" s="1"/>
  <c r="G91" i="2"/>
  <c r="F93" i="2"/>
  <c r="F91" i="2"/>
  <c r="J96" i="2"/>
  <c r="J98" i="2" s="1"/>
  <c r="J100" i="2" s="1"/>
  <c r="J91" i="2"/>
  <c r="P121" i="3" l="1"/>
  <c r="N190" i="3"/>
  <c r="N189" i="3"/>
  <c r="N191" i="3"/>
  <c r="M146" i="3"/>
  <c r="N156" i="3"/>
  <c r="N178" i="3" s="1"/>
  <c r="R150" i="3"/>
  <c r="R184" i="3" s="1"/>
  <c r="R190" i="3" s="1"/>
  <c r="Q140" i="3"/>
  <c r="Q150" i="3"/>
  <c r="R192" i="3"/>
  <c r="Q139" i="3"/>
  <c r="Q159" i="3"/>
  <c r="D121" i="3"/>
  <c r="D127" i="3" s="1"/>
  <c r="R143" i="3"/>
  <c r="R146" i="3" s="1"/>
  <c r="Q145" i="3"/>
  <c r="Q174" i="3"/>
  <c r="Q188" i="3"/>
  <c r="N146" i="3"/>
  <c r="Q137" i="3"/>
  <c r="Q157" i="3"/>
  <c r="Q143" i="3"/>
  <c r="Q192" i="3"/>
  <c r="Q170" i="3"/>
  <c r="R187" i="3"/>
  <c r="N155" i="3"/>
  <c r="L131" i="3"/>
  <c r="L129" i="3"/>
  <c r="L141" i="3" s="1"/>
  <c r="L126" i="3"/>
  <c r="L138" i="3" s="1"/>
  <c r="L132" i="3"/>
  <c r="L144" i="3" s="1"/>
  <c r="L149" i="3"/>
  <c r="L158" i="3" s="1"/>
  <c r="L133" i="3"/>
  <c r="L128" i="3"/>
  <c r="L124" i="3"/>
  <c r="L125" i="3"/>
  <c r="L127" i="3"/>
  <c r="L130" i="3"/>
  <c r="L142" i="3" s="1"/>
  <c r="Q184" i="3"/>
  <c r="Q190" i="3" s="1"/>
  <c r="Q136" i="3"/>
  <c r="Q153" i="3"/>
  <c r="Q186" i="3"/>
  <c r="Q185" i="3"/>
  <c r="Q187" i="3"/>
  <c r="R191" i="3"/>
  <c r="M189" i="3"/>
  <c r="M191" i="3"/>
  <c r="M190" i="3"/>
  <c r="O189" i="3"/>
  <c r="O190" i="3"/>
  <c r="O191" i="3"/>
  <c r="O154" i="3"/>
  <c r="O155" i="3" s="1"/>
  <c r="K149" i="3"/>
  <c r="K158" i="3" s="1"/>
  <c r="K128" i="3"/>
  <c r="K130" i="3"/>
  <c r="K142" i="3" s="1"/>
  <c r="K129" i="3"/>
  <c r="K141" i="3" s="1"/>
  <c r="K133" i="3"/>
  <c r="K132" i="3"/>
  <c r="K144" i="3" s="1"/>
  <c r="K131" i="3"/>
  <c r="K125" i="3"/>
  <c r="K127" i="3"/>
  <c r="K124" i="3"/>
  <c r="K126" i="3"/>
  <c r="K138" i="3" s="1"/>
  <c r="R154" i="3"/>
  <c r="R156" i="3" s="1"/>
  <c r="R155" i="3"/>
  <c r="C121" i="3"/>
  <c r="C149" i="3" s="1"/>
  <c r="C158" i="3" s="1"/>
  <c r="O146" i="3"/>
  <c r="M154" i="3"/>
  <c r="M156" i="3" s="1"/>
  <c r="M155" i="3"/>
  <c r="S139" i="3"/>
  <c r="S159" i="3"/>
  <c r="S143" i="3"/>
  <c r="S192" i="3"/>
  <c r="S170" i="3"/>
  <c r="S140" i="3"/>
  <c r="S150" i="3"/>
  <c r="S184" i="3" s="1"/>
  <c r="S191" i="3" s="1"/>
  <c r="S136" i="3"/>
  <c r="S187" i="3"/>
  <c r="S185" i="3"/>
  <c r="S186" i="3"/>
  <c r="S153" i="3"/>
  <c r="S142" i="3"/>
  <c r="S145" i="3"/>
  <c r="S188" i="3"/>
  <c r="S174" i="3"/>
  <c r="S137" i="3"/>
  <c r="S157" i="3"/>
  <c r="J139" i="3"/>
  <c r="J159" i="3"/>
  <c r="J174" i="3"/>
  <c r="J145" i="3"/>
  <c r="J188" i="3"/>
  <c r="J187" i="3"/>
  <c r="J153" i="3"/>
  <c r="J186" i="3"/>
  <c r="J136" i="3"/>
  <c r="J185" i="3"/>
  <c r="J137" i="3"/>
  <c r="J157" i="3"/>
  <c r="J140" i="3"/>
  <c r="J150" i="3"/>
  <c r="J184" i="3" s="1"/>
  <c r="J142" i="3"/>
  <c r="J170" i="3"/>
  <c r="J143" i="3"/>
  <c r="J192" i="3"/>
  <c r="E142" i="3"/>
  <c r="G149" i="3"/>
  <c r="G158" i="3" s="1"/>
  <c r="G124" i="3"/>
  <c r="G132" i="3"/>
  <c r="G144" i="3" s="1"/>
  <c r="G133" i="3"/>
  <c r="G131" i="3"/>
  <c r="G127" i="3"/>
  <c r="G128" i="3"/>
  <c r="G125" i="3"/>
  <c r="G130" i="3"/>
  <c r="G126" i="3"/>
  <c r="G138" i="3" s="1"/>
  <c r="G129" i="3"/>
  <c r="G141" i="3" s="1"/>
  <c r="E150" i="3"/>
  <c r="E140" i="3"/>
  <c r="E188" i="3"/>
  <c r="E174" i="3"/>
  <c r="E145" i="3"/>
  <c r="D149" i="3"/>
  <c r="D158" i="3" s="1"/>
  <c r="D125" i="3"/>
  <c r="D130" i="3"/>
  <c r="D128" i="3"/>
  <c r="E192" i="3"/>
  <c r="E143" i="3"/>
  <c r="E170" i="3"/>
  <c r="F121" i="3"/>
  <c r="E159" i="3"/>
  <c r="E139" i="3"/>
  <c r="E137" i="3"/>
  <c r="E157" i="3"/>
  <c r="H108" i="3"/>
  <c r="H117" i="3"/>
  <c r="H110" i="3"/>
  <c r="H116" i="3"/>
  <c r="E153" i="3"/>
  <c r="E187" i="3"/>
  <c r="E185" i="3"/>
  <c r="E136" i="3"/>
  <c r="E184" i="3"/>
  <c r="E191" i="3" s="1"/>
  <c r="E186" i="3"/>
  <c r="I121" i="3"/>
  <c r="O94" i="2"/>
  <c r="C96" i="2"/>
  <c r="L96" i="2"/>
  <c r="E101" i="2"/>
  <c r="E116" i="2" s="1"/>
  <c r="H108" i="2"/>
  <c r="H116" i="2"/>
  <c r="H117" i="2"/>
  <c r="E117" i="2"/>
  <c r="E110" i="2"/>
  <c r="D97" i="2"/>
  <c r="D101" i="2" s="1"/>
  <c r="K91" i="2"/>
  <c r="K96" i="2"/>
  <c r="K98" i="2" s="1"/>
  <c r="K100" i="2" s="1"/>
  <c r="J101" i="2"/>
  <c r="F96" i="2"/>
  <c r="F98" i="2" s="1"/>
  <c r="F100" i="2" s="1"/>
  <c r="F119" i="2"/>
  <c r="I96" i="2"/>
  <c r="I98" i="2" s="1"/>
  <c r="I100" i="2" s="1"/>
  <c r="J97" i="2"/>
  <c r="I119" i="2"/>
  <c r="K119" i="2"/>
  <c r="G97" i="2"/>
  <c r="G101" i="2" s="1"/>
  <c r="P132" i="3" l="1"/>
  <c r="P144" i="3" s="1"/>
  <c r="P128" i="3"/>
  <c r="P133" i="3"/>
  <c r="P124" i="3"/>
  <c r="P149" i="3"/>
  <c r="P158" i="3" s="1"/>
  <c r="P127" i="3"/>
  <c r="P126" i="3"/>
  <c r="P138" i="3" s="1"/>
  <c r="P130" i="3"/>
  <c r="P142" i="3" s="1"/>
  <c r="P131" i="3"/>
  <c r="P125" i="3"/>
  <c r="P129" i="3"/>
  <c r="P141" i="3" s="1"/>
  <c r="R189" i="3"/>
  <c r="D131" i="3"/>
  <c r="L159" i="3"/>
  <c r="L139" i="3"/>
  <c r="Q191" i="3"/>
  <c r="N160" i="3"/>
  <c r="N163" i="3" s="1"/>
  <c r="N167" i="3" s="1"/>
  <c r="L192" i="3"/>
  <c r="L143" i="3"/>
  <c r="L170" i="3"/>
  <c r="C133" i="3"/>
  <c r="D132" i="3"/>
  <c r="D144" i="3" s="1"/>
  <c r="L187" i="3"/>
  <c r="L185" i="3"/>
  <c r="L184" i="3"/>
  <c r="L186" i="3"/>
  <c r="L153" i="3"/>
  <c r="L136" i="3"/>
  <c r="C126" i="3"/>
  <c r="C138" i="3" s="1"/>
  <c r="L157" i="3"/>
  <c r="L137" i="3"/>
  <c r="C124" i="3"/>
  <c r="C153" i="3" s="1"/>
  <c r="D133" i="3"/>
  <c r="D145" i="3" s="1"/>
  <c r="L140" i="3"/>
  <c r="L150" i="3"/>
  <c r="D129" i="3"/>
  <c r="D141" i="3" s="1"/>
  <c r="D124" i="3"/>
  <c r="Q154" i="3"/>
  <c r="Q156" i="3" s="1"/>
  <c r="L174" i="3"/>
  <c r="L145" i="3"/>
  <c r="L188" i="3"/>
  <c r="Q189" i="3"/>
  <c r="D126" i="3"/>
  <c r="D138" i="3" s="1"/>
  <c r="Q146" i="3"/>
  <c r="K159" i="3"/>
  <c r="K139" i="3"/>
  <c r="R160" i="3"/>
  <c r="R163" i="3" s="1"/>
  <c r="K143" i="3"/>
  <c r="K192" i="3"/>
  <c r="K170" i="3"/>
  <c r="C131" i="3"/>
  <c r="M178" i="3"/>
  <c r="R178" i="3"/>
  <c r="C128" i="3"/>
  <c r="C150" i="3" s="1"/>
  <c r="O156" i="3"/>
  <c r="O178" i="3" s="1"/>
  <c r="C127" i="3"/>
  <c r="C130" i="3"/>
  <c r="C125" i="3"/>
  <c r="C129" i="3"/>
  <c r="C141" i="3" s="1"/>
  <c r="K137" i="3"/>
  <c r="K157" i="3"/>
  <c r="M160" i="3"/>
  <c r="M163" i="3" s="1"/>
  <c r="K145" i="3"/>
  <c r="K174" i="3"/>
  <c r="K188" i="3"/>
  <c r="C132" i="3"/>
  <c r="C144" i="3" s="1"/>
  <c r="K186" i="3"/>
  <c r="K136" i="3"/>
  <c r="K185" i="3"/>
  <c r="K187" i="3"/>
  <c r="K153" i="3"/>
  <c r="K154" i="3" s="1"/>
  <c r="K150" i="3"/>
  <c r="K184" i="3" s="1"/>
  <c r="K140" i="3"/>
  <c r="S189" i="3"/>
  <c r="S154" i="3"/>
  <c r="S146" i="3"/>
  <c r="S190" i="3"/>
  <c r="J191" i="3"/>
  <c r="J190" i="3"/>
  <c r="J189" i="3"/>
  <c r="J146" i="3"/>
  <c r="J154" i="3"/>
  <c r="J155" i="3" s="1"/>
  <c r="E146" i="3"/>
  <c r="H121" i="3"/>
  <c r="H127" i="3" s="1"/>
  <c r="H131" i="3"/>
  <c r="H129" i="3"/>
  <c r="H141" i="3" s="1"/>
  <c r="D157" i="3"/>
  <c r="D137" i="3"/>
  <c r="D188" i="3"/>
  <c r="D174" i="3"/>
  <c r="D153" i="3"/>
  <c r="D186" i="3"/>
  <c r="D185" i="3"/>
  <c r="D136" i="3"/>
  <c r="D187" i="3"/>
  <c r="G157" i="3"/>
  <c r="G137" i="3"/>
  <c r="F149" i="3"/>
  <c r="F158" i="3" s="1"/>
  <c r="F124" i="3"/>
  <c r="F130" i="3"/>
  <c r="F126" i="3"/>
  <c r="F138" i="3" s="1"/>
  <c r="F133" i="3"/>
  <c r="F129" i="3"/>
  <c r="F141" i="3" s="1"/>
  <c r="F128" i="3"/>
  <c r="F132" i="3"/>
  <c r="F144" i="3" s="1"/>
  <c r="F125" i="3"/>
  <c r="F127" i="3"/>
  <c r="F131" i="3"/>
  <c r="D159" i="3"/>
  <c r="D139" i="3"/>
  <c r="G140" i="3"/>
  <c r="G150" i="3"/>
  <c r="G184" i="3" s="1"/>
  <c r="C142" i="3"/>
  <c r="E189" i="3"/>
  <c r="C174" i="3"/>
  <c r="C145" i="3"/>
  <c r="C188" i="3"/>
  <c r="G159" i="3"/>
  <c r="G139" i="3"/>
  <c r="G187" i="3"/>
  <c r="G186" i="3"/>
  <c r="G185" i="3"/>
  <c r="G136" i="3"/>
  <c r="G153" i="3"/>
  <c r="C157" i="3"/>
  <c r="C137" i="3"/>
  <c r="E190" i="3"/>
  <c r="D150" i="3"/>
  <c r="D184" i="3" s="1"/>
  <c r="D140" i="3"/>
  <c r="C186" i="3"/>
  <c r="D142" i="3"/>
  <c r="G170" i="3"/>
  <c r="G143" i="3"/>
  <c r="G192" i="3"/>
  <c r="C159" i="3"/>
  <c r="C139" i="3"/>
  <c r="G142" i="3"/>
  <c r="E154" i="3"/>
  <c r="E156" i="3" s="1"/>
  <c r="I149" i="3"/>
  <c r="I158" i="3" s="1"/>
  <c r="I131" i="3"/>
  <c r="I132" i="3"/>
  <c r="I144" i="3" s="1"/>
  <c r="I125" i="3"/>
  <c r="I130" i="3"/>
  <c r="I126" i="3"/>
  <c r="I138" i="3" s="1"/>
  <c r="I124" i="3"/>
  <c r="I129" i="3"/>
  <c r="I141" i="3" s="1"/>
  <c r="I128" i="3"/>
  <c r="I133" i="3"/>
  <c r="I127" i="3"/>
  <c r="C192" i="3"/>
  <c r="C143" i="3"/>
  <c r="C170" i="3"/>
  <c r="D170" i="3"/>
  <c r="D143" i="3"/>
  <c r="D192" i="3"/>
  <c r="G188" i="3"/>
  <c r="G174" i="3"/>
  <c r="G145" i="3"/>
  <c r="E108" i="2"/>
  <c r="O96" i="2"/>
  <c r="C98" i="2"/>
  <c r="C97" i="2"/>
  <c r="H121" i="2"/>
  <c r="H131" i="2" s="1"/>
  <c r="H170" i="2" s="1"/>
  <c r="E121" i="2"/>
  <c r="E133" i="2" s="1"/>
  <c r="I97" i="2"/>
  <c r="I101" i="2" s="1"/>
  <c r="I117" i="2" s="1"/>
  <c r="K97" i="2"/>
  <c r="K101" i="2" s="1"/>
  <c r="D108" i="2"/>
  <c r="D110" i="2"/>
  <c r="D117" i="2"/>
  <c r="D116" i="2"/>
  <c r="F97" i="2"/>
  <c r="F101" i="2" s="1"/>
  <c r="F108" i="2" s="1"/>
  <c r="G117" i="2"/>
  <c r="G108" i="2"/>
  <c r="G110" i="2"/>
  <c r="G116" i="2"/>
  <c r="J108" i="2"/>
  <c r="J110" i="2"/>
  <c r="J116" i="2"/>
  <c r="J117" i="2"/>
  <c r="P186" i="3" l="1"/>
  <c r="P136" i="3"/>
  <c r="P185" i="3"/>
  <c r="P187" i="3"/>
  <c r="P153" i="3"/>
  <c r="P145" i="3"/>
  <c r="P188" i="3"/>
  <c r="P174" i="3"/>
  <c r="P139" i="3"/>
  <c r="P159" i="3"/>
  <c r="P137" i="3"/>
  <c r="P157" i="3"/>
  <c r="P150" i="3"/>
  <c r="P184" i="3" s="1"/>
  <c r="P191" i="3" s="1"/>
  <c r="P140" i="3"/>
  <c r="P192" i="3"/>
  <c r="P143" i="3"/>
  <c r="P170" i="3"/>
  <c r="P189" i="3"/>
  <c r="P190" i="3"/>
  <c r="Q160" i="3"/>
  <c r="Q163" i="3" s="1"/>
  <c r="Q161" i="3"/>
  <c r="Q164" i="3" s="1"/>
  <c r="Q168" i="3" s="1"/>
  <c r="Q162" i="3"/>
  <c r="C190" i="3"/>
  <c r="C136" i="3"/>
  <c r="C140" i="3"/>
  <c r="L190" i="3"/>
  <c r="L189" i="3"/>
  <c r="C187" i="3"/>
  <c r="K156" i="3"/>
  <c r="Q155" i="3"/>
  <c r="N161" i="3"/>
  <c r="L191" i="3"/>
  <c r="Q178" i="3"/>
  <c r="L146" i="3"/>
  <c r="R161" i="3"/>
  <c r="R164" i="3" s="1"/>
  <c r="R168" i="3" s="1"/>
  <c r="L154" i="3"/>
  <c r="L155" i="3" s="1"/>
  <c r="L156" i="3"/>
  <c r="L160" i="3" s="1"/>
  <c r="L163" i="3" s="1"/>
  <c r="L167" i="3" s="1"/>
  <c r="O160" i="3"/>
  <c r="O163" i="3" s="1"/>
  <c r="O161" i="3"/>
  <c r="O164" i="3" s="1"/>
  <c r="O168" i="3" s="1"/>
  <c r="H125" i="3"/>
  <c r="H157" i="3" s="1"/>
  <c r="K155" i="3"/>
  <c r="R162" i="3"/>
  <c r="K190" i="3"/>
  <c r="K189" i="3"/>
  <c r="K191" i="3"/>
  <c r="H133" i="3"/>
  <c r="H174" i="3" s="1"/>
  <c r="J156" i="3"/>
  <c r="J160" i="3" s="1"/>
  <c r="J163" i="3" s="1"/>
  <c r="R165" i="3"/>
  <c r="R169" i="3" s="1"/>
  <c r="R166" i="3"/>
  <c r="R167" i="3"/>
  <c r="R180" i="3" s="1"/>
  <c r="H132" i="3"/>
  <c r="H144" i="3" s="1"/>
  <c r="H126" i="3"/>
  <c r="H138" i="3" s="1"/>
  <c r="H130" i="3"/>
  <c r="K146" i="3"/>
  <c r="H124" i="3"/>
  <c r="H186" i="3" s="1"/>
  <c r="M167" i="3"/>
  <c r="M180" i="3" s="1"/>
  <c r="H128" i="3"/>
  <c r="H150" i="3" s="1"/>
  <c r="H184" i="3" s="1"/>
  <c r="M161" i="3"/>
  <c r="M164" i="3" s="1"/>
  <c r="M168" i="3" s="1"/>
  <c r="S155" i="3"/>
  <c r="S156" i="3"/>
  <c r="K160" i="3"/>
  <c r="K163" i="3" s="1"/>
  <c r="K178" i="3"/>
  <c r="H149" i="3"/>
  <c r="H158" i="3" s="1"/>
  <c r="E155" i="3"/>
  <c r="C191" i="3"/>
  <c r="G191" i="3"/>
  <c r="G190" i="3"/>
  <c r="G189" i="3"/>
  <c r="D191" i="3"/>
  <c r="D190" i="3"/>
  <c r="D189" i="3"/>
  <c r="C155" i="3"/>
  <c r="C154" i="3"/>
  <c r="I186" i="3"/>
  <c r="I185" i="3"/>
  <c r="I136" i="3"/>
  <c r="I187" i="3"/>
  <c r="I153" i="3"/>
  <c r="G146" i="3"/>
  <c r="F188" i="3"/>
  <c r="F174" i="3"/>
  <c r="F145" i="3"/>
  <c r="H145" i="3"/>
  <c r="F192" i="3"/>
  <c r="F143" i="3"/>
  <c r="F170" i="3"/>
  <c r="F142" i="3"/>
  <c r="I157" i="3"/>
  <c r="I137" i="3"/>
  <c r="F159" i="3"/>
  <c r="F139" i="3"/>
  <c r="F187" i="3"/>
  <c r="F186" i="3"/>
  <c r="F136" i="3"/>
  <c r="F153" i="3"/>
  <c r="F185" i="3"/>
  <c r="F157" i="3"/>
  <c r="F137" i="3"/>
  <c r="H187" i="3"/>
  <c r="H185" i="3"/>
  <c r="H153" i="3"/>
  <c r="E160" i="3"/>
  <c r="E163" i="3" s="1"/>
  <c r="H139" i="3"/>
  <c r="H159" i="3"/>
  <c r="I142" i="3"/>
  <c r="D154" i="3"/>
  <c r="D156" i="3" s="1"/>
  <c r="I192" i="3"/>
  <c r="I143" i="3"/>
  <c r="I170" i="3"/>
  <c r="C189" i="3"/>
  <c r="I150" i="3"/>
  <c r="I184" i="3" s="1"/>
  <c r="I140" i="3"/>
  <c r="C146" i="3"/>
  <c r="F150" i="3"/>
  <c r="F184" i="3" s="1"/>
  <c r="F140" i="3"/>
  <c r="H142" i="3"/>
  <c r="H192" i="3"/>
  <c r="H143" i="3"/>
  <c r="H170" i="3"/>
  <c r="I159" i="3"/>
  <c r="I139" i="3"/>
  <c r="I145" i="3"/>
  <c r="I188" i="3"/>
  <c r="I174" i="3"/>
  <c r="E178" i="3"/>
  <c r="G154" i="3"/>
  <c r="G155" i="3" s="1"/>
  <c r="D146" i="3"/>
  <c r="H137" i="3"/>
  <c r="O97" i="2"/>
  <c r="H128" i="2"/>
  <c r="H140" i="2" s="1"/>
  <c r="O98" i="2"/>
  <c r="C100" i="2"/>
  <c r="C101" i="2" s="1"/>
  <c r="H126" i="2"/>
  <c r="H138" i="2" s="1"/>
  <c r="H133" i="2"/>
  <c r="H188" i="2" s="1"/>
  <c r="H124" i="2"/>
  <c r="H186" i="2" s="1"/>
  <c r="H192" i="2"/>
  <c r="H143" i="2"/>
  <c r="H125" i="2"/>
  <c r="H137" i="2" s="1"/>
  <c r="H153" i="2"/>
  <c r="H154" i="2" s="1"/>
  <c r="H155" i="2" s="1"/>
  <c r="H129" i="2"/>
  <c r="H141" i="2" s="1"/>
  <c r="H132" i="2"/>
  <c r="H144" i="2" s="1"/>
  <c r="H130" i="2"/>
  <c r="H142" i="2" s="1"/>
  <c r="H149" i="2"/>
  <c r="H158" i="2" s="1"/>
  <c r="H127" i="2"/>
  <c r="H139" i="2" s="1"/>
  <c r="E129" i="2"/>
  <c r="E141" i="2" s="1"/>
  <c r="H187" i="2"/>
  <c r="I110" i="2"/>
  <c r="I108" i="2"/>
  <c r="F110" i="2"/>
  <c r="I116" i="2"/>
  <c r="E126" i="2"/>
  <c r="E138" i="2" s="1"/>
  <c r="E130" i="2"/>
  <c r="E142" i="2" s="1"/>
  <c r="E124" i="2"/>
  <c r="E186" i="2" s="1"/>
  <c r="E125" i="2"/>
  <c r="E137" i="2" s="1"/>
  <c r="E149" i="2"/>
  <c r="E158" i="2" s="1"/>
  <c r="E131" i="2"/>
  <c r="E143" i="2" s="1"/>
  <c r="E132" i="2"/>
  <c r="E144" i="2" s="1"/>
  <c r="E128" i="2"/>
  <c r="E140" i="2" s="1"/>
  <c r="E127" i="2"/>
  <c r="E159" i="2" s="1"/>
  <c r="H150" i="2"/>
  <c r="K108" i="2"/>
  <c r="K110" i="2"/>
  <c r="K117" i="2"/>
  <c r="H157" i="2"/>
  <c r="F117" i="2"/>
  <c r="F116" i="2"/>
  <c r="K116" i="2"/>
  <c r="D121" i="2"/>
  <c r="E145" i="2"/>
  <c r="E174" i="2"/>
  <c r="E188" i="2"/>
  <c r="J121" i="2"/>
  <c r="G121" i="2"/>
  <c r="P154" i="3" l="1"/>
  <c r="P155" i="3" s="1"/>
  <c r="P156" i="3"/>
  <c r="P146" i="3"/>
  <c r="O162" i="3"/>
  <c r="M162" i="3"/>
  <c r="N164" i="3"/>
  <c r="N162" i="3"/>
  <c r="H136" i="3"/>
  <c r="J178" i="3"/>
  <c r="L161" i="3"/>
  <c r="L164" i="3" s="1"/>
  <c r="L168" i="3" s="1"/>
  <c r="L178" i="3"/>
  <c r="Q167" i="3"/>
  <c r="Q180" i="3" s="1"/>
  <c r="Q165" i="3"/>
  <c r="H188" i="3"/>
  <c r="M165" i="3"/>
  <c r="M169" i="3" s="1"/>
  <c r="L165" i="3"/>
  <c r="L169" i="3" s="1"/>
  <c r="L171" i="3" s="1"/>
  <c r="L166" i="3"/>
  <c r="H140" i="3"/>
  <c r="H146" i="3" s="1"/>
  <c r="K161" i="3"/>
  <c r="K164" i="3" s="1"/>
  <c r="K168" i="3" s="1"/>
  <c r="L162" i="3"/>
  <c r="R171" i="3"/>
  <c r="R173" i="3" s="1"/>
  <c r="R175" i="3" s="1"/>
  <c r="M171" i="3"/>
  <c r="M173" i="3" s="1"/>
  <c r="M175" i="3" s="1"/>
  <c r="O165" i="3"/>
  <c r="O169" i="3" s="1"/>
  <c r="O166" i="3"/>
  <c r="O167" i="3"/>
  <c r="O180" i="3" s="1"/>
  <c r="S160" i="3"/>
  <c r="S163" i="3" s="1"/>
  <c r="S178" i="3"/>
  <c r="K165" i="3"/>
  <c r="K169" i="3" s="1"/>
  <c r="K167" i="3"/>
  <c r="J161" i="3"/>
  <c r="J164" i="3" s="1"/>
  <c r="J168" i="3" s="1"/>
  <c r="J167" i="3"/>
  <c r="D155" i="3"/>
  <c r="H189" i="3"/>
  <c r="H191" i="3"/>
  <c r="H190" i="3"/>
  <c r="I190" i="3"/>
  <c r="I191" i="3"/>
  <c r="I189" i="3"/>
  <c r="F191" i="3"/>
  <c r="F189" i="3"/>
  <c r="F190" i="3"/>
  <c r="I154" i="3"/>
  <c r="F146" i="3"/>
  <c r="E167" i="3"/>
  <c r="E161" i="3"/>
  <c r="I146" i="3"/>
  <c r="D160" i="3"/>
  <c r="D163" i="3" s="1"/>
  <c r="H154" i="3"/>
  <c r="H155" i="3" s="1"/>
  <c r="G156" i="3"/>
  <c r="G178" i="3" s="1"/>
  <c r="D178" i="3"/>
  <c r="F154" i="3"/>
  <c r="F155" i="3" s="1"/>
  <c r="C156" i="3"/>
  <c r="C110" i="2"/>
  <c r="C117" i="2"/>
  <c r="C108" i="2"/>
  <c r="C121" i="2" s="1"/>
  <c r="C116" i="2"/>
  <c r="H136" i="2"/>
  <c r="H185" i="2"/>
  <c r="H145" i="2"/>
  <c r="H174" i="2"/>
  <c r="E153" i="2"/>
  <c r="H159" i="2"/>
  <c r="H184" i="2"/>
  <c r="H190" i="2" s="1"/>
  <c r="E136" i="2"/>
  <c r="E185" i="2"/>
  <c r="I121" i="2"/>
  <c r="I131" i="2" s="1"/>
  <c r="E157" i="2"/>
  <c r="E150" i="2"/>
  <c r="E192" i="2"/>
  <c r="E170" i="2"/>
  <c r="H156" i="2"/>
  <c r="H160" i="2" s="1"/>
  <c r="H163" i="2" s="1"/>
  <c r="E139" i="2"/>
  <c r="E146" i="2" s="1"/>
  <c r="E187" i="2"/>
  <c r="H146" i="2"/>
  <c r="F121" i="2"/>
  <c r="F133" i="2" s="1"/>
  <c r="E184" i="2"/>
  <c r="E191" i="2" s="1"/>
  <c r="K121" i="2"/>
  <c r="K125" i="2" s="1"/>
  <c r="D149" i="2"/>
  <c r="D158" i="2" s="1"/>
  <c r="D126" i="2"/>
  <c r="D138" i="2" s="1"/>
  <c r="D132" i="2"/>
  <c r="D144" i="2" s="1"/>
  <c r="D125" i="2"/>
  <c r="D130" i="2"/>
  <c r="D142" i="2" s="1"/>
  <c r="D124" i="2"/>
  <c r="D128" i="2"/>
  <c r="D133" i="2"/>
  <c r="D127" i="2"/>
  <c r="D129" i="2"/>
  <c r="D141" i="2" s="1"/>
  <c r="D131" i="2"/>
  <c r="J149" i="2"/>
  <c r="J158" i="2" s="1"/>
  <c r="J131" i="2"/>
  <c r="J127" i="2"/>
  <c r="J130" i="2"/>
  <c r="J125" i="2"/>
  <c r="J132" i="2"/>
  <c r="J144" i="2" s="1"/>
  <c r="J133" i="2"/>
  <c r="J129" i="2"/>
  <c r="J141" i="2" s="1"/>
  <c r="J128" i="2"/>
  <c r="J124" i="2"/>
  <c r="J126" i="2"/>
  <c r="J138" i="2" s="1"/>
  <c r="E154" i="2"/>
  <c r="E155" i="2" s="1"/>
  <c r="G149" i="2"/>
  <c r="G158" i="2" s="1"/>
  <c r="G130" i="2"/>
  <c r="G132" i="2"/>
  <c r="G144" i="2" s="1"/>
  <c r="G129" i="2"/>
  <c r="G141" i="2" s="1"/>
  <c r="G125" i="2"/>
  <c r="G128" i="2"/>
  <c r="G133" i="2"/>
  <c r="G126" i="2"/>
  <c r="G138" i="2" s="1"/>
  <c r="G127" i="2"/>
  <c r="G124" i="2"/>
  <c r="G131" i="2"/>
  <c r="P178" i="3" l="1"/>
  <c r="P160" i="3"/>
  <c r="Q169" i="3"/>
  <c r="Q171" i="3" s="1"/>
  <c r="Q173" i="3" s="1"/>
  <c r="Q175" i="3" s="1"/>
  <c r="Q166" i="3"/>
  <c r="Q172" i="3"/>
  <c r="Q176" i="3" s="1"/>
  <c r="N168" i="3"/>
  <c r="N165" i="3"/>
  <c r="N169" i="3" s="1"/>
  <c r="N180" i="3"/>
  <c r="M172" i="3"/>
  <c r="M176" i="3" s="1"/>
  <c r="L180" i="3"/>
  <c r="L173" i="3"/>
  <c r="L175" i="3" s="1"/>
  <c r="L172" i="3"/>
  <c r="J165" i="3"/>
  <c r="J169" i="3" s="1"/>
  <c r="J171" i="3" s="1"/>
  <c r="J173" i="3" s="1"/>
  <c r="J175" i="3" s="1"/>
  <c r="M166" i="3"/>
  <c r="O171" i="3"/>
  <c r="O173" i="3" s="1"/>
  <c r="O175" i="3" s="1"/>
  <c r="R172" i="3"/>
  <c r="R176" i="3" s="1"/>
  <c r="K162" i="3"/>
  <c r="S167" i="3"/>
  <c r="S161" i="3"/>
  <c r="S164" i="3" s="1"/>
  <c r="S168" i="3" s="1"/>
  <c r="K166" i="3"/>
  <c r="K171" i="3"/>
  <c r="K173" i="3" s="1"/>
  <c r="K175" i="3" s="1"/>
  <c r="K180" i="3"/>
  <c r="J180" i="3"/>
  <c r="J162" i="3"/>
  <c r="F156" i="3"/>
  <c r="F178" i="3" s="1"/>
  <c r="D161" i="3"/>
  <c r="D164" i="3" s="1"/>
  <c r="D168" i="3" s="1"/>
  <c r="G160" i="3"/>
  <c r="G163" i="3" s="1"/>
  <c r="E164" i="3"/>
  <c r="E162" i="3"/>
  <c r="C160" i="3"/>
  <c r="C163" i="3" s="1"/>
  <c r="C178" i="3"/>
  <c r="I155" i="3"/>
  <c r="I156" i="3"/>
  <c r="I178" i="3" s="1"/>
  <c r="H156" i="3"/>
  <c r="D167" i="3"/>
  <c r="C129" i="2"/>
  <c r="C141" i="2" s="1"/>
  <c r="C132" i="2"/>
  <c r="C127" i="2"/>
  <c r="C130" i="2"/>
  <c r="C142" i="2" s="1"/>
  <c r="C128" i="2"/>
  <c r="C138" i="2"/>
  <c r="C131" i="2"/>
  <c r="C133" i="2"/>
  <c r="C158" i="2"/>
  <c r="C125" i="2"/>
  <c r="I126" i="2"/>
  <c r="I138" i="2" s="1"/>
  <c r="I128" i="2"/>
  <c r="I140" i="2" s="1"/>
  <c r="I125" i="2"/>
  <c r="I137" i="2" s="1"/>
  <c r="I149" i="2"/>
  <c r="I158" i="2" s="1"/>
  <c r="E190" i="2"/>
  <c r="I132" i="2"/>
  <c r="I144" i="2" s="1"/>
  <c r="H189" i="2"/>
  <c r="H191" i="2"/>
  <c r="I129" i="2"/>
  <c r="I141" i="2" s="1"/>
  <c r="I133" i="2"/>
  <c r="I145" i="2" s="1"/>
  <c r="I124" i="2"/>
  <c r="I185" i="2" s="1"/>
  <c r="I130" i="2"/>
  <c r="I142" i="2" s="1"/>
  <c r="K132" i="2"/>
  <c r="K144" i="2" s="1"/>
  <c r="E189" i="2"/>
  <c r="I127" i="2"/>
  <c r="H178" i="2"/>
  <c r="K128" i="2"/>
  <c r="K140" i="2" s="1"/>
  <c r="K129" i="2"/>
  <c r="K141" i="2" s="1"/>
  <c r="K149" i="2"/>
  <c r="K158" i="2" s="1"/>
  <c r="K130" i="2"/>
  <c r="K142" i="2" s="1"/>
  <c r="K124" i="2"/>
  <c r="K136" i="2" s="1"/>
  <c r="F130" i="2"/>
  <c r="F142" i="2" s="1"/>
  <c r="F124" i="2"/>
  <c r="F136" i="2" s="1"/>
  <c r="F126" i="2"/>
  <c r="F138" i="2" s="1"/>
  <c r="F128" i="2"/>
  <c r="F132" i="2"/>
  <c r="F144" i="2" s="1"/>
  <c r="F129" i="2"/>
  <c r="F141" i="2" s="1"/>
  <c r="F131" i="2"/>
  <c r="F192" i="2" s="1"/>
  <c r="F149" i="2"/>
  <c r="F158" i="2" s="1"/>
  <c r="K133" i="2"/>
  <c r="K174" i="2" s="1"/>
  <c r="F127" i="2"/>
  <c r="F139" i="2" s="1"/>
  <c r="F125" i="2"/>
  <c r="F137" i="2" s="1"/>
  <c r="K131" i="2"/>
  <c r="K170" i="2" s="1"/>
  <c r="K157" i="2"/>
  <c r="K137" i="2"/>
  <c r="K127" i="2"/>
  <c r="K126" i="2"/>
  <c r="K138" i="2" s="1"/>
  <c r="H161" i="2"/>
  <c r="H164" i="2" s="1"/>
  <c r="H168" i="2" s="1"/>
  <c r="E156" i="2"/>
  <c r="E160" i="2" s="1"/>
  <c r="E163" i="2" s="1"/>
  <c r="D145" i="2"/>
  <c r="D174" i="2"/>
  <c r="D188" i="2"/>
  <c r="D139" i="2"/>
  <c r="D159" i="2"/>
  <c r="D140" i="2"/>
  <c r="D150" i="2"/>
  <c r="D184" i="2" s="1"/>
  <c r="D187" i="2"/>
  <c r="D136" i="2"/>
  <c r="D185" i="2"/>
  <c r="D186" i="2"/>
  <c r="D153" i="2"/>
  <c r="D137" i="2"/>
  <c r="D157" i="2"/>
  <c r="D143" i="2"/>
  <c r="D170" i="2"/>
  <c r="D192" i="2"/>
  <c r="I170" i="2"/>
  <c r="I143" i="2"/>
  <c r="I192" i="2"/>
  <c r="J139" i="2"/>
  <c r="J159" i="2"/>
  <c r="F140" i="2"/>
  <c r="G145" i="2"/>
  <c r="G174" i="2"/>
  <c r="G188" i="2"/>
  <c r="J136" i="2"/>
  <c r="J153" i="2"/>
  <c r="J187" i="2"/>
  <c r="J185" i="2"/>
  <c r="J186" i="2"/>
  <c r="J140" i="2"/>
  <c r="J150" i="2"/>
  <c r="J184" i="2" s="1"/>
  <c r="H167" i="2"/>
  <c r="J145" i="2"/>
  <c r="J174" i="2"/>
  <c r="J188" i="2"/>
  <c r="F145" i="2"/>
  <c r="F174" i="2"/>
  <c r="F188" i="2"/>
  <c r="J170" i="2"/>
  <c r="J143" i="2"/>
  <c r="J192" i="2"/>
  <c r="G140" i="2"/>
  <c r="G150" i="2"/>
  <c r="G184" i="2" s="1"/>
  <c r="G191" i="2" s="1"/>
  <c r="G143" i="2"/>
  <c r="G192" i="2"/>
  <c r="G170" i="2"/>
  <c r="I136" i="2"/>
  <c r="I153" i="2"/>
  <c r="I187" i="2"/>
  <c r="G142" i="2"/>
  <c r="J157" i="2"/>
  <c r="J137" i="2"/>
  <c r="I139" i="2"/>
  <c r="I159" i="2"/>
  <c r="G157" i="2"/>
  <c r="G137" i="2"/>
  <c r="G185" i="2"/>
  <c r="G153" i="2"/>
  <c r="G186" i="2"/>
  <c r="G187" i="2"/>
  <c r="G136" i="2"/>
  <c r="G139" i="2"/>
  <c r="G159" i="2"/>
  <c r="J142" i="2"/>
  <c r="P163" i="3" l="1"/>
  <c r="P161" i="3"/>
  <c r="N166" i="3"/>
  <c r="N171" i="3"/>
  <c r="N173" i="3" s="1"/>
  <c r="N175" i="3" s="1"/>
  <c r="N176" i="3" s="1"/>
  <c r="N172" i="3"/>
  <c r="D165" i="3"/>
  <c r="D169" i="3" s="1"/>
  <c r="F160" i="3"/>
  <c r="F163" i="3" s="1"/>
  <c r="D162" i="3"/>
  <c r="J166" i="3"/>
  <c r="O172" i="3"/>
  <c r="O176" i="3" s="1"/>
  <c r="L176" i="3"/>
  <c r="S165" i="3"/>
  <c r="S169" i="3" s="1"/>
  <c r="S171" i="3" s="1"/>
  <c r="S173" i="3" s="1"/>
  <c r="S175" i="3" s="1"/>
  <c r="S180" i="3"/>
  <c r="S162" i="3"/>
  <c r="K172" i="3"/>
  <c r="K176" i="3" s="1"/>
  <c r="J172" i="3"/>
  <c r="G167" i="3"/>
  <c r="G180" i="3" s="1"/>
  <c r="D171" i="3"/>
  <c r="D173" i="3" s="1"/>
  <c r="D175" i="3" s="1"/>
  <c r="H160" i="3"/>
  <c r="H163" i="3" s="1"/>
  <c r="E168" i="3"/>
  <c r="E165" i="3"/>
  <c r="E169" i="3" s="1"/>
  <c r="G161" i="3"/>
  <c r="G164" i="3" s="1"/>
  <c r="G168" i="3" s="1"/>
  <c r="D180" i="3"/>
  <c r="C167" i="3"/>
  <c r="C161" i="3"/>
  <c r="C164" i="3" s="1"/>
  <c r="C168" i="3" s="1"/>
  <c r="H178" i="3"/>
  <c r="F167" i="3"/>
  <c r="E180" i="3"/>
  <c r="I160" i="3"/>
  <c r="I163" i="3" s="1"/>
  <c r="C185" i="2"/>
  <c r="C136" i="2"/>
  <c r="C186" i="2"/>
  <c r="C187" i="2"/>
  <c r="C143" i="2"/>
  <c r="C192" i="2"/>
  <c r="C170" i="2"/>
  <c r="C150" i="2"/>
  <c r="C184" i="2" s="1"/>
  <c r="C140" i="2"/>
  <c r="I157" i="2"/>
  <c r="C137" i="2"/>
  <c r="C157" i="2"/>
  <c r="C139" i="2"/>
  <c r="C159" i="2"/>
  <c r="I188" i="2"/>
  <c r="I174" i="2"/>
  <c r="K192" i="2"/>
  <c r="C174" i="2"/>
  <c r="C188" i="2"/>
  <c r="C145" i="2"/>
  <c r="C156" i="2"/>
  <c r="C178" i="2" s="1"/>
  <c r="I150" i="2"/>
  <c r="I184" i="2" s="1"/>
  <c r="I186" i="2"/>
  <c r="K186" i="2"/>
  <c r="F187" i="2"/>
  <c r="F159" i="2"/>
  <c r="K150" i="2"/>
  <c r="K184" i="2" s="1"/>
  <c r="K189" i="2" s="1"/>
  <c r="K185" i="2"/>
  <c r="F157" i="2"/>
  <c r="F185" i="2"/>
  <c r="F153" i="2"/>
  <c r="F154" i="2" s="1"/>
  <c r="F155" i="2" s="1"/>
  <c r="F186" i="2"/>
  <c r="F150" i="2"/>
  <c r="F184" i="2" s="1"/>
  <c r="F191" i="2" s="1"/>
  <c r="K153" i="2"/>
  <c r="K154" i="2" s="1"/>
  <c r="K155" i="2" s="1"/>
  <c r="F143" i="2"/>
  <c r="F146" i="2" s="1"/>
  <c r="F170" i="2"/>
  <c r="K143" i="2"/>
  <c r="K188" i="2"/>
  <c r="K145" i="2"/>
  <c r="K187" i="2"/>
  <c r="K139" i="2"/>
  <c r="K159" i="2"/>
  <c r="H165" i="2"/>
  <c r="H169" i="2" s="1"/>
  <c r="H171" i="2" s="1"/>
  <c r="H173" i="2" s="1"/>
  <c r="H175" i="2" s="1"/>
  <c r="E178" i="2"/>
  <c r="H162" i="2"/>
  <c r="H180" i="2"/>
  <c r="I190" i="2"/>
  <c r="I189" i="2"/>
  <c r="D146" i="2"/>
  <c r="D191" i="2"/>
  <c r="D190" i="2"/>
  <c r="D189" i="2"/>
  <c r="D154" i="2"/>
  <c r="D155" i="2" s="1"/>
  <c r="J190" i="2"/>
  <c r="J191" i="2"/>
  <c r="J189" i="2"/>
  <c r="I191" i="2"/>
  <c r="J154" i="2"/>
  <c r="J156" i="2" s="1"/>
  <c r="G190" i="2"/>
  <c r="E161" i="2"/>
  <c r="E167" i="2"/>
  <c r="J146" i="2"/>
  <c r="I154" i="2"/>
  <c r="I155" i="2" s="1"/>
  <c r="G146" i="2"/>
  <c r="G154" i="2"/>
  <c r="G156" i="2" s="1"/>
  <c r="G189" i="2"/>
  <c r="I146" i="2"/>
  <c r="P164" i="3" l="1"/>
  <c r="P168" i="3" s="1"/>
  <c r="P162" i="3"/>
  <c r="P167" i="3"/>
  <c r="P180" i="3"/>
  <c r="P165" i="3"/>
  <c r="P169" i="3" s="1"/>
  <c r="D166" i="3"/>
  <c r="J176" i="3"/>
  <c r="F161" i="3"/>
  <c r="H161" i="3"/>
  <c r="H164" i="3" s="1"/>
  <c r="H168" i="3" s="1"/>
  <c r="S172" i="3"/>
  <c r="S166" i="3"/>
  <c r="I161" i="3"/>
  <c r="I164" i="3" s="1"/>
  <c r="I168" i="3" s="1"/>
  <c r="G162" i="3"/>
  <c r="C165" i="3"/>
  <c r="C169" i="3" s="1"/>
  <c r="C171" i="3" s="1"/>
  <c r="C173" i="3" s="1"/>
  <c r="C175" i="3" s="1"/>
  <c r="D172" i="3"/>
  <c r="D176" i="3" s="1"/>
  <c r="I167" i="3"/>
  <c r="C162" i="3"/>
  <c r="E171" i="3"/>
  <c r="E173" i="3" s="1"/>
  <c r="E175" i="3" s="1"/>
  <c r="G165" i="3"/>
  <c r="G169" i="3" s="1"/>
  <c r="E166" i="3"/>
  <c r="C180" i="3"/>
  <c r="H165" i="3"/>
  <c r="H169" i="3" s="1"/>
  <c r="H167" i="3"/>
  <c r="H180" i="3" s="1"/>
  <c r="C190" i="2"/>
  <c r="C189" i="2"/>
  <c r="C191" i="2"/>
  <c r="F190" i="2"/>
  <c r="C146" i="2"/>
  <c r="C155" i="2"/>
  <c r="C160" i="2"/>
  <c r="C163" i="2" s="1"/>
  <c r="C167" i="2" s="1"/>
  <c r="F189" i="2"/>
  <c r="K156" i="2"/>
  <c r="K178" i="2" s="1"/>
  <c r="K146" i="2"/>
  <c r="K190" i="2"/>
  <c r="F156" i="2"/>
  <c r="F160" i="2" s="1"/>
  <c r="F163" i="2" s="1"/>
  <c r="K191" i="2"/>
  <c r="H166" i="2"/>
  <c r="J155" i="2"/>
  <c r="I156" i="2"/>
  <c r="I178" i="2" s="1"/>
  <c r="D156" i="2"/>
  <c r="G160" i="2"/>
  <c r="G163" i="2" s="1"/>
  <c r="J178" i="2"/>
  <c r="J160" i="2"/>
  <c r="J163" i="2" s="1"/>
  <c r="H172" i="2"/>
  <c r="G178" i="2"/>
  <c r="E164" i="2"/>
  <c r="E162" i="2"/>
  <c r="G155" i="2"/>
  <c r="P171" i="3" l="1"/>
  <c r="P173" i="3" s="1"/>
  <c r="P175" i="3" s="1"/>
  <c r="P166" i="3"/>
  <c r="I162" i="3"/>
  <c r="F164" i="3"/>
  <c r="F162" i="3"/>
  <c r="H162" i="3"/>
  <c r="I165" i="3"/>
  <c r="I169" i="3" s="1"/>
  <c r="I180" i="3"/>
  <c r="S176" i="3"/>
  <c r="G166" i="3"/>
  <c r="E172" i="3"/>
  <c r="E176" i="3" s="1"/>
  <c r="C166" i="3"/>
  <c r="G171" i="3"/>
  <c r="G173" i="3" s="1"/>
  <c r="G175" i="3" s="1"/>
  <c r="H166" i="3"/>
  <c r="H171" i="3"/>
  <c r="H173" i="3" s="1"/>
  <c r="H175" i="3" s="1"/>
  <c r="C172" i="3"/>
  <c r="C176" i="3" s="1"/>
  <c r="I171" i="3"/>
  <c r="I173" i="3" s="1"/>
  <c r="I175" i="3" s="1"/>
  <c r="K160" i="2"/>
  <c r="K163" i="2" s="1"/>
  <c r="K167" i="2" s="1"/>
  <c r="C161" i="2"/>
  <c r="C164" i="2" s="1"/>
  <c r="C168" i="2" s="1"/>
  <c r="F178" i="2"/>
  <c r="H176" i="2"/>
  <c r="I160" i="2"/>
  <c r="I163" i="2" s="1"/>
  <c r="I167" i="2" s="1"/>
  <c r="D160" i="2"/>
  <c r="D163" i="2" s="1"/>
  <c r="F161" i="2"/>
  <c r="F164" i="2" s="1"/>
  <c r="F168" i="2" s="1"/>
  <c r="G161" i="2"/>
  <c r="G164" i="2" s="1"/>
  <c r="G168" i="2" s="1"/>
  <c r="D178" i="2"/>
  <c r="J167" i="2"/>
  <c r="E168" i="2"/>
  <c r="E165" i="2"/>
  <c r="E169" i="2" s="1"/>
  <c r="G167" i="2"/>
  <c r="F167" i="2"/>
  <c r="J161" i="2"/>
  <c r="J164" i="2" s="1"/>
  <c r="J168" i="2" s="1"/>
  <c r="E180" i="2"/>
  <c r="P172" i="3" l="1"/>
  <c r="P176" i="3"/>
  <c r="F168" i="3"/>
  <c r="F165" i="3"/>
  <c r="F169" i="3" s="1"/>
  <c r="F180" i="3"/>
  <c r="I166" i="3"/>
  <c r="H172" i="3"/>
  <c r="H176" i="3" s="1"/>
  <c r="I172" i="3"/>
  <c r="I176" i="3" s="1"/>
  <c r="G172" i="3"/>
  <c r="G176" i="3" s="1"/>
  <c r="K161" i="2"/>
  <c r="K164" i="2" s="1"/>
  <c r="K168" i="2" s="1"/>
  <c r="K180" i="2"/>
  <c r="C162" i="2"/>
  <c r="C165" i="2"/>
  <c r="C169" i="2" s="1"/>
  <c r="C175" i="2" s="1"/>
  <c r="C180" i="2"/>
  <c r="K162" i="2"/>
  <c r="K165" i="2"/>
  <c r="K169" i="2" s="1"/>
  <c r="K171" i="2" s="1"/>
  <c r="K173" i="2" s="1"/>
  <c r="K175" i="2" s="1"/>
  <c r="F162" i="2"/>
  <c r="G165" i="2"/>
  <c r="G169" i="2" s="1"/>
  <c r="G171" i="2" s="1"/>
  <c r="G173" i="2" s="1"/>
  <c r="G175" i="2" s="1"/>
  <c r="I161" i="2"/>
  <c r="I164" i="2" s="1"/>
  <c r="I168" i="2" s="1"/>
  <c r="G162" i="2"/>
  <c r="F165" i="2"/>
  <c r="F169" i="2" s="1"/>
  <c r="F171" i="2" s="1"/>
  <c r="F173" i="2" s="1"/>
  <c r="F175" i="2" s="1"/>
  <c r="D167" i="2"/>
  <c r="D161" i="2"/>
  <c r="D164" i="2" s="1"/>
  <c r="D168" i="2" s="1"/>
  <c r="F180" i="2"/>
  <c r="J165" i="2"/>
  <c r="J169" i="2" s="1"/>
  <c r="J171" i="2" s="1"/>
  <c r="J173" i="2" s="1"/>
  <c r="J175" i="2" s="1"/>
  <c r="J162" i="2"/>
  <c r="J180" i="2"/>
  <c r="E166" i="2"/>
  <c r="G180" i="2"/>
  <c r="E171" i="2"/>
  <c r="E173" i="2" s="1"/>
  <c r="E175" i="2" s="1"/>
  <c r="F166" i="3" l="1"/>
  <c r="F171" i="3"/>
  <c r="F173" i="3" s="1"/>
  <c r="F175" i="3" s="1"/>
  <c r="F172" i="3"/>
  <c r="F176" i="3" s="1"/>
  <c r="C166" i="2"/>
  <c r="C172" i="2"/>
  <c r="C176" i="2" s="1"/>
  <c r="G166" i="2"/>
  <c r="K172" i="2"/>
  <c r="K166" i="2"/>
  <c r="D165" i="2"/>
  <c r="D169" i="2" s="1"/>
  <c r="D171" i="2" s="1"/>
  <c r="D173" i="2" s="1"/>
  <c r="D175" i="2" s="1"/>
  <c r="I162" i="2"/>
  <c r="I180" i="2"/>
  <c r="I165" i="2"/>
  <c r="I169" i="2" s="1"/>
  <c r="I171" i="2" s="1"/>
  <c r="I173" i="2" s="1"/>
  <c r="I175" i="2" s="1"/>
  <c r="D180" i="2"/>
  <c r="E172" i="2"/>
  <c r="E176" i="2" s="1"/>
  <c r="D162" i="2"/>
  <c r="F166" i="2"/>
  <c r="J172" i="2"/>
  <c r="J166" i="2"/>
  <c r="F172" i="2"/>
  <c r="G172" i="2"/>
  <c r="G176" i="2" l="1"/>
  <c r="K176" i="2"/>
  <c r="D166" i="2"/>
  <c r="I172" i="2"/>
  <c r="I166" i="2"/>
  <c r="F176" i="2"/>
  <c r="J176" i="2"/>
  <c r="D172" i="2"/>
  <c r="D176" i="2" s="1"/>
  <c r="I176" i="2" l="1"/>
</calcChain>
</file>

<file path=xl/sharedStrings.xml><?xml version="1.0" encoding="utf-8"?>
<sst xmlns="http://schemas.openxmlformats.org/spreadsheetml/2006/main" count="560" uniqueCount="162">
  <si>
    <t>M4 Ca</t>
  </si>
  <si>
    <t>M4 Na</t>
  </si>
  <si>
    <t>A Na</t>
  </si>
  <si>
    <t>A box</t>
  </si>
  <si>
    <t>A K</t>
  </si>
  <si>
    <t>M2 Al</t>
  </si>
  <si>
    <t>T1 Al</t>
  </si>
  <si>
    <t>T1 Si</t>
  </si>
  <si>
    <t>cm</t>
  </si>
  <si>
    <t>Mg no</t>
  </si>
  <si>
    <t>Al(tot)</t>
  </si>
  <si>
    <t>Total</t>
  </si>
  <si>
    <t>Sum A</t>
  </si>
  <si>
    <t>K</t>
  </si>
  <si>
    <t>Na</t>
  </si>
  <si>
    <t>Sum B</t>
  </si>
  <si>
    <t>Ca</t>
  </si>
  <si>
    <t>Mn</t>
  </si>
  <si>
    <t>Fe2+</t>
  </si>
  <si>
    <t>Mg</t>
  </si>
  <si>
    <t>Sum C</t>
  </si>
  <si>
    <t>SumD</t>
  </si>
  <si>
    <t>Cr</t>
  </si>
  <si>
    <t>Fe3+</t>
  </si>
  <si>
    <t>Ti</t>
  </si>
  <si>
    <t>AlVI</t>
  </si>
  <si>
    <t>Sum T</t>
  </si>
  <si>
    <t>AlIV</t>
  </si>
  <si>
    <t>Si</t>
  </si>
  <si>
    <t>Ideal Site Assignments</t>
  </si>
  <si>
    <t>New Fe2+</t>
  </si>
  <si>
    <t>Holland and Blundy (1994)</t>
  </si>
  <si>
    <t>Sum</t>
  </si>
  <si>
    <t>Fe</t>
  </si>
  <si>
    <t>Al</t>
  </si>
  <si>
    <t>Anions</t>
  </si>
  <si>
    <t>Cations</t>
  </si>
  <si>
    <t>f10</t>
  </si>
  <si>
    <t>f9</t>
  </si>
  <si>
    <t>f8</t>
  </si>
  <si>
    <t>f7</t>
  </si>
  <si>
    <t>f6</t>
  </si>
  <si>
    <t>Max Fe3+</t>
  </si>
  <si>
    <t>f5</t>
  </si>
  <si>
    <t>f4</t>
  </si>
  <si>
    <t>f3</t>
  </si>
  <si>
    <t>f2</t>
  </si>
  <si>
    <t>f1</t>
  </si>
  <si>
    <t>Min Fe3+</t>
  </si>
  <si>
    <t>Anions (23 O)</t>
  </si>
  <si>
    <t>Cations (23 O)</t>
  </si>
  <si>
    <t>Molecular Proportions</t>
  </si>
  <si>
    <t>MC1314_H3_R3</t>
  </si>
  <si>
    <t>MC1314_H3_R2</t>
  </si>
  <si>
    <t>MC1314_H3_R1</t>
  </si>
  <si>
    <t>MC1314_H2_R3</t>
  </si>
  <si>
    <t>MC1314_H2_R2</t>
  </si>
  <si>
    <t>MC1314_H2_R1</t>
  </si>
  <si>
    <t>MC1314_H1_R3_nearalteredbiotite</t>
  </si>
  <si>
    <t>MC1314_H1_R2</t>
  </si>
  <si>
    <t>MC1314_H1_R1</t>
  </si>
  <si>
    <t xml:space="preserve">  Total  </t>
  </si>
  <si>
    <t xml:space="preserve">   Cl    </t>
  </si>
  <si>
    <t xml:space="preserve">   K2O   </t>
  </si>
  <si>
    <t xml:space="preserve">   Na2O  </t>
  </si>
  <si>
    <t xml:space="preserve">   CaO   </t>
  </si>
  <si>
    <t xml:space="preserve">   MgO   </t>
  </si>
  <si>
    <t xml:space="preserve">   MnO   </t>
  </si>
  <si>
    <t xml:space="preserve">   FeO   </t>
  </si>
  <si>
    <t xml:space="preserve">   Cr2O3 </t>
  </si>
  <si>
    <t xml:space="preserve">   Al2O3 </t>
  </si>
  <si>
    <t xml:space="preserve">   TiO2  </t>
  </si>
  <si>
    <t xml:space="preserve">   SiO2  </t>
  </si>
  <si>
    <t>Sample_name</t>
  </si>
  <si>
    <t>Holland and Blundy (1994): Recalculation of Fe3+ based on stoichiometry</t>
  </si>
  <si>
    <t>Site allocations for Holland and Blundy (1994) Hb-Pl thermometer</t>
  </si>
  <si>
    <t>SiO2_Amp</t>
  </si>
  <si>
    <t>TiO2_Amp</t>
  </si>
  <si>
    <t>Al2O3_Amp</t>
  </si>
  <si>
    <t>FeOt_Amp</t>
  </si>
  <si>
    <t>MnO_Amp</t>
  </si>
  <si>
    <t>MgO_Amp</t>
  </si>
  <si>
    <t>CaO_Amp</t>
  </si>
  <si>
    <t>Na2O_Amp</t>
  </si>
  <si>
    <t>K2O_Amp</t>
  </si>
  <si>
    <t>Cr2O3_Amp</t>
  </si>
  <si>
    <t>Changed molar masses 25th Feb</t>
  </si>
  <si>
    <t>* Matches Jordan</t>
  </si>
  <si>
    <t>cations on basis of 23 * the weird correction factor in red</t>
  </si>
  <si>
    <t>Si_T</t>
  </si>
  <si>
    <t>Al_T</t>
  </si>
  <si>
    <t>Al_C</t>
  </si>
  <si>
    <t>Ti_C</t>
  </si>
  <si>
    <t>Mg_C</t>
  </si>
  <si>
    <t>Fe_C</t>
  </si>
  <si>
    <t>Mn_C</t>
  </si>
  <si>
    <t>Cr_C</t>
  </si>
  <si>
    <t>Mg_B</t>
  </si>
  <si>
    <t>Fe_B</t>
  </si>
  <si>
    <t>Mn_B</t>
  </si>
  <si>
    <t>Na_B</t>
  </si>
  <si>
    <t>Ca_B</t>
  </si>
  <si>
    <t>Na_A</t>
  </si>
  <si>
    <t>K_A</t>
  </si>
  <si>
    <t>Jordan</t>
  </si>
  <si>
    <t>Diff</t>
  </si>
  <si>
    <t>* This is because euan allows negative numbers for Na, wheras jordan sets to zero</t>
  </si>
  <si>
    <t>*MATCHES JORDAN</t>
  </si>
  <si>
    <t>* seems fine, as negative bit cancels out here from above</t>
  </si>
  <si>
    <t>*Matches</t>
  </si>
  <si>
    <t>* Doesn match</t>
  </si>
  <si>
    <t>13/(C101-(C100+C96)-(C94+C90)-C95)</t>
  </si>
  <si>
    <t>Yerrington Table 11</t>
  </si>
  <si>
    <t>Run</t>
  </si>
  <si>
    <t>MC1314 R01</t>
  </si>
  <si>
    <t>MC1314 R02</t>
  </si>
  <si>
    <t>MC1314 R03</t>
  </si>
  <si>
    <t>MC1314 R05</t>
  </si>
  <si>
    <t>MC1314 R06</t>
  </si>
  <si>
    <t>MC1314 R07</t>
  </si>
  <si>
    <t>MC1314 R08</t>
  </si>
  <si>
    <t>MC1314 R10</t>
  </si>
  <si>
    <t>MC1314 R11</t>
  </si>
  <si>
    <t>MC1314 R12 A</t>
  </si>
  <si>
    <t>MC1314 R12 B</t>
  </si>
  <si>
    <t>MC1314 RB02</t>
  </si>
  <si>
    <t>MC1314 RB03</t>
  </si>
  <si>
    <t>FSC1332 R01†</t>
  </si>
  <si>
    <t>FSC1332 R04</t>
  </si>
  <si>
    <t>FSC1332 R05</t>
  </si>
  <si>
    <t>CMA201</t>
  </si>
  <si>
    <t>T  °C</t>
  </si>
  <si>
    <t>P (kbar)</t>
  </si>
  <si>
    <t>SiO2</t>
  </si>
  <si>
    <t>TiO2</t>
  </si>
  <si>
    <t>Al2O3</t>
  </si>
  <si>
    <t>Cr2O3</t>
  </si>
  <si>
    <t>FeO</t>
  </si>
  <si>
    <t>MnO</t>
  </si>
  <si>
    <t>MgO</t>
  </si>
  <si>
    <t>CaO</t>
  </si>
  <si>
    <t>Na2O</t>
  </si>
  <si>
    <t>K2O</t>
  </si>
  <si>
    <t>Cl</t>
  </si>
  <si>
    <t>Sum D</t>
  </si>
  <si>
    <t>Mg#*</t>
  </si>
  <si>
    <t>Altot</t>
  </si>
  <si>
    <t>s.d.</t>
  </si>
  <si>
    <t>n</t>
  </si>
  <si>
    <t>Structural formula calculated following Holland and Blundy (1994)</t>
  </si>
  <si>
    <t>* Molar Mg/(Mg + Fetot)</t>
  </si>
  <si>
    <t>† Contains 0.134 apfu Fe3 + on T-site</t>
  </si>
  <si>
    <t>Back to article page</t>
  </si>
  <si>
    <t>Over 10 million scientific documents at your fingertipsSwitch Edition</t>
  </si>
  <si>
    <t>Academic Edition Corporate Edition</t>
  </si>
  <si>
    <t>Home Impressum Legal information Privacy statement California Privacy Statement How we use cookies Manage cookies/Do not sell my data Accessibility Contact us</t>
  </si>
  <si>
    <t>Not logged in - 131.111.184.3</t>
  </si>
  <si>
    <t>University of Cambridge (2000188110) - 1257 CHEST UK LNP (3000214253) - JISC consortium (3991330314) - NESLI UK (3000130459) - JISC Collections Brettenham House South (3000251517) - University of Cambridge Open Access (1600001193) - JISC Journal Usage Statistics Portal (JUSP) (3001139967) - JISC /Springer Compact Springer Compact (publishing + reading) (3002011430) - New JISC (3002114477)</t>
  </si>
  <si>
    <t>Springer Nature</t>
  </si>
  <si>
    <t>© 2021 Springer Nature Switzerland AG. Part of Springer Nature.</t>
  </si>
  <si>
    <t>AlTot from spreadsheet</t>
  </si>
  <si>
    <t>Al_Tot_Round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</si>
</sst>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4"/>
      <name val="Verdana"/>
      <family val="2"/>
    </font>
    <font>
      <sz val="14"/>
      <color indexed="18"/>
      <name val="Verdana"/>
      <family val="2"/>
    </font>
    <font>
      <sz val="12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color indexed="18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ill="1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1" fillId="0" borderId="0" xfId="2" applyAlignment="1">
      <alignment horizontal="left" vertical="center"/>
    </xf>
    <xf numFmtId="0" fontId="1" fillId="0" borderId="0" xfId="2"/>
    <xf numFmtId="0" fontId="0" fillId="0" borderId="0" xfId="0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1" fillId="0" borderId="1" xfId="1"/>
    <xf numFmtId="0" fontId="0" fillId="0" borderId="0" xfId="0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5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164" fontId="0" fillId="0" borderId="0" xfId="0" applyNumberFormat="1" applyFill="1"/>
    <xf numFmtId="164" fontId="2" fillId="0" borderId="0" xfId="0" applyNumberFormat="1" applyFont="1" applyFill="1"/>
    <xf numFmtId="0" fontId="0" fillId="0" borderId="0" xfId="0" applyFont="1" applyFill="1"/>
    <xf numFmtId="0" fontId="0" fillId="0" borderId="0" xfId="0" applyFont="1"/>
    <xf numFmtId="165" fontId="0" fillId="0" borderId="0" xfId="0" applyNumberFormat="1" applyFont="1" applyFill="1"/>
    <xf numFmtId="0" fontId="11" fillId="0" borderId="0" xfId="0" applyFont="1"/>
    <xf numFmtId="164" fontId="11" fillId="0" borderId="0" xfId="0" applyNumberFormat="1" applyFont="1" applyFill="1"/>
    <xf numFmtId="0" fontId="11" fillId="0" borderId="0" xfId="0" applyFont="1" applyFill="1"/>
    <xf numFmtId="165" fontId="11" fillId="0" borderId="0" xfId="0" applyNumberFormat="1" applyFont="1" applyFill="1"/>
    <xf numFmtId="0" fontId="12" fillId="0" borderId="0" xfId="0" applyFont="1" applyFill="1"/>
    <xf numFmtId="0" fontId="13" fillId="0" borderId="0" xfId="0" applyFont="1" applyFill="1"/>
    <xf numFmtId="0" fontId="0" fillId="4" borderId="0" xfId="0" applyFill="1"/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wrapText="1"/>
    </xf>
    <xf numFmtId="164" fontId="0" fillId="4" borderId="0" xfId="0" applyNumberFormat="1" applyFill="1"/>
    <xf numFmtId="164" fontId="11" fillId="4" borderId="0" xfId="0" applyNumberFormat="1" applyFont="1" applyFill="1"/>
    <xf numFmtId="164" fontId="2" fillId="4" borderId="0" xfId="0" applyNumberFormat="1" applyFont="1" applyFill="1"/>
    <xf numFmtId="0" fontId="2" fillId="4" borderId="0" xfId="0" applyFont="1" applyFill="1"/>
    <xf numFmtId="0" fontId="0" fillId="4" borderId="2" xfId="0" applyFill="1" applyBorder="1"/>
    <xf numFmtId="0" fontId="0" fillId="4" borderId="3" xfId="0" applyFill="1" applyBorder="1"/>
  </cellXfs>
  <cellStyles count="3">
    <cellStyle name="Heading 3" xfId="1" builtinId="18"/>
    <cellStyle name="Heading 4" xfId="2" builtinId="19"/>
    <cellStyle name="Normal" xfId="0" builtinId="0"/>
  </cellStyles>
  <dxfs count="2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1126D-C4BD-4BFB-B021-766C1ED98B20}">
  <dimension ref="A2:BF192"/>
  <sheetViews>
    <sheetView tabSelected="1" topLeftCell="A102" zoomScale="90" zoomScaleNormal="90" workbookViewId="0">
      <selection activeCell="P89" sqref="P89"/>
    </sheetView>
  </sheetViews>
  <sheetFormatPr defaultColWidth="8.88671875" defaultRowHeight="14.4" x14ac:dyDescent="0.3"/>
  <cols>
    <col min="1" max="1" width="12.77734375" customWidth="1"/>
    <col min="2" max="2" width="9.44140625" customWidth="1"/>
    <col min="3" max="19" width="10.44140625" bestFit="1" customWidth="1"/>
  </cols>
  <sheetData>
    <row r="2" spans="2:58" ht="15" thickBot="1" x14ac:dyDescent="0.35">
      <c r="B2" s="14"/>
    </row>
    <row r="3" spans="2:58" x14ac:dyDescent="0.3">
      <c r="B3" t="s">
        <v>72</v>
      </c>
      <c r="C3">
        <v>50.04</v>
      </c>
      <c r="D3">
        <v>48.42</v>
      </c>
      <c r="E3">
        <v>44.14</v>
      </c>
      <c r="F3">
        <v>43.22</v>
      </c>
      <c r="G3">
        <v>41.02</v>
      </c>
      <c r="H3">
        <v>41.28</v>
      </c>
      <c r="I3">
        <v>50.51</v>
      </c>
      <c r="J3">
        <v>48.72</v>
      </c>
      <c r="K3">
        <v>49.59</v>
      </c>
      <c r="L3">
        <v>43.95</v>
      </c>
      <c r="M3">
        <v>44.59</v>
      </c>
      <c r="N3">
        <v>47.08</v>
      </c>
      <c r="O3">
        <v>46</v>
      </c>
      <c r="P3">
        <v>53.55</v>
      </c>
      <c r="Q3">
        <v>49.25</v>
      </c>
      <c r="R3">
        <v>44.93</v>
      </c>
      <c r="S3">
        <v>52.82</v>
      </c>
      <c r="T3" s="9"/>
      <c r="U3" s="9"/>
      <c r="V3" s="9"/>
      <c r="W3" s="9"/>
      <c r="X3" s="9"/>
      <c r="Y3" s="9"/>
      <c r="Z3" s="10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10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3"/>
    </row>
    <row r="4" spans="2:58" x14ac:dyDescent="0.3">
      <c r="B4" t="s">
        <v>71</v>
      </c>
      <c r="C4">
        <v>0.67</v>
      </c>
      <c r="D4">
        <v>0.91</v>
      </c>
      <c r="E4">
        <v>1.41</v>
      </c>
      <c r="F4">
        <v>1.22</v>
      </c>
      <c r="G4">
        <v>3.04</v>
      </c>
      <c r="H4">
        <v>2.8</v>
      </c>
      <c r="I4">
        <v>0.61</v>
      </c>
      <c r="J4">
        <v>0.65</v>
      </c>
      <c r="K4">
        <v>0.53</v>
      </c>
      <c r="L4">
        <v>0.65</v>
      </c>
      <c r="M4">
        <v>0.81</v>
      </c>
      <c r="N4">
        <v>1.05</v>
      </c>
      <c r="O4">
        <v>1.35</v>
      </c>
      <c r="P4">
        <v>0.25</v>
      </c>
      <c r="Q4">
        <v>0.66</v>
      </c>
      <c r="R4">
        <v>1.92</v>
      </c>
      <c r="S4">
        <v>0.97</v>
      </c>
      <c r="T4" s="9"/>
      <c r="U4" s="9"/>
      <c r="V4" s="9"/>
      <c r="W4" s="9"/>
      <c r="X4" s="9"/>
      <c r="Y4" s="9"/>
      <c r="Z4" s="10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10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3"/>
    </row>
    <row r="5" spans="2:58" x14ac:dyDescent="0.3">
      <c r="B5" t="s">
        <v>70</v>
      </c>
      <c r="C5">
        <v>4.3099999999999996</v>
      </c>
      <c r="D5">
        <v>4.71</v>
      </c>
      <c r="E5">
        <v>9.6</v>
      </c>
      <c r="F5">
        <v>13.13</v>
      </c>
      <c r="G5">
        <v>12.29</v>
      </c>
      <c r="H5">
        <v>13</v>
      </c>
      <c r="I5">
        <v>3.85</v>
      </c>
      <c r="J5">
        <v>6.14</v>
      </c>
      <c r="K5">
        <v>4.5</v>
      </c>
      <c r="L5">
        <v>9.83</v>
      </c>
      <c r="M5">
        <v>9.9700000000000006</v>
      </c>
      <c r="N5">
        <v>8.26</v>
      </c>
      <c r="O5">
        <v>9.5</v>
      </c>
      <c r="P5">
        <v>1.63</v>
      </c>
      <c r="Q5">
        <v>5.1100000000000003</v>
      </c>
      <c r="R5">
        <v>9.33</v>
      </c>
      <c r="S5">
        <v>4</v>
      </c>
      <c r="T5" s="9"/>
      <c r="U5" s="9"/>
      <c r="V5" s="9"/>
      <c r="W5" s="9"/>
      <c r="X5" s="9"/>
      <c r="Y5" s="9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10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3"/>
    </row>
    <row r="6" spans="2:58" x14ac:dyDescent="0.3">
      <c r="B6" t="s">
        <v>69</v>
      </c>
      <c r="C6">
        <v>0</v>
      </c>
      <c r="D6">
        <v>0.01</v>
      </c>
      <c r="E6">
        <v>0</v>
      </c>
      <c r="F6">
        <v>0</v>
      </c>
      <c r="G6">
        <v>0.05</v>
      </c>
      <c r="H6">
        <v>0</v>
      </c>
      <c r="I6">
        <v>0</v>
      </c>
      <c r="J6">
        <v>0</v>
      </c>
      <c r="K6">
        <v>0</v>
      </c>
      <c r="L6">
        <v>0</v>
      </c>
      <c r="M6">
        <v>0.04</v>
      </c>
      <c r="N6">
        <v>0</v>
      </c>
      <c r="O6">
        <v>0</v>
      </c>
      <c r="P6">
        <v>0</v>
      </c>
      <c r="Q6">
        <v>0.05</v>
      </c>
      <c r="R6">
        <v>0</v>
      </c>
      <c r="S6">
        <v>0.01</v>
      </c>
      <c r="T6" s="9"/>
      <c r="U6" s="9"/>
      <c r="V6" s="9"/>
      <c r="W6" s="9"/>
      <c r="X6" s="9"/>
      <c r="Y6" s="9"/>
      <c r="Z6" s="10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10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3"/>
    </row>
    <row r="7" spans="2:58" x14ac:dyDescent="0.3">
      <c r="B7" t="s">
        <v>68</v>
      </c>
      <c r="C7">
        <v>17.48</v>
      </c>
      <c r="D7">
        <v>18.309999999999999</v>
      </c>
      <c r="E7">
        <v>19.18</v>
      </c>
      <c r="F7">
        <v>18.93</v>
      </c>
      <c r="G7">
        <v>17.760000000000002</v>
      </c>
      <c r="H7">
        <v>16.63</v>
      </c>
      <c r="I7">
        <v>17.59</v>
      </c>
      <c r="J7">
        <v>18.04</v>
      </c>
      <c r="K7">
        <v>19.420000000000002</v>
      </c>
      <c r="L7">
        <v>24.38</v>
      </c>
      <c r="M7">
        <v>22.94</v>
      </c>
      <c r="N7">
        <v>16.489999999999998</v>
      </c>
      <c r="O7">
        <v>15.72</v>
      </c>
      <c r="P7">
        <v>14.59</v>
      </c>
      <c r="Q7">
        <v>17.21</v>
      </c>
      <c r="R7">
        <v>14.74</v>
      </c>
      <c r="S7">
        <v>7.63</v>
      </c>
      <c r="T7" s="9"/>
      <c r="U7" s="9"/>
      <c r="V7" s="9"/>
      <c r="W7" s="9"/>
      <c r="X7" s="9"/>
      <c r="Y7" s="9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10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"/>
    </row>
    <row r="8" spans="2:58" x14ac:dyDescent="0.3">
      <c r="B8" t="s">
        <v>67</v>
      </c>
      <c r="C8">
        <v>0.44</v>
      </c>
      <c r="D8">
        <v>0.37</v>
      </c>
      <c r="E8">
        <v>0.35</v>
      </c>
      <c r="F8">
        <v>0.31</v>
      </c>
      <c r="G8">
        <v>0.27</v>
      </c>
      <c r="H8">
        <v>0.22</v>
      </c>
      <c r="I8">
        <v>0.4</v>
      </c>
      <c r="J8">
        <v>0.51</v>
      </c>
      <c r="K8">
        <v>0.6</v>
      </c>
      <c r="L8">
        <v>0.65</v>
      </c>
      <c r="M8">
        <v>0.68</v>
      </c>
      <c r="N8">
        <v>0.39</v>
      </c>
      <c r="O8">
        <v>0.36</v>
      </c>
      <c r="P8">
        <v>0.52</v>
      </c>
      <c r="Q8">
        <v>0.8</v>
      </c>
      <c r="R8">
        <v>0.27</v>
      </c>
      <c r="S8">
        <v>0.12</v>
      </c>
      <c r="T8" s="9"/>
      <c r="U8" s="9"/>
      <c r="V8" s="9"/>
      <c r="W8" s="9"/>
      <c r="X8" s="9"/>
      <c r="Y8" s="9"/>
      <c r="Z8" s="10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10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3"/>
    </row>
    <row r="9" spans="2:58" x14ac:dyDescent="0.3">
      <c r="B9" t="s">
        <v>66</v>
      </c>
      <c r="C9">
        <v>12.68</v>
      </c>
      <c r="D9">
        <v>11.41</v>
      </c>
      <c r="E9">
        <v>10.039999999999999</v>
      </c>
      <c r="F9">
        <v>7.74</v>
      </c>
      <c r="G9">
        <v>9.73</v>
      </c>
      <c r="H9">
        <v>10.07</v>
      </c>
      <c r="I9">
        <v>12.69</v>
      </c>
      <c r="J9">
        <v>11.74</v>
      </c>
      <c r="K9">
        <v>11.89</v>
      </c>
      <c r="L9">
        <v>6.46</v>
      </c>
      <c r="M9">
        <v>6.43</v>
      </c>
      <c r="N9">
        <v>12.23</v>
      </c>
      <c r="O9">
        <v>12.02</v>
      </c>
      <c r="P9">
        <v>17.420000000000002</v>
      </c>
      <c r="Q9">
        <v>12.54</v>
      </c>
      <c r="R9">
        <v>13.78</v>
      </c>
      <c r="S9">
        <v>18.559999999999999</v>
      </c>
      <c r="T9" s="9"/>
      <c r="U9" s="9"/>
      <c r="V9" s="9"/>
      <c r="W9" s="9"/>
      <c r="X9" s="9"/>
      <c r="Y9" s="9"/>
      <c r="Z9" s="10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10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3"/>
    </row>
    <row r="10" spans="2:58" x14ac:dyDescent="0.3">
      <c r="B10" t="s">
        <v>65</v>
      </c>
      <c r="C10">
        <v>11.06</v>
      </c>
      <c r="D10">
        <v>10.88</v>
      </c>
      <c r="E10">
        <v>10.42</v>
      </c>
      <c r="F10">
        <v>10.3</v>
      </c>
      <c r="G10">
        <v>10.210000000000001</v>
      </c>
      <c r="H10">
        <v>10.28</v>
      </c>
      <c r="I10">
        <v>10.73</v>
      </c>
      <c r="J10">
        <v>11.33</v>
      </c>
      <c r="K10">
        <v>9.76</v>
      </c>
      <c r="L10">
        <v>10.09</v>
      </c>
      <c r="M10">
        <v>10.46</v>
      </c>
      <c r="N10">
        <v>10.65</v>
      </c>
      <c r="O10">
        <v>10.23</v>
      </c>
      <c r="P10">
        <v>10.61</v>
      </c>
      <c r="Q10">
        <v>10.54</v>
      </c>
      <c r="R10">
        <v>10.14</v>
      </c>
      <c r="S10">
        <v>12.11</v>
      </c>
      <c r="T10" s="9"/>
      <c r="U10" s="9"/>
      <c r="V10" s="9"/>
      <c r="W10" s="9"/>
      <c r="X10" s="9"/>
      <c r="Y10" s="9"/>
      <c r="Z10" s="10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10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3"/>
    </row>
    <row r="11" spans="2:58" x14ac:dyDescent="0.3">
      <c r="B11" t="s">
        <v>64</v>
      </c>
      <c r="C11">
        <v>0.92</v>
      </c>
      <c r="D11">
        <v>1.02</v>
      </c>
      <c r="E11">
        <v>1.57</v>
      </c>
      <c r="F11">
        <v>1.53</v>
      </c>
      <c r="G11">
        <v>1.91</v>
      </c>
      <c r="H11">
        <v>1.96</v>
      </c>
      <c r="I11">
        <v>0.87</v>
      </c>
      <c r="J11">
        <v>0.63</v>
      </c>
      <c r="K11">
        <v>0.8</v>
      </c>
      <c r="L11">
        <v>0.96</v>
      </c>
      <c r="M11">
        <v>1</v>
      </c>
      <c r="N11">
        <v>1.34</v>
      </c>
      <c r="O11">
        <v>1.55</v>
      </c>
      <c r="P11">
        <v>0.22</v>
      </c>
      <c r="Q11">
        <v>0.8</v>
      </c>
      <c r="R11">
        <v>1.84</v>
      </c>
      <c r="S11">
        <v>0.76</v>
      </c>
      <c r="T11" s="9"/>
      <c r="U11" s="9"/>
      <c r="V11" s="9"/>
      <c r="W11" s="9"/>
      <c r="X11" s="9"/>
      <c r="Y11" s="9"/>
      <c r="Z11" s="10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10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3"/>
    </row>
    <row r="12" spans="2:58" x14ac:dyDescent="0.3">
      <c r="B12" t="s">
        <v>63</v>
      </c>
      <c r="C12">
        <v>0.39</v>
      </c>
      <c r="D12">
        <v>0.46</v>
      </c>
      <c r="E12">
        <v>1.02</v>
      </c>
      <c r="F12">
        <v>0.89</v>
      </c>
      <c r="G12">
        <v>0.95</v>
      </c>
      <c r="H12">
        <v>1</v>
      </c>
      <c r="I12">
        <v>0.37</v>
      </c>
      <c r="J12">
        <v>0.36</v>
      </c>
      <c r="K12">
        <v>0.42</v>
      </c>
      <c r="L12">
        <v>0.56000000000000005</v>
      </c>
      <c r="M12">
        <v>0.76</v>
      </c>
      <c r="N12">
        <v>0.62</v>
      </c>
      <c r="O12">
        <v>0.71</v>
      </c>
      <c r="P12">
        <v>0.22</v>
      </c>
      <c r="Q12">
        <v>0.32</v>
      </c>
      <c r="R12">
        <v>0.51</v>
      </c>
      <c r="S12">
        <v>0.46</v>
      </c>
      <c r="T12" s="9"/>
      <c r="U12" s="9"/>
      <c r="V12" s="9"/>
      <c r="W12" s="9"/>
      <c r="X12" s="9"/>
      <c r="Y12" s="9"/>
      <c r="Z12" s="1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10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3"/>
    </row>
    <row r="13" spans="2:58" x14ac:dyDescent="0.3">
      <c r="B13" t="s">
        <v>62</v>
      </c>
      <c r="C13">
        <v>0.17599999999999999</v>
      </c>
      <c r="D13">
        <v>0.22500000000000001</v>
      </c>
      <c r="E13">
        <v>7.0999999999999994E-2</v>
      </c>
      <c r="F13">
        <v>2.4E-2</v>
      </c>
      <c r="G13">
        <v>2.4E-2</v>
      </c>
      <c r="H13">
        <v>2.5000000000000001E-2</v>
      </c>
      <c r="I13">
        <v>0.16700000000000001</v>
      </c>
      <c r="J13">
        <v>0.03</v>
      </c>
      <c r="K13">
        <v>2.5999999999999999E-2</v>
      </c>
      <c r="L13">
        <v>4.5999999999999999E-2</v>
      </c>
      <c r="M13">
        <v>3.6999999999999998E-2</v>
      </c>
      <c r="N13">
        <v>0.10299999999999999</v>
      </c>
      <c r="O13">
        <v>2.5999999999999999E-2</v>
      </c>
      <c r="P13">
        <v>8.0000000000000002E-3</v>
      </c>
      <c r="Q13">
        <v>3.4000000000000002E-2</v>
      </c>
      <c r="R13">
        <v>6.0000000000000001E-3</v>
      </c>
      <c r="S13">
        <v>7.5999999999999998E-2</v>
      </c>
      <c r="T13" s="9"/>
      <c r="U13" s="9"/>
      <c r="V13" s="9"/>
      <c r="W13" s="9"/>
      <c r="X13" s="9"/>
      <c r="Y13" s="9"/>
      <c r="Z13" s="1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10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3"/>
    </row>
    <row r="14" spans="2:58" x14ac:dyDescent="0.3">
      <c r="B14" t="s">
        <v>61</v>
      </c>
      <c r="C14">
        <v>97.748999999999995</v>
      </c>
      <c r="D14">
        <v>97.727900000000005</v>
      </c>
      <c r="E14">
        <v>97.452200000000005</v>
      </c>
      <c r="F14">
        <v>97.022099999999995</v>
      </c>
      <c r="G14">
        <v>97.6</v>
      </c>
      <c r="H14">
        <v>97.298400000000001</v>
      </c>
      <c r="I14">
        <v>97.265100000000004</v>
      </c>
      <c r="J14">
        <v>96.996200000000002</v>
      </c>
      <c r="K14">
        <v>96.996200000000002</v>
      </c>
      <c r="L14">
        <v>96.996200000000002</v>
      </c>
      <c r="M14">
        <v>96.996200000000002</v>
      </c>
      <c r="N14">
        <v>96.996200000000002</v>
      </c>
      <c r="O14">
        <v>96.996200000000002</v>
      </c>
      <c r="P14">
        <v>96.996200000000002</v>
      </c>
      <c r="Q14">
        <v>96.996200000000002</v>
      </c>
      <c r="R14">
        <v>96.996200000000002</v>
      </c>
      <c r="S14">
        <v>96.996200000000002</v>
      </c>
      <c r="T14" s="9"/>
      <c r="U14" s="9"/>
      <c r="V14" s="9"/>
      <c r="W14" s="9"/>
      <c r="X14" s="9"/>
      <c r="Y14" s="9"/>
      <c r="Z14" s="10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10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3"/>
    </row>
    <row r="15" spans="2:58" ht="57.6" x14ac:dyDescent="0.3">
      <c r="B15" t="s">
        <v>73</v>
      </c>
      <c r="C15" s="13" t="s">
        <v>60</v>
      </c>
      <c r="D15" s="13" t="s">
        <v>59</v>
      </c>
      <c r="E15" s="13" t="s">
        <v>58</v>
      </c>
      <c r="F15" s="13" t="s">
        <v>57</v>
      </c>
      <c r="G15" s="13" t="s">
        <v>56</v>
      </c>
      <c r="H15" s="13" t="s">
        <v>55</v>
      </c>
      <c r="I15" s="13" t="s">
        <v>54</v>
      </c>
      <c r="J15" s="13" t="s">
        <v>53</v>
      </c>
      <c r="K15" s="13" t="s">
        <v>53</v>
      </c>
      <c r="L15" s="13" t="s">
        <v>53</v>
      </c>
      <c r="M15" s="13" t="s">
        <v>53</v>
      </c>
      <c r="N15" s="13" t="s">
        <v>53</v>
      </c>
      <c r="O15" s="13" t="s">
        <v>53</v>
      </c>
      <c r="P15" s="13" t="s">
        <v>53</v>
      </c>
      <c r="Q15" s="13" t="s">
        <v>53</v>
      </c>
      <c r="R15" s="13" t="s">
        <v>53</v>
      </c>
      <c r="S15" s="13" t="s">
        <v>53</v>
      </c>
      <c r="T15" s="9"/>
      <c r="U15" s="9"/>
      <c r="V15" s="9"/>
      <c r="W15" s="9"/>
      <c r="X15" s="9"/>
      <c r="Y15" s="9"/>
      <c r="Z15" s="10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10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3"/>
    </row>
    <row r="16" spans="2:58" x14ac:dyDescent="0.3">
      <c r="C16">
        <v>1</v>
      </c>
      <c r="D16">
        <v>2</v>
      </c>
      <c r="E16">
        <v>3</v>
      </c>
      <c r="F16">
        <v>7</v>
      </c>
      <c r="G16">
        <v>8</v>
      </c>
      <c r="H16">
        <v>9</v>
      </c>
      <c r="I16">
        <v>12</v>
      </c>
      <c r="J16">
        <v>13</v>
      </c>
      <c r="K16">
        <v>13</v>
      </c>
      <c r="L16">
        <v>13</v>
      </c>
      <c r="M16">
        <v>13</v>
      </c>
      <c r="N16">
        <v>13</v>
      </c>
      <c r="O16">
        <v>13</v>
      </c>
      <c r="P16">
        <v>13</v>
      </c>
      <c r="Q16">
        <v>13</v>
      </c>
      <c r="R16">
        <v>13</v>
      </c>
      <c r="S16">
        <v>13</v>
      </c>
      <c r="T16" s="9"/>
      <c r="U16" s="9"/>
      <c r="V16" s="9"/>
      <c r="W16" s="9"/>
      <c r="X16" s="9"/>
      <c r="Y16" s="9"/>
      <c r="Z16" s="10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10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3"/>
    </row>
    <row r="17" spans="2:58" x14ac:dyDescent="0.3">
      <c r="Z17" s="2"/>
      <c r="AM17" s="2"/>
      <c r="BF17" s="3"/>
    </row>
    <row r="18" spans="2:58" x14ac:dyDescent="0.3">
      <c r="B18" s="8" t="s">
        <v>51</v>
      </c>
      <c r="Z18" s="2"/>
      <c r="AM18" s="2"/>
      <c r="BF18" s="3"/>
    </row>
    <row r="19" spans="2:58" x14ac:dyDescent="0.3">
      <c r="B19" t="s">
        <v>28</v>
      </c>
      <c r="C19" s="3">
        <f>Table_5_From_paper!C3/60.0843</f>
        <v>0.83282987402699205</v>
      </c>
      <c r="D19" s="3">
        <f>Table_5_From_paper!D3/60.0843</f>
        <v>0.80586775580309666</v>
      </c>
      <c r="E19" s="3">
        <f>Table_5_From_paper!E3/60.0843</f>
        <v>0.73463450518687912</v>
      </c>
      <c r="F19" s="3">
        <f>Table_5_From_paper!F3/60.0843</f>
        <v>0.71932268496096319</v>
      </c>
      <c r="G19" s="3">
        <f>Table_5_From_paper!G3/60.0843</f>
        <v>0.6827074626815991</v>
      </c>
      <c r="H19" s="3">
        <f>Table_5_From_paper!H3/60.0843</f>
        <v>0.68703471622370571</v>
      </c>
      <c r="I19" s="3">
        <f>Table_5_From_paper!I3/60.0843</f>
        <v>0.84065221696849257</v>
      </c>
      <c r="J19" s="3">
        <f>Table_5_From_paper!J3/60.0843</f>
        <v>0.81086074065937352</v>
      </c>
      <c r="K19" s="3">
        <f>Table_5_From_paper!K3/60.0843</f>
        <v>0.82534039674257675</v>
      </c>
      <c r="L19" s="3">
        <f>Table_5_From_paper!L3/60.0843</f>
        <v>0.73147228144457044</v>
      </c>
      <c r="M19" s="3">
        <f>Table_5_From_paper!M3/60.0843</f>
        <v>0.74212398247129452</v>
      </c>
      <c r="N19" s="3">
        <f>Table_5_From_paper!N3/60.0843</f>
        <v>0.78356575677839302</v>
      </c>
      <c r="O19" s="3">
        <f>Table_5_From_paper!O3/60.0843</f>
        <v>0.7655910112957961</v>
      </c>
      <c r="P19" s="3">
        <f>Table_5_From_paper!P3/60.0843</f>
        <v>0.89124779684543209</v>
      </c>
      <c r="Q19" s="3">
        <f>Table_5_From_paper!Q3/60.0843</f>
        <v>0.81968168057212953</v>
      </c>
      <c r="R19" s="3">
        <f>Table_5_From_paper!R3/60.0843</f>
        <v>0.74778269864174174</v>
      </c>
      <c r="S19" s="3">
        <f>Table_5_From_paper!S3/60.0843</f>
        <v>0.87909820036182496</v>
      </c>
      <c r="T19" s="3"/>
      <c r="U19" s="3"/>
      <c r="V19" s="3"/>
      <c r="W19" s="3"/>
      <c r="X19" s="3"/>
      <c r="Y19" s="3"/>
      <c r="Z19" s="5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5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2:58" x14ac:dyDescent="0.3">
      <c r="B20" t="s">
        <v>24</v>
      </c>
      <c r="C20" s="3">
        <f>Table_5_From_paper!C4/(79.8788)</f>
        <v>8.3877073766756641E-3</v>
      </c>
      <c r="D20" s="3">
        <f>Table_5_From_paper!D4/(79.8788)</f>
        <v>1.1392259272798289E-2</v>
      </c>
      <c r="E20" s="3">
        <f>Table_5_From_paper!E4/(79.8788)</f>
        <v>1.7651742389720424E-2</v>
      </c>
      <c r="F20" s="3">
        <f>Table_5_From_paper!F4/(79.8788)</f>
        <v>1.5273138805290014E-2</v>
      </c>
      <c r="G20" s="3">
        <f>Table_5_From_paper!G4/(79.8788)</f>
        <v>3.8057657350886592E-2</v>
      </c>
      <c r="H20" s="3">
        <f>Table_5_From_paper!H4/(79.8788)</f>
        <v>3.5053105454763964E-2</v>
      </c>
      <c r="I20" s="3">
        <f>Table_5_From_paper!I4/(79.8788)</f>
        <v>7.6365694026450069E-3</v>
      </c>
      <c r="J20" s="3">
        <f>Table_5_From_paper!J4/(79.8788)</f>
        <v>8.1373280519987778E-3</v>
      </c>
      <c r="K20" s="3">
        <f>Table_5_From_paper!K4/(79.8788)</f>
        <v>6.6350521039374661E-3</v>
      </c>
      <c r="L20" s="3">
        <f>Table_5_From_paper!L4/(79.8788)</f>
        <v>8.1373280519987778E-3</v>
      </c>
      <c r="M20" s="3">
        <f>Table_5_From_paper!M4/(79.8788)</f>
        <v>1.0140362649413863E-2</v>
      </c>
      <c r="N20" s="3">
        <f>Table_5_From_paper!N4/(79.8788)</f>
        <v>1.3144914545536488E-2</v>
      </c>
      <c r="O20" s="3">
        <f>Table_5_From_paper!O4/(79.8788)</f>
        <v>1.690060441568977E-2</v>
      </c>
      <c r="P20" s="3">
        <f>Table_5_From_paper!P4/(79.8788)</f>
        <v>3.1297415584610687E-3</v>
      </c>
      <c r="Q20" s="3">
        <f>Table_5_From_paper!Q4/(79.8788)</f>
        <v>8.2625177143372218E-3</v>
      </c>
      <c r="R20" s="3">
        <f>Table_5_From_paper!R4/(79.8788)</f>
        <v>2.4036415168981005E-2</v>
      </c>
      <c r="S20" s="3">
        <f>Table_5_From_paper!S4/(79.8788)</f>
        <v>1.2143397246828946E-2</v>
      </c>
      <c r="T20" s="3"/>
      <c r="U20" s="3"/>
      <c r="V20" s="3"/>
      <c r="W20" s="3"/>
      <c r="X20" s="3"/>
      <c r="Y20" s="3"/>
      <c r="Z20" s="5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5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2:58" x14ac:dyDescent="0.3">
      <c r="B21" t="s">
        <v>34</v>
      </c>
      <c r="C21" s="3">
        <f>Table_5_From_paper!C5/(101.961)</f>
        <v>4.2271064426594479E-2</v>
      </c>
      <c r="D21" s="3">
        <f>Table_5_From_paper!D5/(101.961)</f>
        <v>4.6194133050872395E-2</v>
      </c>
      <c r="E21" s="3">
        <f>Table_5_From_paper!E5/(101.961)</f>
        <v>9.4153646982669842E-2</v>
      </c>
      <c r="F21" s="3">
        <f>Table_5_From_paper!F5/(101.961)</f>
        <v>0.12877472759192241</v>
      </c>
      <c r="G21" s="3">
        <f>Table_5_From_paper!G5/(101.961)</f>
        <v>0.12053628348093878</v>
      </c>
      <c r="H21" s="3">
        <f>Table_5_From_paper!H5/(101.961)</f>
        <v>0.12749973028903208</v>
      </c>
      <c r="I21" s="3">
        <f>Table_5_From_paper!I5/(101.961)</f>
        <v>3.7759535508674884E-2</v>
      </c>
      <c r="J21" s="3">
        <f>Table_5_From_paper!J5/(101.961)</f>
        <v>6.0219103382665916E-2</v>
      </c>
      <c r="K21" s="3">
        <f>Table_5_From_paper!K5/(101.961)</f>
        <v>4.4134522023126489E-2</v>
      </c>
      <c r="L21" s="3">
        <f>Table_5_From_paper!L5/(101.961)</f>
        <v>9.640941144162965E-2</v>
      </c>
      <c r="M21" s="3">
        <f>Table_5_From_paper!M5/(101.961)</f>
        <v>9.7782485460126925E-2</v>
      </c>
      <c r="N21" s="3">
        <f>Table_5_From_paper!N5/(101.961)</f>
        <v>8.101136709133884E-2</v>
      </c>
      <c r="O21" s="3">
        <f>Table_5_From_paper!O5/(101.961)</f>
        <v>9.3172879826600372E-2</v>
      </c>
      <c r="P21" s="3">
        <f>Table_5_From_paper!P5/(101.961)</f>
        <v>1.5986504643932482E-2</v>
      </c>
      <c r="Q21" s="3">
        <f>Table_5_From_paper!Q5/(101.961)</f>
        <v>5.0117201675150304E-2</v>
      </c>
      <c r="R21" s="3">
        <f>Table_5_From_paper!R5/(101.961)</f>
        <v>9.1505575661282257E-2</v>
      </c>
      <c r="S21" s="3">
        <f>Table_5_From_paper!S5/(101.961)</f>
        <v>3.9230686242779103E-2</v>
      </c>
      <c r="T21" s="3"/>
      <c r="U21" s="3"/>
      <c r="V21" s="3"/>
      <c r="W21" s="3"/>
      <c r="X21" s="3"/>
      <c r="Y21" s="3"/>
      <c r="Z21" s="5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5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2:58" x14ac:dyDescent="0.3">
      <c r="B22" t="s">
        <v>22</v>
      </c>
      <c r="C22" s="3">
        <f>Table_5_From_paper!C6/(151.9982)</f>
        <v>0</v>
      </c>
      <c r="D22" s="3">
        <f>Table_5_From_paper!D6/(151.9982)</f>
        <v>6.5790252779309236E-5</v>
      </c>
      <c r="E22" s="3">
        <f>Table_5_From_paper!E6/(151.9982)</f>
        <v>0</v>
      </c>
      <c r="F22" s="3">
        <f>Table_5_From_paper!F6/(151.9982)</f>
        <v>0</v>
      </c>
      <c r="G22" s="3">
        <f>Table_5_From_paper!G6/(151.9982)</f>
        <v>3.2895126389654618E-4</v>
      </c>
      <c r="H22" s="3">
        <f>Table_5_From_paper!H6/(151.9982)</f>
        <v>0</v>
      </c>
      <c r="I22" s="3">
        <f>Table_5_From_paper!I6/(151.9982)</f>
        <v>0</v>
      </c>
      <c r="J22" s="3">
        <f>Table_5_From_paper!J6/(151.9982)</f>
        <v>0</v>
      </c>
      <c r="K22" s="3">
        <f>Table_5_From_paper!K6/(151.9982)</f>
        <v>0</v>
      </c>
      <c r="L22" s="3">
        <f>Table_5_From_paper!L6/(151.9982)</f>
        <v>0</v>
      </c>
      <c r="M22" s="3">
        <f>Table_5_From_paper!M6/(151.9982)</f>
        <v>2.6316101111723694E-4</v>
      </c>
      <c r="N22" s="3">
        <f>Table_5_From_paper!N6/(151.9982)</f>
        <v>0</v>
      </c>
      <c r="O22" s="3">
        <f>Table_5_From_paper!O6/(151.9982)</f>
        <v>0</v>
      </c>
      <c r="P22" s="3">
        <f>Table_5_From_paper!P6/(151.9982)</f>
        <v>0</v>
      </c>
      <c r="Q22" s="3">
        <f>Table_5_From_paper!Q6/(151.9982)</f>
        <v>3.2895126389654618E-4</v>
      </c>
      <c r="R22" s="3">
        <f>Table_5_From_paper!R6/(151.9982)</f>
        <v>0</v>
      </c>
      <c r="S22" s="3">
        <f>Table_5_From_paper!S6/(151.9982)</f>
        <v>6.5790252779309236E-5</v>
      </c>
      <c r="T22" s="3"/>
      <c r="U22" s="3"/>
      <c r="V22" s="3"/>
      <c r="W22" s="3"/>
      <c r="X22" s="3"/>
      <c r="Y22" s="3"/>
      <c r="Z22" s="5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5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2:58" x14ac:dyDescent="0.3">
      <c r="B23" t="s">
        <v>33</v>
      </c>
      <c r="C23" s="3">
        <f>Table_5_From_paper!C7/(71.8464)</f>
        <v>0.24329681097452344</v>
      </c>
      <c r="D23" s="3">
        <f>Table_5_From_paper!D7/(71.8464)</f>
        <v>0.25484923392125419</v>
      </c>
      <c r="E23" s="3">
        <f>Table_5_From_paper!E7/(71.8464)</f>
        <v>0.26695840014252625</v>
      </c>
      <c r="F23" s="3">
        <f>Table_5_From_paper!F7/(71.8464)</f>
        <v>0.2634787546766435</v>
      </c>
      <c r="G23" s="3">
        <f>Table_5_From_paper!G7/(71.8464)</f>
        <v>0.24719401389631215</v>
      </c>
      <c r="H23" s="3">
        <f>Table_5_From_paper!H7/(71.8464)</f>
        <v>0.23146601639052197</v>
      </c>
      <c r="I23" s="3">
        <f>Table_5_From_paper!I7/(71.8464)</f>
        <v>0.24482785497951184</v>
      </c>
      <c r="J23" s="3">
        <f>Table_5_From_paper!J7/(71.8464)</f>
        <v>0.25109121681810082</v>
      </c>
      <c r="K23" s="3">
        <f>Table_5_From_paper!K7/(71.8464)</f>
        <v>0.27029885978977375</v>
      </c>
      <c r="L23" s="3">
        <f>Table_5_From_paper!L7/(71.8464)</f>
        <v>0.33933502583288794</v>
      </c>
      <c r="M23" s="3">
        <f>Table_5_From_paper!M7/(71.8464)</f>
        <v>0.31929226794940319</v>
      </c>
      <c r="N23" s="3">
        <f>Table_5_From_paper!N7/(71.8464)</f>
        <v>0.22951741492962763</v>
      </c>
      <c r="O23" s="3">
        <f>Table_5_From_paper!O7/(71.8464)</f>
        <v>0.21880010689470872</v>
      </c>
      <c r="P23" s="3">
        <f>Table_5_From_paper!P7/(71.8464)</f>
        <v>0.20307210938891856</v>
      </c>
      <c r="Q23" s="3">
        <f>Table_5_From_paper!Q7/(71.8464)</f>
        <v>0.23953879387137003</v>
      </c>
      <c r="R23" s="3">
        <f>Table_5_From_paper!R7/(71.8464)</f>
        <v>0.20515989666844825</v>
      </c>
      <c r="S23" s="3">
        <f>Table_5_From_paper!S7/(71.8464)</f>
        <v>0.1061987796187422</v>
      </c>
      <c r="T23" s="3"/>
      <c r="U23" s="3"/>
      <c r="V23" s="3"/>
      <c r="W23" s="3"/>
      <c r="X23" s="3"/>
      <c r="Y23" s="3"/>
      <c r="Z23" s="5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5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2:58" x14ac:dyDescent="0.3">
      <c r="B24" t="s">
        <v>17</v>
      </c>
      <c r="C24" s="3">
        <f>Table_5_From_paper!C8/(70.9375)</f>
        <v>6.2026431718061673E-3</v>
      </c>
      <c r="D24" s="3">
        <f>Table_5_From_paper!D8/(70.9375)</f>
        <v>5.2158590308370046E-3</v>
      </c>
      <c r="E24" s="3">
        <f>Table_5_From_paper!E8/(70.9375)</f>
        <v>4.933920704845815E-3</v>
      </c>
      <c r="F24" s="3">
        <f>Table_5_From_paper!F8/(70.9375)</f>
        <v>4.3700440528634359E-3</v>
      </c>
      <c r="G24" s="3">
        <f>Table_5_From_paper!G8/(70.9375)</f>
        <v>3.8061674008810576E-3</v>
      </c>
      <c r="H24" s="3">
        <f>Table_5_From_paper!H8/(70.9375)</f>
        <v>3.1013215859030836E-3</v>
      </c>
      <c r="I24" s="3">
        <f>Table_5_From_paper!I8/(70.9375)</f>
        <v>5.638766519823789E-3</v>
      </c>
      <c r="J24" s="3">
        <f>Table_5_From_paper!J8/(70.9375)</f>
        <v>7.1894273127753308E-3</v>
      </c>
      <c r="K24" s="3">
        <f>Table_5_From_paper!K8/(70.9375)</f>
        <v>8.4581497797356821E-3</v>
      </c>
      <c r="L24" s="3">
        <f>Table_5_From_paper!L8/(70.9375)</f>
        <v>9.162995594713657E-3</v>
      </c>
      <c r="M24" s="3">
        <f>Table_5_From_paper!M8/(70.9375)</f>
        <v>9.5859030837004405E-3</v>
      </c>
      <c r="N24" s="3">
        <f>Table_5_From_paper!N8/(70.9375)</f>
        <v>5.4977973568281942E-3</v>
      </c>
      <c r="O24" s="3">
        <f>Table_5_From_paper!O8/(70.9375)</f>
        <v>5.0748898678414098E-3</v>
      </c>
      <c r="P24" s="3">
        <f>Table_5_From_paper!P8/(70.9375)</f>
        <v>7.3303964757709256E-3</v>
      </c>
      <c r="Q24" s="3">
        <f>Table_5_From_paper!Q8/(70.9375)</f>
        <v>1.1277533039647578E-2</v>
      </c>
      <c r="R24" s="3">
        <f>Table_5_From_paper!R8/(70.9375)</f>
        <v>3.8061674008810576E-3</v>
      </c>
      <c r="S24" s="3">
        <f>Table_5_From_paper!S8/(70.9375)</f>
        <v>1.6916299559471366E-3</v>
      </c>
      <c r="T24" s="3"/>
      <c r="U24" s="3"/>
      <c r="V24" s="3"/>
      <c r="W24" s="3"/>
      <c r="X24" s="3"/>
      <c r="Y24" s="3"/>
      <c r="Z24" s="5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5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2:58" x14ac:dyDescent="0.3">
      <c r="B25" t="s">
        <v>19</v>
      </c>
      <c r="C25" s="3">
        <f>Table_5_From_paper!C9/40.3044</f>
        <v>0.31460584948541598</v>
      </c>
      <c r="D25" s="3">
        <f>Table_5_From_paper!D9/40.3044</f>
        <v>0.28309564216313854</v>
      </c>
      <c r="E25" s="3">
        <f>Table_5_From_paper!E9/40.3044</f>
        <v>0.24910431615406753</v>
      </c>
      <c r="F25" s="3">
        <f>Table_5_From_paper!F9/40.3044</f>
        <v>0.19203858635781701</v>
      </c>
      <c r="G25" s="3">
        <f>Table_5_From_paper!G9/40.3044</f>
        <v>0.24141284822500769</v>
      </c>
      <c r="H25" s="3">
        <f>Table_5_From_paper!H9/40.3044</f>
        <v>0.24984865176010559</v>
      </c>
      <c r="I25" s="3">
        <f>Table_5_From_paper!I9/40.3044</f>
        <v>0.31485396135409532</v>
      </c>
      <c r="J25" s="3">
        <f>Table_5_From_paper!J9/40.3044</f>
        <v>0.29128333382955707</v>
      </c>
      <c r="K25" s="3">
        <f>Table_5_From_paper!K9/40.3044</f>
        <v>0.29500501185974731</v>
      </c>
      <c r="L25" s="3">
        <f>Table_5_From_paper!L9/40.3044</f>
        <v>0.1602802671668602</v>
      </c>
      <c r="M25" s="3">
        <f>Table_5_From_paper!M9/40.3044</f>
        <v>0.15953593156082213</v>
      </c>
      <c r="N25" s="3">
        <f>Table_5_From_paper!N9/40.3044</f>
        <v>0.30344081539484524</v>
      </c>
      <c r="O25" s="3">
        <f>Table_5_From_paper!O9/40.3044</f>
        <v>0.29823046615257887</v>
      </c>
      <c r="P25" s="3">
        <f>Table_5_From_paper!P9/40.3044</f>
        <v>0.43221087523942797</v>
      </c>
      <c r="Q25" s="3">
        <f>Table_5_From_paper!Q9/40.3044</f>
        <v>0.31113228332390508</v>
      </c>
      <c r="R25" s="3">
        <f>Table_5_From_paper!R9/40.3044</f>
        <v>0.34189815504014448</v>
      </c>
      <c r="S25" s="3">
        <f>Table_5_From_paper!S9/40.3044</f>
        <v>0.4604956282688738</v>
      </c>
      <c r="T25" s="3"/>
      <c r="U25" s="3"/>
      <c r="V25" s="3"/>
      <c r="W25" s="3"/>
      <c r="X25" s="3"/>
      <c r="Y25" s="3"/>
      <c r="Z25" s="5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5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2:58" x14ac:dyDescent="0.3">
      <c r="B26" t="s">
        <v>16</v>
      </c>
      <c r="C26" s="3">
        <f>Table_5_From_paper!C10/56.0774</f>
        <v>0.19722740355294649</v>
      </c>
      <c r="D26" s="3">
        <f>Table_5_From_paper!D10/56.0774</f>
        <v>0.194017554308866</v>
      </c>
      <c r="E26" s="3">
        <f>Table_5_From_paper!E10/56.0774</f>
        <v>0.18581460624066024</v>
      </c>
      <c r="F26" s="3">
        <f>Table_5_From_paper!F10/56.0774</f>
        <v>0.18367470674460659</v>
      </c>
      <c r="G26" s="3">
        <f>Table_5_From_paper!G10/56.0774</f>
        <v>0.18206978212256633</v>
      </c>
      <c r="H26" s="3">
        <f>Table_5_From_paper!H10/56.0774</f>
        <v>0.18331805682859761</v>
      </c>
      <c r="I26" s="3">
        <f>Table_5_From_paper!I10/56.0774</f>
        <v>0.19134267993879889</v>
      </c>
      <c r="J26" s="3">
        <f>Table_5_From_paper!J10/56.0774</f>
        <v>0.20204217741906724</v>
      </c>
      <c r="K26" s="3">
        <f>Table_5_From_paper!K10/56.0774</f>
        <v>0.17404515901236506</v>
      </c>
      <c r="L26" s="3">
        <f>Table_5_From_paper!L10/56.0774</f>
        <v>0.17992988262651266</v>
      </c>
      <c r="M26" s="3">
        <f>Table_5_From_paper!M10/56.0774</f>
        <v>0.18652790607267813</v>
      </c>
      <c r="N26" s="3">
        <f>Table_5_From_paper!N10/56.0774</f>
        <v>0.18991608027476312</v>
      </c>
      <c r="O26" s="3">
        <f>Table_5_From_paper!O10/56.0774</f>
        <v>0.18242643203857528</v>
      </c>
      <c r="P26" s="3">
        <f>Table_5_From_paper!P10/56.0774</f>
        <v>0.18920278044274522</v>
      </c>
      <c r="Q26" s="3">
        <f>Table_5_From_paper!Q10/56.0774</f>
        <v>0.18795450573671391</v>
      </c>
      <c r="R26" s="3">
        <f>Table_5_From_paper!R10/56.0774</f>
        <v>0.18082150741653502</v>
      </c>
      <c r="S26" s="3">
        <f>Table_5_From_paper!S10/56.0774</f>
        <v>0.21595152414341606</v>
      </c>
      <c r="T26" s="3"/>
      <c r="U26" s="3"/>
      <c r="V26" s="3"/>
      <c r="W26" s="3"/>
      <c r="X26" s="3"/>
      <c r="Y26" s="3"/>
      <c r="Z26" s="5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5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2:58" x14ac:dyDescent="0.3">
      <c r="B27" t="s">
        <v>14</v>
      </c>
      <c r="C27" s="3">
        <f>Table_5_From_paper!C11/61.9789</f>
        <v>1.4843761344586625E-2</v>
      </c>
      <c r="D27" s="3">
        <f>Table_5_From_paper!D11/61.9789</f>
        <v>1.6457213664650389E-2</v>
      </c>
      <c r="E27" s="3">
        <f>Table_5_From_paper!E11/61.9789</f>
        <v>2.5331201425001088E-2</v>
      </c>
      <c r="F27" s="3">
        <f>Table_5_From_paper!F11/61.9789</f>
        <v>2.4685820496975583E-2</v>
      </c>
      <c r="G27" s="3">
        <f>Table_5_From_paper!G11/61.9789</f>
        <v>3.0816939313217884E-2</v>
      </c>
      <c r="H27" s="3">
        <f>Table_5_From_paper!H11/61.9789</f>
        <v>3.1623665473249768E-2</v>
      </c>
      <c r="I27" s="3">
        <f>Table_5_From_paper!I11/61.9789</f>
        <v>1.4037035184554743E-2</v>
      </c>
      <c r="J27" s="3">
        <f>Table_5_From_paper!J11/61.9789</f>
        <v>1.016474961640171E-2</v>
      </c>
      <c r="K27" s="3">
        <f>Table_5_From_paper!K11/61.9789</f>
        <v>1.290761856051011E-2</v>
      </c>
      <c r="L27" s="3">
        <f>Table_5_From_paper!L11/61.9789</f>
        <v>1.548914227261213E-2</v>
      </c>
      <c r="M27" s="3">
        <f>Table_5_From_paper!M11/61.9789</f>
        <v>1.6134523200637636E-2</v>
      </c>
      <c r="N27" s="3">
        <f>Table_5_From_paper!N11/61.9789</f>
        <v>2.1620261088854432E-2</v>
      </c>
      <c r="O27" s="3">
        <f>Table_5_From_paper!O11/61.9789</f>
        <v>2.5008510960988335E-2</v>
      </c>
      <c r="P27" s="3">
        <f>Table_5_From_paper!P11/61.9789</f>
        <v>3.5495951041402797E-3</v>
      </c>
      <c r="Q27" s="3">
        <f>Table_5_From_paper!Q11/61.9789</f>
        <v>1.290761856051011E-2</v>
      </c>
      <c r="R27" s="3">
        <f>Table_5_From_paper!R11/61.9789</f>
        <v>2.9687522689173251E-2</v>
      </c>
      <c r="S27" s="3">
        <f>Table_5_From_paper!S11/61.9789</f>
        <v>1.2262237632484603E-2</v>
      </c>
      <c r="T27" s="3"/>
      <c r="U27" s="3"/>
      <c r="V27" s="3"/>
      <c r="W27" s="3"/>
      <c r="X27" s="3"/>
      <c r="Y27" s="3"/>
      <c r="Z27" s="5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5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2:58" x14ac:dyDescent="0.3">
      <c r="B28" t="s">
        <v>13</v>
      </c>
      <c r="C28" s="3">
        <f>Table_5_From_paper!C12/94.196</f>
        <v>4.1403031975880081E-3</v>
      </c>
      <c r="D28" s="3">
        <f>Table_5_From_paper!D12/94.196</f>
        <v>4.8834345407448299E-3</v>
      </c>
      <c r="E28" s="3">
        <f>Table_5_From_paper!E12/94.196</f>
        <v>1.0828485285999405E-2</v>
      </c>
      <c r="F28" s="3">
        <f>Table_5_From_paper!F12/94.196</f>
        <v>9.4483842201367359E-3</v>
      </c>
      <c r="G28" s="3">
        <f>Table_5_From_paper!G12/94.196</f>
        <v>1.0085353942842584E-2</v>
      </c>
      <c r="H28" s="3">
        <f>Table_5_From_paper!H12/94.196</f>
        <v>1.0616162045097457E-2</v>
      </c>
      <c r="I28" s="3">
        <f>Table_5_From_paper!I12/94.196</f>
        <v>3.9279799566860592E-3</v>
      </c>
      <c r="J28" s="3">
        <f>Table_5_From_paper!J12/94.196</f>
        <v>3.8218183362350843E-3</v>
      </c>
      <c r="K28" s="3">
        <f>Table_5_From_paper!K12/94.196</f>
        <v>4.458788058940932E-3</v>
      </c>
      <c r="L28" s="3">
        <f>Table_5_From_paper!L12/94.196</f>
        <v>5.9450507452545763E-3</v>
      </c>
      <c r="M28" s="3">
        <f>Table_5_From_paper!M12/94.196</f>
        <v>8.0682831542740665E-3</v>
      </c>
      <c r="N28" s="3">
        <f>Table_5_From_paper!N12/94.196</f>
        <v>6.5820204679604231E-3</v>
      </c>
      <c r="O28" s="3">
        <f>Table_5_From_paper!O12/94.196</f>
        <v>7.5374750520191937E-3</v>
      </c>
      <c r="P28" s="3">
        <f>Table_5_From_paper!P12/94.196</f>
        <v>2.3355556499214405E-3</v>
      </c>
      <c r="Q28" s="3">
        <f>Table_5_From_paper!Q12/94.196</f>
        <v>3.397171854431186E-3</v>
      </c>
      <c r="R28" s="3">
        <f>Table_5_From_paper!R12/94.196</f>
        <v>5.4142426429997026E-3</v>
      </c>
      <c r="S28" s="3">
        <f>Table_5_From_paper!S12/94.196</f>
        <v>4.8834345407448299E-3</v>
      </c>
      <c r="T28" s="3"/>
      <c r="U28" s="3"/>
      <c r="V28" s="3"/>
      <c r="W28" s="3"/>
      <c r="X28" s="3"/>
      <c r="Y28" s="3"/>
      <c r="Z28" s="5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5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2:58" x14ac:dyDescent="0.3">
      <c r="B29" s="8" t="s">
        <v>36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5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5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2:58" x14ac:dyDescent="0.3">
      <c r="B30" s="1" t="s">
        <v>28</v>
      </c>
      <c r="C30" s="3">
        <f t="shared" ref="C30:J31" si="0">C19*1</f>
        <v>0.83282987402699205</v>
      </c>
      <c r="D30" s="3">
        <f t="shared" si="0"/>
        <v>0.80586775580309666</v>
      </c>
      <c r="E30" s="3">
        <f t="shared" si="0"/>
        <v>0.73463450518687912</v>
      </c>
      <c r="F30" s="3">
        <f t="shared" si="0"/>
        <v>0.71932268496096319</v>
      </c>
      <c r="G30" s="3">
        <f t="shared" si="0"/>
        <v>0.6827074626815991</v>
      </c>
      <c r="H30" s="3">
        <f t="shared" si="0"/>
        <v>0.68703471622370571</v>
      </c>
      <c r="I30" s="3">
        <f t="shared" si="0"/>
        <v>0.84065221696849257</v>
      </c>
      <c r="J30" s="3">
        <f t="shared" si="0"/>
        <v>0.81086074065937352</v>
      </c>
      <c r="K30" s="3">
        <f t="shared" ref="K30" si="1">K19*1</f>
        <v>0.82534039674257675</v>
      </c>
      <c r="L30" s="3">
        <f t="shared" ref="L30:S30" si="2">L19*1</f>
        <v>0.73147228144457044</v>
      </c>
      <c r="M30" s="3">
        <f t="shared" si="2"/>
        <v>0.74212398247129452</v>
      </c>
      <c r="N30" s="3">
        <f t="shared" si="2"/>
        <v>0.78356575677839302</v>
      </c>
      <c r="O30" s="3">
        <f t="shared" si="2"/>
        <v>0.7655910112957961</v>
      </c>
      <c r="P30" s="3">
        <f t="shared" si="2"/>
        <v>0.89124779684543209</v>
      </c>
      <c r="Q30" s="3">
        <f t="shared" si="2"/>
        <v>0.81968168057212953</v>
      </c>
      <c r="R30" s="3">
        <f t="shared" si="2"/>
        <v>0.74778269864174174</v>
      </c>
      <c r="S30" s="3">
        <f t="shared" si="2"/>
        <v>0.87909820036182496</v>
      </c>
      <c r="T30" s="3"/>
      <c r="U30" s="3"/>
      <c r="V30" s="3"/>
      <c r="W30" s="3"/>
      <c r="X30" s="3"/>
      <c r="Y30" s="3"/>
      <c r="Z30" s="5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5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2:58" x14ac:dyDescent="0.3">
      <c r="B31" s="1" t="s">
        <v>24</v>
      </c>
      <c r="C31" s="3">
        <f t="shared" si="0"/>
        <v>8.3877073766756641E-3</v>
      </c>
      <c r="D31" s="3">
        <f t="shared" si="0"/>
        <v>1.1392259272798289E-2</v>
      </c>
      <c r="E31" s="3">
        <f t="shared" si="0"/>
        <v>1.7651742389720424E-2</v>
      </c>
      <c r="F31" s="3">
        <f t="shared" si="0"/>
        <v>1.5273138805290014E-2</v>
      </c>
      <c r="G31" s="3">
        <f t="shared" si="0"/>
        <v>3.8057657350886592E-2</v>
      </c>
      <c r="H31" s="3">
        <f t="shared" si="0"/>
        <v>3.5053105454763964E-2</v>
      </c>
      <c r="I31" s="3">
        <f t="shared" si="0"/>
        <v>7.6365694026450069E-3</v>
      </c>
      <c r="J31" s="3">
        <f t="shared" si="0"/>
        <v>8.1373280519987778E-3</v>
      </c>
      <c r="K31" s="3">
        <f t="shared" ref="K31" si="3">K20*1</f>
        <v>6.6350521039374661E-3</v>
      </c>
      <c r="L31" s="3">
        <f t="shared" ref="L31:S31" si="4">L20*1</f>
        <v>8.1373280519987778E-3</v>
      </c>
      <c r="M31" s="3">
        <f t="shared" si="4"/>
        <v>1.0140362649413863E-2</v>
      </c>
      <c r="N31" s="3">
        <f t="shared" si="4"/>
        <v>1.3144914545536488E-2</v>
      </c>
      <c r="O31" s="3">
        <f t="shared" si="4"/>
        <v>1.690060441568977E-2</v>
      </c>
      <c r="P31" s="3">
        <f t="shared" si="4"/>
        <v>3.1297415584610687E-3</v>
      </c>
      <c r="Q31" s="3">
        <f t="shared" si="4"/>
        <v>8.2625177143372218E-3</v>
      </c>
      <c r="R31" s="3">
        <f t="shared" si="4"/>
        <v>2.4036415168981005E-2</v>
      </c>
      <c r="S31" s="3">
        <f t="shared" si="4"/>
        <v>1.2143397246828946E-2</v>
      </c>
      <c r="T31" s="3"/>
      <c r="U31" s="3"/>
      <c r="V31" s="3"/>
      <c r="W31" s="3"/>
      <c r="X31" s="3"/>
      <c r="Y31" s="3"/>
      <c r="Z31" s="5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5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2:58" x14ac:dyDescent="0.3">
      <c r="B32" s="1" t="s">
        <v>34</v>
      </c>
      <c r="C32" s="3">
        <f t="shared" ref="C32:J33" si="5">C21*2</f>
        <v>8.4542128853188958E-2</v>
      </c>
      <c r="D32" s="3">
        <f t="shared" si="5"/>
        <v>9.238826610174479E-2</v>
      </c>
      <c r="E32" s="3">
        <f t="shared" si="5"/>
        <v>0.18830729396533968</v>
      </c>
      <c r="F32" s="3">
        <f t="shared" si="5"/>
        <v>0.25754945518384481</v>
      </c>
      <c r="G32" s="3">
        <f t="shared" si="5"/>
        <v>0.24107256696187757</v>
      </c>
      <c r="H32" s="3">
        <f t="shared" si="5"/>
        <v>0.25499946057806416</v>
      </c>
      <c r="I32" s="3">
        <f t="shared" si="5"/>
        <v>7.5519071017349768E-2</v>
      </c>
      <c r="J32" s="3">
        <f t="shared" si="5"/>
        <v>0.12043820676533183</v>
      </c>
      <c r="K32" s="3">
        <f t="shared" ref="K32" si="6">K21*2</f>
        <v>8.8269044046252979E-2</v>
      </c>
      <c r="L32" s="3">
        <f t="shared" ref="L32:S32" si="7">L21*2</f>
        <v>0.1928188228832593</v>
      </c>
      <c r="M32" s="3">
        <f t="shared" si="7"/>
        <v>0.19556497092025385</v>
      </c>
      <c r="N32" s="3">
        <f t="shared" si="7"/>
        <v>0.16202273418267768</v>
      </c>
      <c r="O32" s="3">
        <f t="shared" si="7"/>
        <v>0.18634575965320074</v>
      </c>
      <c r="P32" s="3">
        <f t="shared" si="7"/>
        <v>3.1973009287864965E-2</v>
      </c>
      <c r="Q32" s="3">
        <f t="shared" si="7"/>
        <v>0.10023440335030061</v>
      </c>
      <c r="R32" s="3">
        <f t="shared" si="7"/>
        <v>0.18301115132256451</v>
      </c>
      <c r="S32" s="3">
        <f t="shared" si="7"/>
        <v>7.8461372485558206E-2</v>
      </c>
      <c r="T32" s="3"/>
      <c r="U32" s="3"/>
      <c r="V32" s="3"/>
      <c r="W32" s="3"/>
      <c r="X32" s="3"/>
      <c r="Y32" s="3"/>
      <c r="Z32" s="5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5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2:58" x14ac:dyDescent="0.3">
      <c r="B33" s="1" t="s">
        <v>22</v>
      </c>
      <c r="C33" s="3">
        <f t="shared" si="5"/>
        <v>0</v>
      </c>
      <c r="D33" s="3">
        <f t="shared" si="5"/>
        <v>1.3158050555861847E-4</v>
      </c>
      <c r="E33" s="3">
        <f t="shared" si="5"/>
        <v>0</v>
      </c>
      <c r="F33" s="3">
        <f t="shared" si="5"/>
        <v>0</v>
      </c>
      <c r="G33" s="3">
        <f t="shared" si="5"/>
        <v>6.5790252779309236E-4</v>
      </c>
      <c r="H33" s="3">
        <f t="shared" si="5"/>
        <v>0</v>
      </c>
      <c r="I33" s="3">
        <f t="shared" si="5"/>
        <v>0</v>
      </c>
      <c r="J33" s="3">
        <f t="shared" si="5"/>
        <v>0</v>
      </c>
      <c r="K33" s="3">
        <f t="shared" ref="K33" si="8">K22*2</f>
        <v>0</v>
      </c>
      <c r="L33" s="3">
        <f t="shared" ref="L33:S33" si="9">L22*2</f>
        <v>0</v>
      </c>
      <c r="M33" s="3">
        <f t="shared" si="9"/>
        <v>5.2632202223447389E-4</v>
      </c>
      <c r="N33" s="3">
        <f t="shared" si="9"/>
        <v>0</v>
      </c>
      <c r="O33" s="3">
        <f t="shared" si="9"/>
        <v>0</v>
      </c>
      <c r="P33" s="3">
        <f t="shared" si="9"/>
        <v>0</v>
      </c>
      <c r="Q33" s="3">
        <f t="shared" si="9"/>
        <v>6.5790252779309236E-4</v>
      </c>
      <c r="R33" s="3">
        <f t="shared" si="9"/>
        <v>0</v>
      </c>
      <c r="S33" s="3">
        <f t="shared" si="9"/>
        <v>1.3158050555861847E-4</v>
      </c>
      <c r="T33" s="3"/>
      <c r="U33" s="3"/>
      <c r="V33" s="3"/>
      <c r="W33" s="3"/>
      <c r="X33" s="3"/>
      <c r="Y33" s="3"/>
      <c r="Z33" s="5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5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2:58" x14ac:dyDescent="0.3">
      <c r="B34" s="1" t="s">
        <v>33</v>
      </c>
      <c r="C34" s="3">
        <f t="shared" ref="C34:J37" si="10">C23*1</f>
        <v>0.24329681097452344</v>
      </c>
      <c r="D34" s="3">
        <f t="shared" si="10"/>
        <v>0.25484923392125419</v>
      </c>
      <c r="E34" s="3">
        <f t="shared" si="10"/>
        <v>0.26695840014252625</v>
      </c>
      <c r="F34" s="3">
        <f t="shared" si="10"/>
        <v>0.2634787546766435</v>
      </c>
      <c r="G34" s="3">
        <f t="shared" si="10"/>
        <v>0.24719401389631215</v>
      </c>
      <c r="H34" s="3">
        <f t="shared" si="10"/>
        <v>0.23146601639052197</v>
      </c>
      <c r="I34" s="3">
        <f t="shared" si="10"/>
        <v>0.24482785497951184</v>
      </c>
      <c r="J34" s="3">
        <f t="shared" si="10"/>
        <v>0.25109121681810082</v>
      </c>
      <c r="K34" s="3">
        <f t="shared" ref="K34" si="11">K23*1</f>
        <v>0.27029885978977375</v>
      </c>
      <c r="L34" s="3">
        <f t="shared" ref="L34:S34" si="12">L23*1</f>
        <v>0.33933502583288794</v>
      </c>
      <c r="M34" s="3">
        <f t="shared" si="12"/>
        <v>0.31929226794940319</v>
      </c>
      <c r="N34" s="3">
        <f t="shared" si="12"/>
        <v>0.22951741492962763</v>
      </c>
      <c r="O34" s="3">
        <f t="shared" si="12"/>
        <v>0.21880010689470872</v>
      </c>
      <c r="P34" s="3">
        <f t="shared" si="12"/>
        <v>0.20307210938891856</v>
      </c>
      <c r="Q34" s="3">
        <f t="shared" si="12"/>
        <v>0.23953879387137003</v>
      </c>
      <c r="R34" s="3">
        <f t="shared" si="12"/>
        <v>0.20515989666844825</v>
      </c>
      <c r="S34" s="3">
        <f t="shared" si="12"/>
        <v>0.1061987796187422</v>
      </c>
      <c r="T34" s="3"/>
      <c r="U34" s="3"/>
      <c r="V34" s="3"/>
      <c r="W34" s="3"/>
      <c r="X34" s="3"/>
      <c r="Y34" s="3"/>
      <c r="Z34" s="5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5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2:58" x14ac:dyDescent="0.3">
      <c r="B35" s="1" t="s">
        <v>17</v>
      </c>
      <c r="C35" s="3">
        <f t="shared" si="10"/>
        <v>6.2026431718061673E-3</v>
      </c>
      <c r="D35" s="3">
        <f t="shared" si="10"/>
        <v>5.2158590308370046E-3</v>
      </c>
      <c r="E35" s="3">
        <f t="shared" si="10"/>
        <v>4.933920704845815E-3</v>
      </c>
      <c r="F35" s="3">
        <f t="shared" si="10"/>
        <v>4.3700440528634359E-3</v>
      </c>
      <c r="G35" s="3">
        <f t="shared" si="10"/>
        <v>3.8061674008810576E-3</v>
      </c>
      <c r="H35" s="3">
        <f t="shared" si="10"/>
        <v>3.1013215859030836E-3</v>
      </c>
      <c r="I35" s="3">
        <f t="shared" si="10"/>
        <v>5.638766519823789E-3</v>
      </c>
      <c r="J35" s="3">
        <f t="shared" si="10"/>
        <v>7.1894273127753308E-3</v>
      </c>
      <c r="K35" s="3">
        <f t="shared" ref="K35" si="13">K24*1</f>
        <v>8.4581497797356821E-3</v>
      </c>
      <c r="L35" s="3">
        <f t="shared" ref="L35:S35" si="14">L24*1</f>
        <v>9.162995594713657E-3</v>
      </c>
      <c r="M35" s="3">
        <f t="shared" si="14"/>
        <v>9.5859030837004405E-3</v>
      </c>
      <c r="N35" s="3">
        <f t="shared" si="14"/>
        <v>5.4977973568281942E-3</v>
      </c>
      <c r="O35" s="3">
        <f t="shared" si="14"/>
        <v>5.0748898678414098E-3</v>
      </c>
      <c r="P35" s="3">
        <f t="shared" si="14"/>
        <v>7.3303964757709256E-3</v>
      </c>
      <c r="Q35" s="3">
        <f t="shared" si="14"/>
        <v>1.1277533039647578E-2</v>
      </c>
      <c r="R35" s="3">
        <f t="shared" si="14"/>
        <v>3.8061674008810576E-3</v>
      </c>
      <c r="S35" s="3">
        <f t="shared" si="14"/>
        <v>1.6916299559471366E-3</v>
      </c>
      <c r="T35" s="3"/>
      <c r="U35" s="3"/>
      <c r="V35" s="3"/>
      <c r="W35" s="3"/>
      <c r="X35" s="3"/>
      <c r="Y35" s="3"/>
      <c r="Z35" s="5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5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2:58" x14ac:dyDescent="0.3">
      <c r="B36" s="1" t="s">
        <v>19</v>
      </c>
      <c r="C36" s="3">
        <f t="shared" si="10"/>
        <v>0.31460584948541598</v>
      </c>
      <c r="D36" s="3">
        <f t="shared" si="10"/>
        <v>0.28309564216313854</v>
      </c>
      <c r="E36" s="3">
        <f t="shared" si="10"/>
        <v>0.24910431615406753</v>
      </c>
      <c r="F36" s="3">
        <f t="shared" si="10"/>
        <v>0.19203858635781701</v>
      </c>
      <c r="G36" s="3">
        <f t="shared" si="10"/>
        <v>0.24141284822500769</v>
      </c>
      <c r="H36" s="3">
        <f t="shared" si="10"/>
        <v>0.24984865176010559</v>
      </c>
      <c r="I36" s="3">
        <f t="shared" si="10"/>
        <v>0.31485396135409532</v>
      </c>
      <c r="J36" s="3">
        <f t="shared" si="10"/>
        <v>0.29128333382955707</v>
      </c>
      <c r="K36" s="3">
        <f t="shared" ref="K36" si="15">K25*1</f>
        <v>0.29500501185974731</v>
      </c>
      <c r="L36" s="3">
        <f t="shared" ref="L36:S36" si="16">L25*1</f>
        <v>0.1602802671668602</v>
      </c>
      <c r="M36" s="3">
        <f t="shared" si="16"/>
        <v>0.15953593156082213</v>
      </c>
      <c r="N36" s="3">
        <f t="shared" si="16"/>
        <v>0.30344081539484524</v>
      </c>
      <c r="O36" s="3">
        <f t="shared" si="16"/>
        <v>0.29823046615257887</v>
      </c>
      <c r="P36" s="3">
        <f t="shared" si="16"/>
        <v>0.43221087523942797</v>
      </c>
      <c r="Q36" s="3">
        <f t="shared" si="16"/>
        <v>0.31113228332390508</v>
      </c>
      <c r="R36" s="3">
        <f t="shared" si="16"/>
        <v>0.34189815504014448</v>
      </c>
      <c r="S36" s="3">
        <f t="shared" si="16"/>
        <v>0.4604956282688738</v>
      </c>
      <c r="T36" s="3"/>
      <c r="U36" s="3"/>
      <c r="V36" s="3"/>
      <c r="W36" s="3"/>
      <c r="X36" s="3"/>
      <c r="Y36" s="3"/>
      <c r="Z36" s="5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5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2:58" x14ac:dyDescent="0.3">
      <c r="B37" s="1" t="s">
        <v>16</v>
      </c>
      <c r="C37" s="3">
        <f t="shared" si="10"/>
        <v>0.19722740355294649</v>
      </c>
      <c r="D37" s="3">
        <f t="shared" si="10"/>
        <v>0.194017554308866</v>
      </c>
      <c r="E37" s="3">
        <f t="shared" si="10"/>
        <v>0.18581460624066024</v>
      </c>
      <c r="F37" s="3">
        <f t="shared" si="10"/>
        <v>0.18367470674460659</v>
      </c>
      <c r="G37" s="3">
        <f t="shared" si="10"/>
        <v>0.18206978212256633</v>
      </c>
      <c r="H37" s="3">
        <f t="shared" si="10"/>
        <v>0.18331805682859761</v>
      </c>
      <c r="I37" s="3">
        <f t="shared" si="10"/>
        <v>0.19134267993879889</v>
      </c>
      <c r="J37" s="3">
        <f t="shared" si="10"/>
        <v>0.20204217741906724</v>
      </c>
      <c r="K37" s="3">
        <f t="shared" ref="K37" si="17">K26*1</f>
        <v>0.17404515901236506</v>
      </c>
      <c r="L37" s="3">
        <f t="shared" ref="L37:S37" si="18">L26*1</f>
        <v>0.17992988262651266</v>
      </c>
      <c r="M37" s="3">
        <f t="shared" si="18"/>
        <v>0.18652790607267813</v>
      </c>
      <c r="N37" s="3">
        <f t="shared" si="18"/>
        <v>0.18991608027476312</v>
      </c>
      <c r="O37" s="3">
        <f t="shared" si="18"/>
        <v>0.18242643203857528</v>
      </c>
      <c r="P37" s="3">
        <f t="shared" si="18"/>
        <v>0.18920278044274522</v>
      </c>
      <c r="Q37" s="3">
        <f t="shared" si="18"/>
        <v>0.18795450573671391</v>
      </c>
      <c r="R37" s="3">
        <f t="shared" si="18"/>
        <v>0.18082150741653502</v>
      </c>
      <c r="S37" s="3">
        <f t="shared" si="18"/>
        <v>0.21595152414341606</v>
      </c>
      <c r="T37" s="3"/>
      <c r="U37" s="3"/>
      <c r="V37" s="3"/>
      <c r="W37" s="3"/>
      <c r="X37" s="3"/>
      <c r="Y37" s="3"/>
      <c r="Z37" s="5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5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2:58" x14ac:dyDescent="0.3">
      <c r="B38" s="1" t="s">
        <v>14</v>
      </c>
      <c r="C38" s="3">
        <f t="shared" ref="C38:J39" si="19">C27*2</f>
        <v>2.9687522689173251E-2</v>
      </c>
      <c r="D38" s="3">
        <f t="shared" si="19"/>
        <v>3.2914427329300777E-2</v>
      </c>
      <c r="E38" s="3">
        <f t="shared" si="19"/>
        <v>5.0662402850002175E-2</v>
      </c>
      <c r="F38" s="3">
        <f t="shared" si="19"/>
        <v>4.9371640993951166E-2</v>
      </c>
      <c r="G38" s="3">
        <f t="shared" si="19"/>
        <v>6.1633878626435767E-2</v>
      </c>
      <c r="H38" s="3">
        <f t="shared" si="19"/>
        <v>6.3247330946499536E-2</v>
      </c>
      <c r="I38" s="3">
        <f t="shared" si="19"/>
        <v>2.8074070369109486E-2</v>
      </c>
      <c r="J38" s="3">
        <f t="shared" si="19"/>
        <v>2.032949923280342E-2</v>
      </c>
      <c r="K38" s="3">
        <f t="shared" ref="K38" si="20">K27*2</f>
        <v>2.5815237121020219E-2</v>
      </c>
      <c r="L38" s="3">
        <f t="shared" ref="L38:S38" si="21">L27*2</f>
        <v>3.097828454522426E-2</v>
      </c>
      <c r="M38" s="3">
        <f t="shared" si="21"/>
        <v>3.2269046401275273E-2</v>
      </c>
      <c r="N38" s="3">
        <f t="shared" si="21"/>
        <v>4.3240522177708865E-2</v>
      </c>
      <c r="O38" s="3">
        <f t="shared" si="21"/>
        <v>5.001702192197667E-2</v>
      </c>
      <c r="P38" s="3">
        <f t="shared" si="21"/>
        <v>7.0991902082805595E-3</v>
      </c>
      <c r="Q38" s="3">
        <f t="shared" si="21"/>
        <v>2.5815237121020219E-2</v>
      </c>
      <c r="R38" s="3">
        <f t="shared" si="21"/>
        <v>5.9375045378346501E-2</v>
      </c>
      <c r="S38" s="3">
        <f t="shared" si="21"/>
        <v>2.4524475264969207E-2</v>
      </c>
      <c r="T38" s="3"/>
      <c r="U38" s="3"/>
      <c r="V38" s="3"/>
      <c r="W38" s="3"/>
      <c r="X38" s="3"/>
      <c r="Y38" s="3"/>
      <c r="Z38" s="5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5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2:58" x14ac:dyDescent="0.3">
      <c r="B39" s="1" t="s">
        <v>13</v>
      </c>
      <c r="C39" s="3">
        <f t="shared" si="19"/>
        <v>8.2806063951760163E-3</v>
      </c>
      <c r="D39" s="3">
        <f t="shared" si="19"/>
        <v>9.7668690814896597E-3</v>
      </c>
      <c r="E39" s="3">
        <f t="shared" si="19"/>
        <v>2.1656970571998811E-2</v>
      </c>
      <c r="F39" s="3">
        <f t="shared" si="19"/>
        <v>1.8896768440273472E-2</v>
      </c>
      <c r="G39" s="3">
        <f t="shared" si="19"/>
        <v>2.0170707885685167E-2</v>
      </c>
      <c r="H39" s="3">
        <f t="shared" si="19"/>
        <v>2.1232324090194914E-2</v>
      </c>
      <c r="I39" s="3">
        <f t="shared" si="19"/>
        <v>7.8559599133721184E-3</v>
      </c>
      <c r="J39" s="3">
        <f t="shared" si="19"/>
        <v>7.6436366724701686E-3</v>
      </c>
      <c r="K39" s="3">
        <f t="shared" ref="K39" si="22">K28*2</f>
        <v>8.917576117881864E-3</v>
      </c>
      <c r="L39" s="3">
        <f t="shared" ref="L39:S39" si="23">L28*2</f>
        <v>1.1890101490509153E-2</v>
      </c>
      <c r="M39" s="3">
        <f t="shared" si="23"/>
        <v>1.6136566308548133E-2</v>
      </c>
      <c r="N39" s="3">
        <f t="shared" si="23"/>
        <v>1.3164040935920846E-2</v>
      </c>
      <c r="O39" s="3">
        <f t="shared" si="23"/>
        <v>1.5074950104038387E-2</v>
      </c>
      <c r="P39" s="3">
        <f t="shared" si="23"/>
        <v>4.6711112998428809E-3</v>
      </c>
      <c r="Q39" s="3">
        <f t="shared" si="23"/>
        <v>6.794343708862372E-3</v>
      </c>
      <c r="R39" s="3">
        <f t="shared" si="23"/>
        <v>1.0828485285999405E-2</v>
      </c>
      <c r="S39" s="3">
        <f t="shared" si="23"/>
        <v>9.7668690814896597E-3</v>
      </c>
      <c r="T39" s="3"/>
      <c r="U39" s="3"/>
      <c r="V39" s="3"/>
      <c r="W39" s="3"/>
      <c r="X39" s="3"/>
      <c r="Y39" s="3"/>
      <c r="Z39" s="5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5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2:58" x14ac:dyDescent="0.3">
      <c r="B40" s="1" t="s">
        <v>32</v>
      </c>
      <c r="C40" s="3">
        <f t="shared" ref="C40:J40" si="24">SUM(C30:C39)</f>
        <v>1.7250605465258979</v>
      </c>
      <c r="D40" s="3">
        <f t="shared" si="24"/>
        <v>1.6896394475180845</v>
      </c>
      <c r="E40" s="3">
        <f t="shared" si="24"/>
        <v>1.7197241582060403</v>
      </c>
      <c r="F40" s="3">
        <f t="shared" si="24"/>
        <v>1.703975780216253</v>
      </c>
      <c r="G40" s="3">
        <f t="shared" si="24"/>
        <v>1.7187829876790446</v>
      </c>
      <c r="H40" s="3">
        <f t="shared" si="24"/>
        <v>1.7293009838583564</v>
      </c>
      <c r="I40" s="3">
        <f t="shared" si="24"/>
        <v>1.7164011504631989</v>
      </c>
      <c r="J40" s="3">
        <f t="shared" si="24"/>
        <v>1.7190155667614779</v>
      </c>
      <c r="K40" s="3">
        <f t="shared" ref="K40" si="25">SUM(K30:K39)</f>
        <v>1.7027844865732911</v>
      </c>
      <c r="L40" s="3">
        <f t="shared" ref="L40:S40" si="26">SUM(L30:L39)</f>
        <v>1.6640049896365363</v>
      </c>
      <c r="M40" s="3">
        <f t="shared" si="26"/>
        <v>1.6717032594396239</v>
      </c>
      <c r="N40" s="3">
        <f t="shared" si="26"/>
        <v>1.743510076576301</v>
      </c>
      <c r="O40" s="3">
        <f t="shared" si="26"/>
        <v>1.7384612423444061</v>
      </c>
      <c r="P40" s="3">
        <f t="shared" si="26"/>
        <v>1.7699370107467445</v>
      </c>
      <c r="Q40" s="3">
        <f t="shared" si="26"/>
        <v>1.7113492009660796</v>
      </c>
      <c r="R40" s="3">
        <f t="shared" si="26"/>
        <v>1.7567195223236425</v>
      </c>
      <c r="S40" s="3">
        <f t="shared" si="26"/>
        <v>1.7884634569332083</v>
      </c>
      <c r="T40" s="3"/>
      <c r="U40" s="3"/>
      <c r="V40" s="3"/>
      <c r="W40" s="3"/>
      <c r="X40" s="3"/>
      <c r="Y40" s="3"/>
      <c r="Z40" s="5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5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2:58" x14ac:dyDescent="0.3">
      <c r="B41" s="8" t="s">
        <v>35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5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5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2:58" x14ac:dyDescent="0.3">
      <c r="B42" s="1" t="s">
        <v>28</v>
      </c>
      <c r="C42" s="3">
        <f t="shared" ref="C42:J43" si="27">C19*2</f>
        <v>1.6656597480539841</v>
      </c>
      <c r="D42" s="3">
        <f t="shared" si="27"/>
        <v>1.6117355116061933</v>
      </c>
      <c r="E42" s="3">
        <f t="shared" si="27"/>
        <v>1.4692690103737582</v>
      </c>
      <c r="F42" s="3">
        <f t="shared" si="27"/>
        <v>1.4386453699219264</v>
      </c>
      <c r="G42" s="3">
        <f t="shared" si="27"/>
        <v>1.3654149253631982</v>
      </c>
      <c r="H42" s="3">
        <f t="shared" si="27"/>
        <v>1.3740694324474114</v>
      </c>
      <c r="I42" s="3">
        <f t="shared" si="27"/>
        <v>1.6813044339369851</v>
      </c>
      <c r="J42" s="3">
        <f t="shared" si="27"/>
        <v>1.621721481318747</v>
      </c>
      <c r="K42" s="3">
        <f t="shared" ref="K42" si="28">K19*2</f>
        <v>1.6506807934851535</v>
      </c>
      <c r="L42" s="3">
        <f t="shared" ref="L42:S42" si="29">L19*2</f>
        <v>1.4629445628891409</v>
      </c>
      <c r="M42" s="3">
        <f t="shared" si="29"/>
        <v>1.484247964942589</v>
      </c>
      <c r="N42" s="3">
        <f t="shared" si="29"/>
        <v>1.567131513556786</v>
      </c>
      <c r="O42" s="3">
        <f t="shared" si="29"/>
        <v>1.5311820225915922</v>
      </c>
      <c r="P42" s="3">
        <f t="shared" si="29"/>
        <v>1.7824955936908642</v>
      </c>
      <c r="Q42" s="3">
        <f t="shared" si="29"/>
        <v>1.6393633611442591</v>
      </c>
      <c r="R42" s="3">
        <f t="shared" si="29"/>
        <v>1.4955653972834835</v>
      </c>
      <c r="S42" s="3">
        <f t="shared" si="29"/>
        <v>1.7581964007236499</v>
      </c>
      <c r="T42" s="3"/>
      <c r="U42" s="3"/>
      <c r="V42" s="3"/>
      <c r="W42" s="3"/>
      <c r="X42" s="3"/>
      <c r="Y42" s="3"/>
      <c r="Z42" s="5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5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2:58" x14ac:dyDescent="0.3">
      <c r="B43" s="1" t="s">
        <v>24</v>
      </c>
      <c r="C43" s="3">
        <f t="shared" si="27"/>
        <v>1.6775414753351328E-2</v>
      </c>
      <c r="D43" s="3">
        <f t="shared" si="27"/>
        <v>2.2784518545596578E-2</v>
      </c>
      <c r="E43" s="3">
        <f t="shared" si="27"/>
        <v>3.5303484779440848E-2</v>
      </c>
      <c r="F43" s="3">
        <f t="shared" si="27"/>
        <v>3.0546277610580028E-2</v>
      </c>
      <c r="G43" s="3">
        <f t="shared" si="27"/>
        <v>7.6115314701773185E-2</v>
      </c>
      <c r="H43" s="3">
        <f t="shared" si="27"/>
        <v>7.0106210909527927E-2</v>
      </c>
      <c r="I43" s="3">
        <f t="shared" si="27"/>
        <v>1.5273138805290014E-2</v>
      </c>
      <c r="J43" s="3">
        <f t="shared" si="27"/>
        <v>1.6274656103997556E-2</v>
      </c>
      <c r="K43" s="3">
        <f t="shared" ref="K43" si="30">K20*2</f>
        <v>1.3270104207874932E-2</v>
      </c>
      <c r="L43" s="3">
        <f t="shared" ref="L43:S43" si="31">L20*2</f>
        <v>1.6274656103997556E-2</v>
      </c>
      <c r="M43" s="3">
        <f t="shared" si="31"/>
        <v>2.0280725298827726E-2</v>
      </c>
      <c r="N43" s="3">
        <f t="shared" si="31"/>
        <v>2.6289829091072976E-2</v>
      </c>
      <c r="O43" s="3">
        <f t="shared" si="31"/>
        <v>3.3801208831379541E-2</v>
      </c>
      <c r="P43" s="3">
        <f t="shared" si="31"/>
        <v>6.2594831169221375E-3</v>
      </c>
      <c r="Q43" s="3">
        <f t="shared" si="31"/>
        <v>1.6525035428674444E-2</v>
      </c>
      <c r="R43" s="3">
        <f t="shared" si="31"/>
        <v>4.8072830337962009E-2</v>
      </c>
      <c r="S43" s="3">
        <f t="shared" si="31"/>
        <v>2.4286794493657893E-2</v>
      </c>
      <c r="T43" s="3"/>
      <c r="U43" s="3"/>
      <c r="V43" s="3"/>
      <c r="W43" s="3"/>
      <c r="X43" s="3"/>
      <c r="Y43" s="3"/>
      <c r="Z43" s="5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5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2:58" x14ac:dyDescent="0.3">
      <c r="B44" t="s">
        <v>34</v>
      </c>
      <c r="C44" s="3">
        <f t="shared" ref="C44:J45" si="32">C21*3</f>
        <v>0.12681319327978344</v>
      </c>
      <c r="D44" s="3">
        <f t="shared" si="32"/>
        <v>0.13858239915261719</v>
      </c>
      <c r="E44" s="3">
        <f t="shared" si="32"/>
        <v>0.28246094094800955</v>
      </c>
      <c r="F44" s="3">
        <f t="shared" si="32"/>
        <v>0.38632418277576719</v>
      </c>
      <c r="G44" s="3">
        <f t="shared" si="32"/>
        <v>0.36160885044281632</v>
      </c>
      <c r="H44" s="3">
        <f t="shared" si="32"/>
        <v>0.38249919086709627</v>
      </c>
      <c r="I44" s="3">
        <f t="shared" si="32"/>
        <v>0.11327860652602464</v>
      </c>
      <c r="J44" s="3">
        <f t="shared" si="32"/>
        <v>0.18065731014799774</v>
      </c>
      <c r="K44" s="3">
        <f t="shared" ref="K44" si="33">K21*3</f>
        <v>0.13240356606937947</v>
      </c>
      <c r="L44" s="3">
        <f t="shared" ref="L44:S44" si="34">L21*3</f>
        <v>0.28922823432488898</v>
      </c>
      <c r="M44" s="3">
        <f t="shared" si="34"/>
        <v>0.29334745638038079</v>
      </c>
      <c r="N44" s="3">
        <f t="shared" si="34"/>
        <v>0.24303410127401653</v>
      </c>
      <c r="O44" s="3">
        <f t="shared" si="34"/>
        <v>0.2795186394798011</v>
      </c>
      <c r="P44" s="3">
        <f t="shared" si="34"/>
        <v>4.7959513931797447E-2</v>
      </c>
      <c r="Q44" s="3">
        <f t="shared" si="34"/>
        <v>0.15035160502545092</v>
      </c>
      <c r="R44" s="3">
        <f t="shared" si="34"/>
        <v>0.27451672698384677</v>
      </c>
      <c r="S44" s="3">
        <f t="shared" si="34"/>
        <v>0.11769205872833731</v>
      </c>
      <c r="T44" s="3"/>
      <c r="U44" s="3"/>
      <c r="V44" s="3"/>
      <c r="W44" s="3"/>
      <c r="X44" s="3"/>
      <c r="Y44" s="3"/>
      <c r="Z44" s="5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5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2:58" x14ac:dyDescent="0.3">
      <c r="B45" t="s">
        <v>22</v>
      </c>
      <c r="C45" s="3">
        <f t="shared" si="32"/>
        <v>0</v>
      </c>
      <c r="D45" s="3">
        <f t="shared" si="32"/>
        <v>1.9737075833792771E-4</v>
      </c>
      <c r="E45" s="3">
        <f t="shared" si="32"/>
        <v>0</v>
      </c>
      <c r="F45" s="3">
        <f t="shared" si="32"/>
        <v>0</v>
      </c>
      <c r="G45" s="3">
        <f t="shared" si="32"/>
        <v>9.8685379168963853E-4</v>
      </c>
      <c r="H45" s="3">
        <f t="shared" si="32"/>
        <v>0</v>
      </c>
      <c r="I45" s="3">
        <f t="shared" si="32"/>
        <v>0</v>
      </c>
      <c r="J45" s="3">
        <f t="shared" si="32"/>
        <v>0</v>
      </c>
      <c r="K45" s="3">
        <f t="shared" ref="K45" si="35">K22*3</f>
        <v>0</v>
      </c>
      <c r="L45" s="3">
        <f t="shared" ref="L45:S45" si="36">L22*3</f>
        <v>0</v>
      </c>
      <c r="M45" s="3">
        <f t="shared" si="36"/>
        <v>7.8948303335171083E-4</v>
      </c>
      <c r="N45" s="3">
        <f t="shared" si="36"/>
        <v>0</v>
      </c>
      <c r="O45" s="3">
        <f t="shared" si="36"/>
        <v>0</v>
      </c>
      <c r="P45" s="3">
        <f t="shared" si="36"/>
        <v>0</v>
      </c>
      <c r="Q45" s="3">
        <f t="shared" si="36"/>
        <v>9.8685379168963853E-4</v>
      </c>
      <c r="R45" s="3">
        <f t="shared" si="36"/>
        <v>0</v>
      </c>
      <c r="S45" s="3">
        <f t="shared" si="36"/>
        <v>1.9737075833792771E-4</v>
      </c>
      <c r="T45" s="3"/>
      <c r="U45" s="3"/>
      <c r="V45" s="3"/>
      <c r="W45" s="3"/>
      <c r="X45" s="3"/>
      <c r="Y45" s="3"/>
      <c r="Z45" s="5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5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2:58" x14ac:dyDescent="0.3">
      <c r="B46" t="s">
        <v>33</v>
      </c>
      <c r="C46" s="3">
        <f t="shared" ref="C46:J51" si="37">C23*1</f>
        <v>0.24329681097452344</v>
      </c>
      <c r="D46" s="3">
        <f t="shared" si="37"/>
        <v>0.25484923392125419</v>
      </c>
      <c r="E46" s="3">
        <f t="shared" si="37"/>
        <v>0.26695840014252625</v>
      </c>
      <c r="F46" s="3">
        <f t="shared" si="37"/>
        <v>0.2634787546766435</v>
      </c>
      <c r="G46" s="3">
        <f t="shared" si="37"/>
        <v>0.24719401389631215</v>
      </c>
      <c r="H46" s="3">
        <f t="shared" si="37"/>
        <v>0.23146601639052197</v>
      </c>
      <c r="I46" s="3">
        <f t="shared" si="37"/>
        <v>0.24482785497951184</v>
      </c>
      <c r="J46" s="3">
        <f t="shared" si="37"/>
        <v>0.25109121681810082</v>
      </c>
      <c r="K46" s="3">
        <f t="shared" ref="K46" si="38">K23*1</f>
        <v>0.27029885978977375</v>
      </c>
      <c r="L46" s="3">
        <f t="shared" ref="L46:S46" si="39">L23*1</f>
        <v>0.33933502583288794</v>
      </c>
      <c r="M46" s="3">
        <f t="shared" si="39"/>
        <v>0.31929226794940319</v>
      </c>
      <c r="N46" s="3">
        <f t="shared" si="39"/>
        <v>0.22951741492962763</v>
      </c>
      <c r="O46" s="3">
        <f t="shared" si="39"/>
        <v>0.21880010689470872</v>
      </c>
      <c r="P46" s="3">
        <f t="shared" si="39"/>
        <v>0.20307210938891856</v>
      </c>
      <c r="Q46" s="3">
        <f t="shared" si="39"/>
        <v>0.23953879387137003</v>
      </c>
      <c r="R46" s="3">
        <f t="shared" si="39"/>
        <v>0.20515989666844825</v>
      </c>
      <c r="S46" s="3">
        <f t="shared" si="39"/>
        <v>0.1061987796187422</v>
      </c>
      <c r="T46" s="3"/>
      <c r="U46" s="3"/>
      <c r="V46" s="3"/>
      <c r="W46" s="3"/>
      <c r="X46" s="3"/>
      <c r="Y46" s="3"/>
      <c r="Z46" s="5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5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2:58" x14ac:dyDescent="0.3">
      <c r="B47" t="s">
        <v>17</v>
      </c>
      <c r="C47" s="3">
        <f t="shared" si="37"/>
        <v>6.2026431718061673E-3</v>
      </c>
      <c r="D47" s="3">
        <f t="shared" si="37"/>
        <v>5.2158590308370046E-3</v>
      </c>
      <c r="E47" s="3">
        <f t="shared" si="37"/>
        <v>4.933920704845815E-3</v>
      </c>
      <c r="F47" s="3">
        <f t="shared" si="37"/>
        <v>4.3700440528634359E-3</v>
      </c>
      <c r="G47" s="3">
        <f t="shared" si="37"/>
        <v>3.8061674008810576E-3</v>
      </c>
      <c r="H47" s="3">
        <f t="shared" si="37"/>
        <v>3.1013215859030836E-3</v>
      </c>
      <c r="I47" s="3">
        <f t="shared" si="37"/>
        <v>5.638766519823789E-3</v>
      </c>
      <c r="J47" s="3">
        <f t="shared" si="37"/>
        <v>7.1894273127753308E-3</v>
      </c>
      <c r="K47" s="3">
        <f t="shared" ref="K47" si="40">K24*1</f>
        <v>8.4581497797356821E-3</v>
      </c>
      <c r="L47" s="3">
        <f t="shared" ref="L47:S47" si="41">L24*1</f>
        <v>9.162995594713657E-3</v>
      </c>
      <c r="M47" s="3">
        <f t="shared" si="41"/>
        <v>9.5859030837004405E-3</v>
      </c>
      <c r="N47" s="3">
        <f t="shared" si="41"/>
        <v>5.4977973568281942E-3</v>
      </c>
      <c r="O47" s="3">
        <f t="shared" si="41"/>
        <v>5.0748898678414098E-3</v>
      </c>
      <c r="P47" s="3">
        <f t="shared" si="41"/>
        <v>7.3303964757709256E-3</v>
      </c>
      <c r="Q47" s="3">
        <f t="shared" si="41"/>
        <v>1.1277533039647578E-2</v>
      </c>
      <c r="R47" s="3">
        <f t="shared" si="41"/>
        <v>3.8061674008810576E-3</v>
      </c>
      <c r="S47" s="3">
        <f t="shared" si="41"/>
        <v>1.6916299559471366E-3</v>
      </c>
      <c r="T47" s="3"/>
      <c r="U47" s="3"/>
      <c r="V47" s="3"/>
      <c r="W47" s="3"/>
      <c r="X47" s="3"/>
      <c r="Y47" s="3"/>
      <c r="Z47" s="5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5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2:58" x14ac:dyDescent="0.3">
      <c r="B48" t="s">
        <v>19</v>
      </c>
      <c r="C48" s="3">
        <f t="shared" si="37"/>
        <v>0.31460584948541598</v>
      </c>
      <c r="D48" s="3">
        <f t="shared" si="37"/>
        <v>0.28309564216313854</v>
      </c>
      <c r="E48" s="3">
        <f t="shared" si="37"/>
        <v>0.24910431615406753</v>
      </c>
      <c r="F48" s="3">
        <f t="shared" si="37"/>
        <v>0.19203858635781701</v>
      </c>
      <c r="G48" s="3">
        <f t="shared" si="37"/>
        <v>0.24141284822500769</v>
      </c>
      <c r="H48" s="3">
        <f t="shared" si="37"/>
        <v>0.24984865176010559</v>
      </c>
      <c r="I48" s="3">
        <f t="shared" si="37"/>
        <v>0.31485396135409532</v>
      </c>
      <c r="J48" s="3">
        <f t="shared" si="37"/>
        <v>0.29128333382955707</v>
      </c>
      <c r="K48" s="3">
        <f t="shared" ref="K48" si="42">K25*1</f>
        <v>0.29500501185974731</v>
      </c>
      <c r="L48" s="3">
        <f t="shared" ref="L48:S48" si="43">L25*1</f>
        <v>0.1602802671668602</v>
      </c>
      <c r="M48" s="3">
        <f t="shared" si="43"/>
        <v>0.15953593156082213</v>
      </c>
      <c r="N48" s="3">
        <f t="shared" si="43"/>
        <v>0.30344081539484524</v>
      </c>
      <c r="O48" s="3">
        <f t="shared" si="43"/>
        <v>0.29823046615257887</v>
      </c>
      <c r="P48" s="3">
        <f t="shared" si="43"/>
        <v>0.43221087523942797</v>
      </c>
      <c r="Q48" s="3">
        <f t="shared" si="43"/>
        <v>0.31113228332390508</v>
      </c>
      <c r="R48" s="3">
        <f t="shared" si="43"/>
        <v>0.34189815504014448</v>
      </c>
      <c r="S48" s="3">
        <f t="shared" si="43"/>
        <v>0.4604956282688738</v>
      </c>
      <c r="T48" s="3"/>
      <c r="U48" s="3"/>
      <c r="V48" s="3"/>
      <c r="W48" s="3"/>
      <c r="X48" s="3"/>
      <c r="Y48" s="3"/>
      <c r="Z48" s="5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5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2:58" x14ac:dyDescent="0.3">
      <c r="B49" t="s">
        <v>16</v>
      </c>
      <c r="C49" s="3">
        <f t="shared" si="37"/>
        <v>0.19722740355294649</v>
      </c>
      <c r="D49" s="3">
        <f t="shared" si="37"/>
        <v>0.194017554308866</v>
      </c>
      <c r="E49" s="3">
        <f t="shared" si="37"/>
        <v>0.18581460624066024</v>
      </c>
      <c r="F49" s="3">
        <f t="shared" si="37"/>
        <v>0.18367470674460659</v>
      </c>
      <c r="G49" s="3">
        <f t="shared" si="37"/>
        <v>0.18206978212256633</v>
      </c>
      <c r="H49" s="3">
        <f t="shared" si="37"/>
        <v>0.18331805682859761</v>
      </c>
      <c r="I49" s="3">
        <f t="shared" si="37"/>
        <v>0.19134267993879889</v>
      </c>
      <c r="J49" s="3">
        <f t="shared" si="37"/>
        <v>0.20204217741906724</v>
      </c>
      <c r="K49" s="3">
        <f t="shared" ref="K49" si="44">K26*1</f>
        <v>0.17404515901236506</v>
      </c>
      <c r="L49" s="3">
        <f t="shared" ref="L49:S49" si="45">L26*1</f>
        <v>0.17992988262651266</v>
      </c>
      <c r="M49" s="3">
        <f t="shared" si="45"/>
        <v>0.18652790607267813</v>
      </c>
      <c r="N49" s="3">
        <f t="shared" si="45"/>
        <v>0.18991608027476312</v>
      </c>
      <c r="O49" s="3">
        <f t="shared" si="45"/>
        <v>0.18242643203857528</v>
      </c>
      <c r="P49" s="3">
        <f t="shared" si="45"/>
        <v>0.18920278044274522</v>
      </c>
      <c r="Q49" s="3">
        <f t="shared" si="45"/>
        <v>0.18795450573671391</v>
      </c>
      <c r="R49" s="3">
        <f t="shared" si="45"/>
        <v>0.18082150741653502</v>
      </c>
      <c r="S49" s="3">
        <f t="shared" si="45"/>
        <v>0.21595152414341606</v>
      </c>
      <c r="T49" s="3"/>
      <c r="U49" s="3"/>
      <c r="V49" s="3"/>
      <c r="W49" s="3"/>
      <c r="X49" s="3"/>
      <c r="Y49" s="3"/>
      <c r="Z49" s="5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5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2:58" x14ac:dyDescent="0.3">
      <c r="B50" t="s">
        <v>14</v>
      </c>
      <c r="C50" s="3">
        <f t="shared" si="37"/>
        <v>1.4843761344586625E-2</v>
      </c>
      <c r="D50" s="3">
        <f t="shared" si="37"/>
        <v>1.6457213664650389E-2</v>
      </c>
      <c r="E50" s="3">
        <f t="shared" si="37"/>
        <v>2.5331201425001088E-2</v>
      </c>
      <c r="F50" s="3">
        <f t="shared" si="37"/>
        <v>2.4685820496975583E-2</v>
      </c>
      <c r="G50" s="3">
        <f t="shared" si="37"/>
        <v>3.0816939313217884E-2</v>
      </c>
      <c r="H50" s="3">
        <f t="shared" si="37"/>
        <v>3.1623665473249768E-2</v>
      </c>
      <c r="I50" s="3">
        <f t="shared" si="37"/>
        <v>1.4037035184554743E-2</v>
      </c>
      <c r="J50" s="3">
        <f t="shared" si="37"/>
        <v>1.016474961640171E-2</v>
      </c>
      <c r="K50" s="3">
        <f t="shared" ref="K50" si="46">K27*1</f>
        <v>1.290761856051011E-2</v>
      </c>
      <c r="L50" s="3">
        <f t="shared" ref="L50:S50" si="47">L27*1</f>
        <v>1.548914227261213E-2</v>
      </c>
      <c r="M50" s="3">
        <f t="shared" si="47"/>
        <v>1.6134523200637636E-2</v>
      </c>
      <c r="N50" s="3">
        <f t="shared" si="47"/>
        <v>2.1620261088854432E-2</v>
      </c>
      <c r="O50" s="3">
        <f t="shared" si="47"/>
        <v>2.5008510960988335E-2</v>
      </c>
      <c r="P50" s="3">
        <f t="shared" si="47"/>
        <v>3.5495951041402797E-3</v>
      </c>
      <c r="Q50" s="3">
        <f t="shared" si="47"/>
        <v>1.290761856051011E-2</v>
      </c>
      <c r="R50" s="3">
        <f t="shared" si="47"/>
        <v>2.9687522689173251E-2</v>
      </c>
      <c r="S50" s="3">
        <f t="shared" si="47"/>
        <v>1.2262237632484603E-2</v>
      </c>
      <c r="T50" s="3"/>
      <c r="U50" s="3"/>
      <c r="V50" s="3"/>
      <c r="W50" s="3"/>
      <c r="X50" s="3"/>
      <c r="Y50" s="3"/>
      <c r="Z50" s="5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5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spans="2:58" x14ac:dyDescent="0.3">
      <c r="B51" t="s">
        <v>13</v>
      </c>
      <c r="C51" s="3">
        <f t="shared" si="37"/>
        <v>4.1403031975880081E-3</v>
      </c>
      <c r="D51" s="3">
        <f t="shared" si="37"/>
        <v>4.8834345407448299E-3</v>
      </c>
      <c r="E51" s="3">
        <f t="shared" si="37"/>
        <v>1.0828485285999405E-2</v>
      </c>
      <c r="F51" s="3">
        <f t="shared" si="37"/>
        <v>9.4483842201367359E-3</v>
      </c>
      <c r="G51" s="3">
        <f t="shared" si="37"/>
        <v>1.0085353942842584E-2</v>
      </c>
      <c r="H51" s="3">
        <f t="shared" si="37"/>
        <v>1.0616162045097457E-2</v>
      </c>
      <c r="I51" s="3">
        <f t="shared" si="37"/>
        <v>3.9279799566860592E-3</v>
      </c>
      <c r="J51" s="3">
        <f t="shared" si="37"/>
        <v>3.8218183362350843E-3</v>
      </c>
      <c r="K51" s="3">
        <f t="shared" ref="K51" si="48">K28*1</f>
        <v>4.458788058940932E-3</v>
      </c>
      <c r="L51" s="3">
        <f t="shared" ref="L51:S51" si="49">L28*1</f>
        <v>5.9450507452545763E-3</v>
      </c>
      <c r="M51" s="3">
        <f t="shared" si="49"/>
        <v>8.0682831542740665E-3</v>
      </c>
      <c r="N51" s="3">
        <f t="shared" si="49"/>
        <v>6.5820204679604231E-3</v>
      </c>
      <c r="O51" s="3">
        <f t="shared" si="49"/>
        <v>7.5374750520191937E-3</v>
      </c>
      <c r="P51" s="3">
        <f t="shared" si="49"/>
        <v>2.3355556499214405E-3</v>
      </c>
      <c r="Q51" s="3">
        <f t="shared" si="49"/>
        <v>3.397171854431186E-3</v>
      </c>
      <c r="R51" s="3">
        <f t="shared" si="49"/>
        <v>5.4142426429997026E-3</v>
      </c>
      <c r="S51" s="3">
        <f t="shared" si="49"/>
        <v>4.8834345407448299E-3</v>
      </c>
      <c r="T51" s="3"/>
      <c r="U51" s="3"/>
      <c r="V51" s="3"/>
      <c r="W51" s="3"/>
      <c r="X51" s="3"/>
      <c r="Y51" s="3"/>
      <c r="Z51" s="5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5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spans="2:58" x14ac:dyDescent="0.3">
      <c r="B52" t="s">
        <v>32</v>
      </c>
      <c r="C52" s="3">
        <f t="shared" ref="C52:J52" si="50">SUM(C42:C51)</f>
        <v>2.5895651278139851</v>
      </c>
      <c r="D52" s="3">
        <f t="shared" si="50"/>
        <v>2.5318187376922356</v>
      </c>
      <c r="E52" s="3">
        <f t="shared" si="50"/>
        <v>2.5300043660543086</v>
      </c>
      <c r="F52" s="3">
        <f t="shared" si="50"/>
        <v>2.5332121268573169</v>
      </c>
      <c r="G52" s="3">
        <f t="shared" si="50"/>
        <v>2.5195110492003057</v>
      </c>
      <c r="H52" s="3">
        <f t="shared" si="50"/>
        <v>2.5366487083075109</v>
      </c>
      <c r="I52" s="3">
        <f t="shared" si="50"/>
        <v>2.5844844572017704</v>
      </c>
      <c r="J52" s="3">
        <f t="shared" si="50"/>
        <v>2.5842461709028792</v>
      </c>
      <c r="K52" s="3">
        <f t="shared" ref="K52" si="51">SUM(K42:K51)</f>
        <v>2.5615280508234806</v>
      </c>
      <c r="L52" s="3">
        <f t="shared" ref="L52:S52" si="52">SUM(L42:L51)</f>
        <v>2.4785898175568688</v>
      </c>
      <c r="M52" s="3">
        <f t="shared" si="52"/>
        <v>2.4978104446766647</v>
      </c>
      <c r="N52" s="3">
        <f t="shared" si="52"/>
        <v>2.5930298334347546</v>
      </c>
      <c r="O52" s="3">
        <f t="shared" si="52"/>
        <v>2.5815797518694841</v>
      </c>
      <c r="P52" s="3">
        <f t="shared" si="52"/>
        <v>2.6744159030405084</v>
      </c>
      <c r="Q52" s="3">
        <f t="shared" si="52"/>
        <v>2.5734347617766522</v>
      </c>
      <c r="R52" s="3">
        <f t="shared" si="52"/>
        <v>2.5849424464634736</v>
      </c>
      <c r="S52" s="3">
        <f t="shared" si="52"/>
        <v>2.7018558588641914</v>
      </c>
      <c r="T52" s="3"/>
      <c r="U52" s="3"/>
      <c r="V52" s="3"/>
      <c r="W52" s="3"/>
      <c r="X52" s="3"/>
      <c r="Y52" s="3"/>
      <c r="Z52" s="5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5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spans="2:58" x14ac:dyDescent="0.3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5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5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spans="2:58" x14ac:dyDescent="0.3">
      <c r="C54" s="3">
        <f>23/C52</f>
        <v>8.8818001729177389</v>
      </c>
      <c r="D54" s="3">
        <f t="shared" ref="D54:J54" si="53">23/D52</f>
        <v>9.0843786158896211</v>
      </c>
      <c r="E54" s="3">
        <f t="shared" si="53"/>
        <v>9.0908934026346611</v>
      </c>
      <c r="F54" s="3">
        <f t="shared" si="53"/>
        <v>9.0793817683691653</v>
      </c>
      <c r="G54" s="3">
        <f t="shared" si="53"/>
        <v>9.1287553619978024</v>
      </c>
      <c r="H54" s="3">
        <f t="shared" si="53"/>
        <v>9.0670812732859396</v>
      </c>
      <c r="I54" s="3">
        <f t="shared" si="53"/>
        <v>8.8992603286545489</v>
      </c>
      <c r="J54" s="3">
        <f t="shared" si="53"/>
        <v>8.900080905204284</v>
      </c>
      <c r="K54" s="3">
        <f t="shared" ref="K54" si="54">23/K52</f>
        <v>8.9790154718805262</v>
      </c>
      <c r="L54" s="3">
        <f t="shared" ref="L54:S54" si="55">23/L52</f>
        <v>9.2794700587735655</v>
      </c>
      <c r="M54" s="3">
        <f t="shared" si="55"/>
        <v>9.2080646267684632</v>
      </c>
      <c r="N54" s="3">
        <f t="shared" si="55"/>
        <v>8.8699326569389907</v>
      </c>
      <c r="O54" s="3">
        <f t="shared" si="55"/>
        <v>8.9092734723164195</v>
      </c>
      <c r="P54" s="3">
        <f t="shared" si="55"/>
        <v>8.6000086874489501</v>
      </c>
      <c r="Q54" s="3">
        <f t="shared" si="55"/>
        <v>8.9374715619840401</v>
      </c>
      <c r="R54" s="3">
        <f t="shared" si="55"/>
        <v>8.8976835950320261</v>
      </c>
      <c r="S54" s="3">
        <f t="shared" si="55"/>
        <v>8.5126672929431404</v>
      </c>
      <c r="T54" s="3"/>
      <c r="U54" s="3"/>
      <c r="V54" s="3"/>
      <c r="W54" s="3"/>
      <c r="X54" s="3"/>
      <c r="Y54" s="3"/>
      <c r="Z54" s="5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5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spans="2:58" x14ac:dyDescent="0.3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5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5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spans="2:58" x14ac:dyDescent="0.3">
      <c r="B56" s="8" t="s">
        <v>50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5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5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spans="2:58" x14ac:dyDescent="0.3">
      <c r="B57" t="s">
        <v>28</v>
      </c>
      <c r="C57" s="3">
        <f t="shared" ref="C57:J57" si="56">C30*C54</f>
        <v>7.3970285191439968</v>
      </c>
      <c r="D57" s="3">
        <f t="shared" si="56"/>
        <v>7.3208078080526109</v>
      </c>
      <c r="E57" s="3">
        <f t="shared" si="56"/>
        <v>6.6784839765511776</v>
      </c>
      <c r="F57" s="3">
        <f t="shared" si="56"/>
        <v>6.5310052714089259</v>
      </c>
      <c r="G57" s="3">
        <f t="shared" si="56"/>
        <v>6.2322694106305621</v>
      </c>
      <c r="H57" s="3">
        <f t="shared" si="56"/>
        <v>6.2293996095692821</v>
      </c>
      <c r="I57" s="3">
        <f t="shared" si="56"/>
        <v>7.4811829246632024</v>
      </c>
      <c r="J57" s="3">
        <f t="shared" si="56"/>
        <v>7.2167261947222929</v>
      </c>
      <c r="K57" s="3">
        <f t="shared" ref="K57" si="57">K30*K54</f>
        <v>7.4107441919196084</v>
      </c>
      <c r="L57" s="3">
        <f t="shared" ref="L57:S57" si="58">L30*L54</f>
        <v>6.7876751344876824</v>
      </c>
      <c r="M57" s="3">
        <f t="shared" si="58"/>
        <v>6.8335255916704662</v>
      </c>
      <c r="N57" s="3">
        <f t="shared" si="58"/>
        <v>6.950175494907783</v>
      </c>
      <c r="O57" s="3">
        <f t="shared" si="58"/>
        <v>6.8208596875815362</v>
      </c>
      <c r="P57" s="3">
        <f t="shared" si="58"/>
        <v>7.6647387955404529</v>
      </c>
      <c r="Q57" s="3">
        <f t="shared" si="58"/>
        <v>7.3258817099926938</v>
      </c>
      <c r="R57" s="3">
        <f t="shared" si="58"/>
        <v>6.6535338503534032</v>
      </c>
      <c r="S57" s="3">
        <f t="shared" si="58"/>
        <v>7.4834704975052828</v>
      </c>
      <c r="T57" s="3"/>
      <c r="U57" s="3"/>
      <c r="V57" s="3"/>
      <c r="W57" s="3"/>
      <c r="X57" s="3"/>
      <c r="Y57" s="3"/>
      <c r="Z57" s="5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5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spans="2:58" x14ac:dyDescent="0.3">
      <c r="B58" t="s">
        <v>24</v>
      </c>
      <c r="C58" s="3">
        <f t="shared" ref="C58:J58" si="59">C31*C54</f>
        <v>7.4497940828541304E-2</v>
      </c>
      <c r="D58" s="3">
        <f t="shared" si="59"/>
        <v>0.10349159652447902</v>
      </c>
      <c r="E58" s="3">
        <f t="shared" si="59"/>
        <v>0.16047010843571599</v>
      </c>
      <c r="F58" s="3">
        <f t="shared" si="59"/>
        <v>0.13867065801452177</v>
      </c>
      <c r="G58" s="3">
        <f t="shared" si="59"/>
        <v>0.34741904360698106</v>
      </c>
      <c r="H58" s="3">
        <f t="shared" si="59"/>
        <v>0.31782935603940754</v>
      </c>
      <c r="I58" s="3">
        <f t="shared" si="59"/>
        <v>6.7959819131975879E-2</v>
      </c>
      <c r="J58" s="3">
        <f t="shared" si="59"/>
        <v>7.2422878014977501E-2</v>
      </c>
      <c r="K58" s="3">
        <f t="shared" ref="K58" si="60">K31*K54</f>
        <v>5.9576235497987948E-2</v>
      </c>
      <c r="L58" s="3">
        <f t="shared" ref="L58:S58" si="61">L31*L54</f>
        <v>7.551009201694088E-2</v>
      </c>
      <c r="M58" s="3">
        <f t="shared" si="61"/>
        <v>9.3373114614671932E-2</v>
      </c>
      <c r="N58" s="3">
        <f t="shared" si="61"/>
        <v>0.11659450680012645</v>
      </c>
      <c r="O58" s="3">
        <f t="shared" si="61"/>
        <v>0.1505721065868186</v>
      </c>
      <c r="P58" s="3">
        <f t="shared" si="61"/>
        <v>2.6915804592235207E-2</v>
      </c>
      <c r="Q58" s="3">
        <f t="shared" si="61"/>
        <v>7.3846017102278297E-2</v>
      </c>
      <c r="R58" s="3">
        <f t="shared" si="61"/>
        <v>0.21386841693242123</v>
      </c>
      <c r="S58" s="3">
        <f t="shared" si="61"/>
        <v>0.10337270056829655</v>
      </c>
      <c r="T58" s="3"/>
      <c r="U58" s="3"/>
      <c r="V58" s="3"/>
      <c r="W58" s="3"/>
      <c r="X58" s="3"/>
      <c r="Y58" s="3"/>
      <c r="Z58" s="5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5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spans="2:58" x14ac:dyDescent="0.3">
      <c r="B59" t="s">
        <v>34</v>
      </c>
      <c r="C59" s="3">
        <f t="shared" ref="C59:J59" si="62">C32*C54</f>
        <v>0.75088629466708745</v>
      </c>
      <c r="D59" s="3">
        <f t="shared" si="62"/>
        <v>0.83928998893381035</v>
      </c>
      <c r="E59" s="3">
        <f t="shared" si="62"/>
        <v>1.7118815363774922</v>
      </c>
      <c r="F59" s="3">
        <f t="shared" si="62"/>
        <v>2.3383898278496118</v>
      </c>
      <c r="G59" s="3">
        <f t="shared" si="62"/>
        <v>2.2006924882838139</v>
      </c>
      <c r="H59" s="3">
        <f t="shared" si="62"/>
        <v>2.3121008337053817</v>
      </c>
      <c r="I59" s="3">
        <f t="shared" si="62"/>
        <v>0.67206387276154633</v>
      </c>
      <c r="J59" s="3">
        <f t="shared" si="62"/>
        <v>1.0719097842891752</v>
      </c>
      <c r="K59" s="3">
        <f t="shared" ref="K59" si="63">K32*K54</f>
        <v>0.79256911217940917</v>
      </c>
      <c r="L59" s="3">
        <f t="shared" ref="L59:S59" si="64">L32*L54</f>
        <v>1.7892564937131679</v>
      </c>
      <c r="M59" s="3">
        <f t="shared" si="64"/>
        <v>1.8007748909657926</v>
      </c>
      <c r="N59" s="3">
        <f t="shared" si="64"/>
        <v>1.4371307410934782</v>
      </c>
      <c r="O59" s="3">
        <f t="shared" si="64"/>
        <v>1.6602053331569127</v>
      </c>
      <c r="P59" s="3">
        <f t="shared" si="64"/>
        <v>0.27496815763952465</v>
      </c>
      <c r="Q59" s="3">
        <f t="shared" si="64"/>
        <v>0.89584212947574948</v>
      </c>
      <c r="R59" s="3">
        <f t="shared" si="64"/>
        <v>1.628375318830706</v>
      </c>
      <c r="S59" s="3">
        <f t="shared" si="64"/>
        <v>0.66791555931724023</v>
      </c>
      <c r="T59" s="3"/>
      <c r="U59" s="3"/>
      <c r="V59" s="3"/>
      <c r="W59" s="3"/>
      <c r="X59" s="3"/>
      <c r="Y59" s="3"/>
      <c r="Z59" s="5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5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spans="2:58" x14ac:dyDescent="0.3">
      <c r="B60" t="s">
        <v>22</v>
      </c>
      <c r="C60" s="3">
        <f t="shared" ref="C60:J60" si="65">C33*C54</f>
        <v>0</v>
      </c>
      <c r="D60" s="3">
        <f t="shared" si="65"/>
        <v>1.195327130964659E-3</v>
      </c>
      <c r="E60" s="3">
        <f t="shared" si="65"/>
        <v>0</v>
      </c>
      <c r="F60" s="3">
        <f t="shared" si="65"/>
        <v>0</v>
      </c>
      <c r="G60" s="3">
        <f t="shared" si="65"/>
        <v>6.0058312282630999E-3</v>
      </c>
      <c r="H60" s="3">
        <f t="shared" si="65"/>
        <v>0</v>
      </c>
      <c r="I60" s="3">
        <f t="shared" si="65"/>
        <v>0</v>
      </c>
      <c r="J60" s="3">
        <f t="shared" si="65"/>
        <v>0</v>
      </c>
      <c r="K60" s="3">
        <f t="shared" ref="K60" si="66">K33*K54</f>
        <v>0</v>
      </c>
      <c r="L60" s="3">
        <f t="shared" ref="L60:S60" si="67">L33*L54</f>
        <v>0</v>
      </c>
      <c r="M60" s="3">
        <f t="shared" si="67"/>
        <v>4.8464071952265039E-3</v>
      </c>
      <c r="N60" s="3">
        <f t="shared" si="67"/>
        <v>0</v>
      </c>
      <c r="O60" s="3">
        <f t="shared" si="67"/>
        <v>0</v>
      </c>
      <c r="P60" s="3">
        <f t="shared" si="67"/>
        <v>0</v>
      </c>
      <c r="Q60" s="3">
        <f t="shared" si="67"/>
        <v>5.8799851327081777E-3</v>
      </c>
      <c r="R60" s="3">
        <f t="shared" si="67"/>
        <v>0</v>
      </c>
      <c r="S60" s="3">
        <f t="shared" si="67"/>
        <v>1.1201010660577746E-3</v>
      </c>
      <c r="T60" s="3"/>
      <c r="U60" s="3"/>
      <c r="V60" s="3"/>
      <c r="W60" s="3"/>
      <c r="X60" s="3"/>
      <c r="Y60" s="3"/>
      <c r="Z60" s="5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5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spans="2:58" x14ac:dyDescent="0.3">
      <c r="B61" t="s">
        <v>33</v>
      </c>
      <c r="C61" s="3">
        <f t="shared" ref="C61:J61" si="68">C34*C54</f>
        <v>2.1609136577838566</v>
      </c>
      <c r="D61" s="3">
        <f t="shared" si="68"/>
        <v>2.3151469309100934</v>
      </c>
      <c r="E61" s="3">
        <f t="shared" si="68"/>
        <v>2.4268903586335959</v>
      </c>
      <c r="F61" s="3">
        <f t="shared" si="68"/>
        <v>2.3922242015637289</v>
      </c>
      <c r="G61" s="3">
        <f t="shared" si="68"/>
        <v>2.2565736798097187</v>
      </c>
      <c r="H61" s="3">
        <f t="shared" si="68"/>
        <v>2.0987211826165981</v>
      </c>
      <c r="I61" s="3">
        <f t="shared" si="68"/>
        <v>2.178786817168759</v>
      </c>
      <c r="J61" s="3">
        <f t="shared" si="68"/>
        <v>2.2347321442672876</v>
      </c>
      <c r="K61" s="3">
        <f t="shared" ref="K61" si="69">K34*K54</f>
        <v>2.4270176440840436</v>
      </c>
      <c r="L61" s="3">
        <f t="shared" ref="L61:S61" si="70">L34*L54</f>
        <v>3.1488492121094378</v>
      </c>
      <c r="M61" s="3">
        <f t="shared" si="70"/>
        <v>2.9400638381055773</v>
      </c>
      <c r="N61" s="3">
        <f t="shared" si="70"/>
        <v>2.0358040140205209</v>
      </c>
      <c r="O61" s="3">
        <f t="shared" si="70"/>
        <v>1.9493499880970253</v>
      </c>
      <c r="P61" s="3">
        <f t="shared" si="70"/>
        <v>1.7464219049232832</v>
      </c>
      <c r="Q61" s="3">
        <f t="shared" si="70"/>
        <v>2.1408711582173265</v>
      </c>
      <c r="R61" s="3">
        <f t="shared" si="70"/>
        <v>1.8254478469453177</v>
      </c>
      <c r="S61" s="3">
        <f t="shared" si="70"/>
        <v>0.90403487781094338</v>
      </c>
      <c r="T61" s="3"/>
      <c r="U61" s="3"/>
      <c r="V61" s="3"/>
      <c r="W61" s="3"/>
      <c r="X61" s="3"/>
      <c r="Y61" s="3"/>
      <c r="Z61" s="5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5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2:58" x14ac:dyDescent="0.3">
      <c r="B62" t="s">
        <v>17</v>
      </c>
      <c r="C62" s="3">
        <f t="shared" ref="C62:J62" si="71">C35*C54</f>
        <v>5.5090637195895048E-2</v>
      </c>
      <c r="D62" s="3">
        <f t="shared" si="71"/>
        <v>4.7382838243230446E-2</v>
      </c>
      <c r="E62" s="3">
        <f t="shared" si="71"/>
        <v>4.4853747184805379E-2</v>
      </c>
      <c r="F62" s="3">
        <f t="shared" si="71"/>
        <v>3.9677298300538379E-2</v>
      </c>
      <c r="G62" s="3">
        <f t="shared" si="71"/>
        <v>3.4745571069454195E-2</v>
      </c>
      <c r="H62" s="3">
        <f t="shared" si="71"/>
        <v>2.8119934873979301E-2</v>
      </c>
      <c r="I62" s="3">
        <f t="shared" si="71"/>
        <v>5.018085119241332E-2</v>
      </c>
      <c r="J62" s="3">
        <f t="shared" si="71"/>
        <v>6.3986484745785874E-2</v>
      </c>
      <c r="K62" s="3">
        <f t="shared" ref="K62" si="72">K35*K54</f>
        <v>7.5945857735729552E-2</v>
      </c>
      <c r="L62" s="3">
        <f t="shared" ref="L62:S62" si="73">L35*L54</f>
        <v>8.5027743269819461E-2</v>
      </c>
      <c r="M62" s="3">
        <f t="shared" si="73"/>
        <v>8.8267615100652758E-2</v>
      </c>
      <c r="N62" s="3">
        <f t="shared" si="73"/>
        <v>4.8765092316563265E-2</v>
      </c>
      <c r="O62" s="3">
        <f t="shared" si="73"/>
        <v>4.5213581674486851E-2</v>
      </c>
      <c r="P62" s="3">
        <f t="shared" si="73"/>
        <v>6.3041473374075133E-2</v>
      </c>
      <c r="Q62" s="3">
        <f t="shared" si="73"/>
        <v>0.10079263083118566</v>
      </c>
      <c r="R62" s="3">
        <f t="shared" si="73"/>
        <v>3.3866073242765068E-2</v>
      </c>
      <c r="S62" s="3">
        <f t="shared" si="73"/>
        <v>1.4400282997754036E-2</v>
      </c>
      <c r="T62" s="3"/>
      <c r="U62" s="3"/>
      <c r="V62" s="3"/>
      <c r="W62" s="3"/>
      <c r="X62" s="3"/>
      <c r="Y62" s="3"/>
      <c r="Z62" s="5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5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spans="2:58" x14ac:dyDescent="0.3">
      <c r="B63" t="s">
        <v>19</v>
      </c>
      <c r="C63" s="3">
        <f>C36*C54</f>
        <v>2.7942662883604998</v>
      </c>
      <c r="D63" s="3">
        <f t="shared" ref="D63:J63" si="74">D36*D54</f>
        <v>2.5717479979183557</v>
      </c>
      <c r="E63" s="3">
        <f t="shared" si="74"/>
        <v>2.2645807842928312</v>
      </c>
      <c r="F63" s="3">
        <f t="shared" si="74"/>
        <v>1.7435916398005513</v>
      </c>
      <c r="G63" s="3">
        <f t="shared" si="74"/>
        <v>2.2037988326892006</v>
      </c>
      <c r="H63" s="3">
        <f t="shared" si="74"/>
        <v>2.2653980315297937</v>
      </c>
      <c r="I63" s="3">
        <f t="shared" si="74"/>
        <v>2.8019673675982331</v>
      </c>
      <c r="J63" s="3">
        <f t="shared" si="74"/>
        <v>2.5924452374206859</v>
      </c>
      <c r="K63" s="3">
        <f t="shared" ref="K63" si="75">K36*K54</f>
        <v>2.6488545657709692</v>
      </c>
      <c r="L63" s="3">
        <f t="shared" ref="L63:S63" si="76">L36*L54</f>
        <v>1.487315940187107</v>
      </c>
      <c r="M63" s="3">
        <f t="shared" si="76"/>
        <v>1.4690171681037607</v>
      </c>
      <c r="N63" s="3">
        <f t="shared" si="76"/>
        <v>2.6914995979189333</v>
      </c>
      <c r="O63" s="3">
        <f t="shared" si="76"/>
        <v>2.6570167807297307</v>
      </c>
      <c r="P63" s="3">
        <f t="shared" si="76"/>
        <v>3.717017281868995</v>
      </c>
      <c r="Q63" s="3">
        <f t="shared" si="76"/>
        <v>2.7807359342225628</v>
      </c>
      <c r="R63" s="3">
        <f t="shared" si="76"/>
        <v>3.0421016052724097</v>
      </c>
      <c r="S63" s="3">
        <f t="shared" si="76"/>
        <v>3.9200460733077445</v>
      </c>
      <c r="T63" s="3"/>
      <c r="U63" s="3"/>
      <c r="V63" s="3"/>
      <c r="W63" s="3"/>
      <c r="X63" s="3"/>
      <c r="Y63" s="3"/>
      <c r="Z63" s="5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5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spans="2:58" x14ac:dyDescent="0.3">
      <c r="B64" t="s">
        <v>16</v>
      </c>
      <c r="C64" s="3">
        <f t="shared" ref="C64:J64" si="77">C37*C54</f>
        <v>1.7517343869806767</v>
      </c>
      <c r="D64" s="3">
        <f t="shared" si="77"/>
        <v>1.7625289214706654</v>
      </c>
      <c r="E64" s="3">
        <f t="shared" si="77"/>
        <v>1.6892207779863755</v>
      </c>
      <c r="F64" s="3">
        <f t="shared" si="77"/>
        <v>1.6676527837275341</v>
      </c>
      <c r="G64" s="3">
        <f t="shared" si="77"/>
        <v>1.6620704998091491</v>
      </c>
      <c r="H64" s="3">
        <f t="shared" si="77"/>
        <v>1.6621597201257452</v>
      </c>
      <c r="I64" s="3">
        <f t="shared" si="77"/>
        <v>1.7028083207577975</v>
      </c>
      <c r="J64" s="3">
        <f t="shared" si="77"/>
        <v>1.7981917252933366</v>
      </c>
      <c r="K64" s="3">
        <f t="shared" ref="K64" si="78">K37*K54</f>
        <v>1.5627541755779322</v>
      </c>
      <c r="L64" s="3">
        <f t="shared" ref="L64:S64" si="79">L37*L54</f>
        <v>1.6696539585113661</v>
      </c>
      <c r="M64" s="3">
        <f t="shared" si="79"/>
        <v>1.717561013813018</v>
      </c>
      <c r="N64" s="3">
        <f t="shared" si="79"/>
        <v>1.6845428425069682</v>
      </c>
      <c r="O64" s="3">
        <f t="shared" si="79"/>
        <v>1.6252869716106129</v>
      </c>
      <c r="P64" s="3">
        <f t="shared" si="79"/>
        <v>1.6271455554971053</v>
      </c>
      <c r="Q64" s="3">
        <f t="shared" si="79"/>
        <v>1.6798380499686467</v>
      </c>
      <c r="R64" s="3">
        <f t="shared" si="79"/>
        <v>1.6088925601690656</v>
      </c>
      <c r="S64" s="3">
        <f t="shared" si="79"/>
        <v>1.8383234764368788</v>
      </c>
      <c r="T64" s="3"/>
      <c r="U64" s="3"/>
      <c r="V64" s="3"/>
      <c r="W64" s="3"/>
      <c r="X64" s="3"/>
      <c r="Y64" s="3"/>
      <c r="Z64" s="5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5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spans="2:58" x14ac:dyDescent="0.3">
      <c r="B65" t="s">
        <v>14</v>
      </c>
      <c r="C65" s="3">
        <f t="shared" ref="C65:J65" si="80">C38*C54</f>
        <v>0.26367864415419828</v>
      </c>
      <c r="D65" s="3">
        <f t="shared" si="80"/>
        <v>0.29900711978455291</v>
      </c>
      <c r="E65" s="3">
        <f t="shared" si="80"/>
        <v>0.46056650383070424</v>
      </c>
      <c r="F65" s="3">
        <f t="shared" si="80"/>
        <v>0.44826397711494792</v>
      </c>
      <c r="G65" s="3">
        <f t="shared" si="80"/>
        <v>0.56264059999179727</v>
      </c>
      <c r="H65" s="3">
        <f t="shared" si="80"/>
        <v>0.57346869001032419</v>
      </c>
      <c r="I65" s="3">
        <f t="shared" si="80"/>
        <v>0.24983846069967222</v>
      </c>
      <c r="J65" s="3">
        <f t="shared" si="80"/>
        <v>0.18093418793423885</v>
      </c>
      <c r="K65" s="3">
        <f t="shared" ref="K65" si="81">K38*K54</f>
        <v>0.23179541351990504</v>
      </c>
      <c r="L65" s="3">
        <f t="shared" ref="L65:S65" si="82">L38*L54</f>
        <v>0.2874620639095764</v>
      </c>
      <c r="M65" s="3">
        <f t="shared" si="82"/>
        <v>0.29713546470713303</v>
      </c>
      <c r="N65" s="3">
        <f t="shared" si="82"/>
        <v>0.38354051976715453</v>
      </c>
      <c r="O65" s="3">
        <f t="shared" si="82"/>
        <v>0.44561532657373559</v>
      </c>
      <c r="P65" s="3">
        <f t="shared" si="82"/>
        <v>6.1053097465065334E-2</v>
      </c>
      <c r="Q65" s="3">
        <f t="shared" si="82"/>
        <v>0.23072294763499296</v>
      </c>
      <c r="R65" s="3">
        <f t="shared" si="82"/>
        <v>0.52830036721719575</v>
      </c>
      <c r="S65" s="3">
        <f t="shared" si="82"/>
        <v>0.20876869846469642</v>
      </c>
      <c r="T65" s="3"/>
      <c r="U65" s="3"/>
      <c r="V65" s="3"/>
      <c r="W65" s="3"/>
      <c r="X65" s="3"/>
      <c r="Y65" s="3"/>
      <c r="Z65" s="5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5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spans="2:58" x14ac:dyDescent="0.3">
      <c r="B66" t="s">
        <v>13</v>
      </c>
      <c r="C66" s="3">
        <f t="shared" ref="C66:J66" si="83">C39*C54</f>
        <v>7.3546691312538076E-2</v>
      </c>
      <c r="D66" s="3">
        <f t="shared" si="83"/>
        <v>8.8725936628078164E-2</v>
      </c>
      <c r="E66" s="3">
        <f t="shared" si="83"/>
        <v>0.19688121089403698</v>
      </c>
      <c r="F66" s="3">
        <f t="shared" si="83"/>
        <v>0.17157097485771278</v>
      </c>
      <c r="G66" s="3">
        <f t="shared" si="83"/>
        <v>0.18413345776673981</v>
      </c>
      <c r="H66" s="3">
        <f t="shared" si="83"/>
        <v>0.19251520814654424</v>
      </c>
      <c r="I66" s="3">
        <f t="shared" si="83"/>
        <v>6.9912232400572913E-2</v>
      </c>
      <c r="J66" s="3">
        <f t="shared" si="83"/>
        <v>6.8028984794970965E-2</v>
      </c>
      <c r="K66" s="3">
        <f t="shared" ref="K66" si="84">K39*K54</f>
        <v>8.0071053934133538E-2</v>
      </c>
      <c r="L66" s="3">
        <f t="shared" ref="L66:S66" si="85">L39*L54</f>
        <v>0.11033384077695862</v>
      </c>
      <c r="M66" s="3">
        <f t="shared" si="85"/>
        <v>0.14858654542324581</v>
      </c>
      <c r="N66" s="3">
        <f t="shared" si="85"/>
        <v>0.11676415659480603</v>
      </c>
      <c r="O66" s="3">
        <f t="shared" si="85"/>
        <v>0.13430685305840284</v>
      </c>
      <c r="P66" s="3">
        <f t="shared" si="85"/>
        <v>4.0171597758689732E-2</v>
      </c>
      <c r="Q66" s="3">
        <f t="shared" si="85"/>
        <v>6.0724253680302619E-2</v>
      </c>
      <c r="R66" s="3">
        <f t="shared" si="85"/>
        <v>9.6348435888282583E-2</v>
      </c>
      <c r="S66" s="3">
        <f t="shared" si="85"/>
        <v>8.3142106984454636E-2</v>
      </c>
      <c r="T66" s="3"/>
      <c r="U66" s="3"/>
      <c r="V66" s="3"/>
      <c r="W66" s="3"/>
      <c r="X66" s="3"/>
      <c r="Y66" s="3"/>
      <c r="Z66" s="5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5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</row>
    <row r="67" spans="2:58" x14ac:dyDescent="0.3">
      <c r="B67" t="s">
        <v>32</v>
      </c>
      <c r="C67" s="3">
        <f t="shared" ref="C67:J67" si="86">SUM(C57:C66)</f>
        <v>15.321643060427292</v>
      </c>
      <c r="D67" s="3">
        <f t="shared" si="86"/>
        <v>15.349324465596842</v>
      </c>
      <c r="E67" s="3">
        <f t="shared" si="86"/>
        <v>15.633829004186731</v>
      </c>
      <c r="F67" s="3">
        <f t="shared" si="86"/>
        <v>15.471046632638071</v>
      </c>
      <c r="G67" s="3">
        <f t="shared" si="86"/>
        <v>15.690349414885677</v>
      </c>
      <c r="H67" s="3">
        <f t="shared" si="86"/>
        <v>15.679712566617056</v>
      </c>
      <c r="I67" s="3">
        <f t="shared" si="86"/>
        <v>15.274700666374173</v>
      </c>
      <c r="J67" s="3">
        <f t="shared" si="86"/>
        <v>15.299377621482753</v>
      </c>
      <c r="K67" s="3">
        <f t="shared" ref="K67" si="87">SUM(K57:K66)</f>
        <v>15.28932825021972</v>
      </c>
      <c r="L67" s="3">
        <f t="shared" ref="L67:S67" si="88">SUM(L57:L66)</f>
        <v>15.441084478982056</v>
      </c>
      <c r="M67" s="3">
        <f t="shared" si="88"/>
        <v>15.393151649699545</v>
      </c>
      <c r="N67" s="3">
        <f t="shared" si="88"/>
        <v>15.464816965926332</v>
      </c>
      <c r="O67" s="3">
        <f t="shared" si="88"/>
        <v>15.488426629069261</v>
      </c>
      <c r="P67" s="3">
        <f t="shared" si="88"/>
        <v>15.221473668659426</v>
      </c>
      <c r="Q67" s="3">
        <f t="shared" si="88"/>
        <v>15.295134816258445</v>
      </c>
      <c r="R67" s="3">
        <f t="shared" si="88"/>
        <v>15.630734474851568</v>
      </c>
      <c r="S67" s="3">
        <f t="shared" si="88"/>
        <v>15.224594374459347</v>
      </c>
      <c r="T67" s="3"/>
      <c r="U67" s="3"/>
      <c r="V67" s="3"/>
      <c r="W67" s="3"/>
      <c r="X67" s="3"/>
      <c r="Y67" s="3"/>
      <c r="Z67" s="5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5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spans="2:58" x14ac:dyDescent="0.3">
      <c r="B68" s="8" t="s">
        <v>49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5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5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69" spans="2:58" x14ac:dyDescent="0.3">
      <c r="B69" t="s">
        <v>28</v>
      </c>
      <c r="C69" s="3">
        <f>C42*C54</f>
        <v>14.794057038287994</v>
      </c>
      <c r="D69" s="3">
        <f t="shared" ref="D69:J69" si="89">D42*D54</f>
        <v>14.641615616105222</v>
      </c>
      <c r="E69" s="3">
        <f t="shared" si="89"/>
        <v>13.356967953102355</v>
      </c>
      <c r="F69" s="3">
        <f t="shared" si="89"/>
        <v>13.062010542817852</v>
      </c>
      <c r="G69" s="3">
        <f t="shared" si="89"/>
        <v>12.464538821261124</v>
      </c>
      <c r="H69" s="3">
        <f t="shared" si="89"/>
        <v>12.458799219138564</v>
      </c>
      <c r="I69" s="3">
        <f t="shared" si="89"/>
        <v>14.962365849326405</v>
      </c>
      <c r="J69" s="3">
        <f t="shared" si="89"/>
        <v>14.433452389444586</v>
      </c>
      <c r="K69" s="3">
        <f t="shared" ref="K69" si="90">K42*K54</f>
        <v>14.821488383839217</v>
      </c>
      <c r="L69" s="3">
        <f t="shared" ref="L69:S69" si="91">L42*L54</f>
        <v>13.575350268975365</v>
      </c>
      <c r="M69" s="3">
        <f t="shared" si="91"/>
        <v>13.667051183340932</v>
      </c>
      <c r="N69" s="3">
        <f t="shared" si="91"/>
        <v>13.900350989815566</v>
      </c>
      <c r="O69" s="3">
        <f t="shared" si="91"/>
        <v>13.641719375163072</v>
      </c>
      <c r="P69" s="3">
        <f t="shared" si="91"/>
        <v>15.329477591080906</v>
      </c>
      <c r="Q69" s="3">
        <f t="shared" si="91"/>
        <v>14.651763419985388</v>
      </c>
      <c r="R69" s="3">
        <f t="shared" si="91"/>
        <v>13.307067700706806</v>
      </c>
      <c r="S69" s="3">
        <f t="shared" si="91"/>
        <v>14.966940995010566</v>
      </c>
      <c r="T69" s="3"/>
      <c r="U69" s="3"/>
      <c r="V69" s="3"/>
      <c r="W69" s="3"/>
      <c r="X69" s="3"/>
      <c r="Y69" s="3"/>
      <c r="Z69" s="5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5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  <row r="70" spans="2:58" x14ac:dyDescent="0.3">
      <c r="B70" t="s">
        <v>24</v>
      </c>
      <c r="C70" s="3">
        <f t="shared" ref="C70:J70" si="92">C43*C54</f>
        <v>0.14899588165708261</v>
      </c>
      <c r="D70" s="3">
        <f t="shared" si="92"/>
        <v>0.20698319304895804</v>
      </c>
      <c r="E70" s="3">
        <f t="shared" si="92"/>
        <v>0.32094021687143198</v>
      </c>
      <c r="F70" s="3">
        <f t="shared" si="92"/>
        <v>0.27734131602904355</v>
      </c>
      <c r="G70" s="3">
        <f t="shared" si="92"/>
        <v>0.69483808721396212</v>
      </c>
      <c r="H70" s="3">
        <f t="shared" si="92"/>
        <v>0.63565871207881508</v>
      </c>
      <c r="I70" s="3">
        <f t="shared" si="92"/>
        <v>0.13591963826395176</v>
      </c>
      <c r="J70" s="3">
        <f t="shared" si="92"/>
        <v>0.144845756029955</v>
      </c>
      <c r="K70" s="3">
        <f t="shared" ref="K70" si="93">K43*K54</f>
        <v>0.1191524709959759</v>
      </c>
      <c r="L70" s="3">
        <f t="shared" ref="L70:S70" si="94">L43*L54</f>
        <v>0.15102018403388176</v>
      </c>
      <c r="M70" s="3">
        <f t="shared" si="94"/>
        <v>0.18674622922934386</v>
      </c>
      <c r="N70" s="3">
        <f t="shared" si="94"/>
        <v>0.2331890136002529</v>
      </c>
      <c r="O70" s="3">
        <f t="shared" si="94"/>
        <v>0.30114421317363721</v>
      </c>
      <c r="P70" s="3">
        <f t="shared" si="94"/>
        <v>5.3831609184470414E-2</v>
      </c>
      <c r="Q70" s="3">
        <f t="shared" si="94"/>
        <v>0.14769203420455659</v>
      </c>
      <c r="R70" s="3">
        <f t="shared" si="94"/>
        <v>0.42773683386484246</v>
      </c>
      <c r="S70" s="3">
        <f t="shared" si="94"/>
        <v>0.20674540113659309</v>
      </c>
      <c r="T70" s="3"/>
      <c r="U70" s="3"/>
      <c r="V70" s="3"/>
      <c r="W70" s="3"/>
      <c r="X70" s="3"/>
      <c r="Y70" s="3"/>
      <c r="Z70" s="5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5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</row>
    <row r="71" spans="2:58" x14ac:dyDescent="0.3">
      <c r="B71" t="s">
        <v>34</v>
      </c>
      <c r="C71" s="3">
        <f t="shared" ref="C71:J71" si="95">C44*C54</f>
        <v>1.1263294420006311</v>
      </c>
      <c r="D71" s="3">
        <f t="shared" si="95"/>
        <v>1.2589349834007155</v>
      </c>
      <c r="E71" s="3">
        <f t="shared" si="95"/>
        <v>2.5678223045662385</v>
      </c>
      <c r="F71" s="3">
        <f t="shared" si="95"/>
        <v>3.5075847417744179</v>
      </c>
      <c r="G71" s="3">
        <f t="shared" si="95"/>
        <v>3.3010387324257207</v>
      </c>
      <c r="H71" s="3">
        <f t="shared" si="95"/>
        <v>3.4681512505580727</v>
      </c>
      <c r="I71" s="3">
        <f t="shared" si="95"/>
        <v>1.0080958091423193</v>
      </c>
      <c r="J71" s="3">
        <f t="shared" si="95"/>
        <v>1.6078646764337627</v>
      </c>
      <c r="K71" s="3">
        <f t="shared" ref="K71" si="96">K44*K54</f>
        <v>1.1888536682691138</v>
      </c>
      <c r="L71" s="3">
        <f t="shared" ref="L71:S71" si="97">L44*L54</f>
        <v>2.6838847405697521</v>
      </c>
      <c r="M71" s="3">
        <f t="shared" si="97"/>
        <v>2.701162336448689</v>
      </c>
      <c r="N71" s="3">
        <f t="shared" si="97"/>
        <v>2.1556961116402173</v>
      </c>
      <c r="O71" s="3">
        <f t="shared" si="97"/>
        <v>2.4903079997353692</v>
      </c>
      <c r="P71" s="3">
        <f t="shared" si="97"/>
        <v>0.41245223645928702</v>
      </c>
      <c r="Q71" s="3">
        <f t="shared" si="97"/>
        <v>1.3437631942136243</v>
      </c>
      <c r="R71" s="3">
        <f t="shared" si="97"/>
        <v>2.4425629782460589</v>
      </c>
      <c r="S71" s="3">
        <f t="shared" si="97"/>
        <v>1.0018733389758603</v>
      </c>
      <c r="T71" s="3"/>
      <c r="U71" s="3"/>
      <c r="V71" s="3"/>
      <c r="W71" s="3"/>
      <c r="X71" s="3"/>
      <c r="Y71" s="3"/>
      <c r="Z71" s="5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5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</row>
    <row r="72" spans="2:58" x14ac:dyDescent="0.3">
      <c r="B72" t="s">
        <v>22</v>
      </c>
      <c r="C72" s="3">
        <f t="shared" ref="C72:J72" si="98">C45*C54</f>
        <v>0</v>
      </c>
      <c r="D72" s="3">
        <f t="shared" si="98"/>
        <v>1.7929906964469886E-3</v>
      </c>
      <c r="E72" s="3">
        <f t="shared" si="98"/>
        <v>0</v>
      </c>
      <c r="F72" s="3">
        <f t="shared" si="98"/>
        <v>0</v>
      </c>
      <c r="G72" s="3">
        <f t="shared" si="98"/>
        <v>9.0087468423946503E-3</v>
      </c>
      <c r="H72" s="3">
        <f t="shared" si="98"/>
        <v>0</v>
      </c>
      <c r="I72" s="3">
        <f t="shared" si="98"/>
        <v>0</v>
      </c>
      <c r="J72" s="3">
        <f t="shared" si="98"/>
        <v>0</v>
      </c>
      <c r="K72" s="3">
        <f t="shared" ref="K72" si="99">K45*K54</f>
        <v>0</v>
      </c>
      <c r="L72" s="3">
        <f t="shared" ref="L72:S72" si="100">L45*L54</f>
        <v>0</v>
      </c>
      <c r="M72" s="3">
        <f t="shared" si="100"/>
        <v>7.2696107928397549E-3</v>
      </c>
      <c r="N72" s="3">
        <f t="shared" si="100"/>
        <v>0</v>
      </c>
      <c r="O72" s="3">
        <f t="shared" si="100"/>
        <v>0</v>
      </c>
      <c r="P72" s="3">
        <f t="shared" si="100"/>
        <v>0</v>
      </c>
      <c r="Q72" s="3">
        <f t="shared" si="100"/>
        <v>8.8199776990622661E-3</v>
      </c>
      <c r="R72" s="3">
        <f t="shared" si="100"/>
        <v>0</v>
      </c>
      <c r="S72" s="3">
        <f t="shared" si="100"/>
        <v>1.6801515990866617E-3</v>
      </c>
      <c r="T72" s="3"/>
      <c r="U72" s="3"/>
      <c r="V72" s="3"/>
      <c r="W72" s="3"/>
      <c r="X72" s="3"/>
      <c r="Y72" s="3"/>
      <c r="Z72" s="5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5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</row>
    <row r="73" spans="2:58" x14ac:dyDescent="0.3">
      <c r="B73" t="s">
        <v>33</v>
      </c>
      <c r="C73" s="3">
        <f t="shared" ref="C73:J73" si="101">C46*C54</f>
        <v>2.1609136577838566</v>
      </c>
      <c r="D73" s="3">
        <f t="shared" si="101"/>
        <v>2.3151469309100934</v>
      </c>
      <c r="E73" s="3">
        <f t="shared" si="101"/>
        <v>2.4268903586335959</v>
      </c>
      <c r="F73" s="3">
        <f t="shared" si="101"/>
        <v>2.3922242015637289</v>
      </c>
      <c r="G73" s="3">
        <f t="shared" si="101"/>
        <v>2.2565736798097187</v>
      </c>
      <c r="H73" s="3">
        <f t="shared" si="101"/>
        <v>2.0987211826165981</v>
      </c>
      <c r="I73" s="3">
        <f t="shared" si="101"/>
        <v>2.178786817168759</v>
      </c>
      <c r="J73" s="3">
        <f t="shared" si="101"/>
        <v>2.2347321442672876</v>
      </c>
      <c r="K73" s="3">
        <f t="shared" ref="K73" si="102">K46*K54</f>
        <v>2.4270176440840436</v>
      </c>
      <c r="L73" s="3">
        <f t="shared" ref="L73:S73" si="103">L46*L54</f>
        <v>3.1488492121094378</v>
      </c>
      <c r="M73" s="3">
        <f t="shared" si="103"/>
        <v>2.9400638381055773</v>
      </c>
      <c r="N73" s="3">
        <f t="shared" si="103"/>
        <v>2.0358040140205209</v>
      </c>
      <c r="O73" s="3">
        <f t="shared" si="103"/>
        <v>1.9493499880970253</v>
      </c>
      <c r="P73" s="3">
        <f t="shared" si="103"/>
        <v>1.7464219049232832</v>
      </c>
      <c r="Q73" s="3">
        <f t="shared" si="103"/>
        <v>2.1408711582173265</v>
      </c>
      <c r="R73" s="3">
        <f t="shared" si="103"/>
        <v>1.8254478469453177</v>
      </c>
      <c r="S73" s="3">
        <f t="shared" si="103"/>
        <v>0.90403487781094338</v>
      </c>
      <c r="T73" s="3"/>
      <c r="U73" s="3"/>
      <c r="V73" s="3"/>
      <c r="W73" s="3"/>
      <c r="X73" s="3"/>
      <c r="Y73" s="3"/>
      <c r="Z73" s="5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5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</row>
    <row r="74" spans="2:58" x14ac:dyDescent="0.3">
      <c r="B74" t="s">
        <v>17</v>
      </c>
      <c r="C74" s="3">
        <f t="shared" ref="C74:J74" si="104">C47*C54</f>
        <v>5.5090637195895048E-2</v>
      </c>
      <c r="D74" s="3">
        <f t="shared" si="104"/>
        <v>4.7382838243230446E-2</v>
      </c>
      <c r="E74" s="3">
        <f t="shared" si="104"/>
        <v>4.4853747184805379E-2</v>
      </c>
      <c r="F74" s="3">
        <f t="shared" si="104"/>
        <v>3.9677298300538379E-2</v>
      </c>
      <c r="G74" s="3">
        <f t="shared" si="104"/>
        <v>3.4745571069454195E-2</v>
      </c>
      <c r="H74" s="3">
        <f t="shared" si="104"/>
        <v>2.8119934873979301E-2</v>
      </c>
      <c r="I74" s="3">
        <f t="shared" si="104"/>
        <v>5.018085119241332E-2</v>
      </c>
      <c r="J74" s="3">
        <f t="shared" si="104"/>
        <v>6.3986484745785874E-2</v>
      </c>
      <c r="K74" s="3">
        <f t="shared" ref="K74" si="105">K47*K54</f>
        <v>7.5945857735729552E-2</v>
      </c>
      <c r="L74" s="3">
        <f t="shared" ref="L74:S74" si="106">L47*L54</f>
        <v>8.5027743269819461E-2</v>
      </c>
      <c r="M74" s="3">
        <f t="shared" si="106"/>
        <v>8.8267615100652758E-2</v>
      </c>
      <c r="N74" s="3">
        <f t="shared" si="106"/>
        <v>4.8765092316563265E-2</v>
      </c>
      <c r="O74" s="3">
        <f t="shared" si="106"/>
        <v>4.5213581674486851E-2</v>
      </c>
      <c r="P74" s="3">
        <f t="shared" si="106"/>
        <v>6.3041473374075133E-2</v>
      </c>
      <c r="Q74" s="3">
        <f t="shared" si="106"/>
        <v>0.10079263083118566</v>
      </c>
      <c r="R74" s="3">
        <f t="shared" si="106"/>
        <v>3.3866073242765068E-2</v>
      </c>
      <c r="S74" s="3">
        <f t="shared" si="106"/>
        <v>1.4400282997754036E-2</v>
      </c>
      <c r="T74" s="3"/>
      <c r="U74" s="3"/>
      <c r="V74" s="3"/>
      <c r="W74" s="3"/>
      <c r="X74" s="3"/>
      <c r="Y74" s="3"/>
      <c r="Z74" s="5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5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</row>
    <row r="75" spans="2:58" x14ac:dyDescent="0.3">
      <c r="B75" t="s">
        <v>19</v>
      </c>
      <c r="C75" s="3">
        <f t="shared" ref="C75:J75" si="107">C48*C54</f>
        <v>2.7942662883604998</v>
      </c>
      <c r="D75" s="3">
        <f t="shared" si="107"/>
        <v>2.5717479979183557</v>
      </c>
      <c r="E75" s="3">
        <f t="shared" si="107"/>
        <v>2.2645807842928312</v>
      </c>
      <c r="F75" s="3">
        <f t="shared" si="107"/>
        <v>1.7435916398005513</v>
      </c>
      <c r="G75" s="3">
        <f t="shared" si="107"/>
        <v>2.2037988326892006</v>
      </c>
      <c r="H75" s="3">
        <f t="shared" si="107"/>
        <v>2.2653980315297937</v>
      </c>
      <c r="I75" s="3">
        <f t="shared" si="107"/>
        <v>2.8019673675982331</v>
      </c>
      <c r="J75" s="3">
        <f t="shared" si="107"/>
        <v>2.5924452374206859</v>
      </c>
      <c r="K75" s="3">
        <f t="shared" ref="K75" si="108">K48*K54</f>
        <v>2.6488545657709692</v>
      </c>
      <c r="L75" s="3">
        <f t="shared" ref="L75:S75" si="109">L48*L54</f>
        <v>1.487315940187107</v>
      </c>
      <c r="M75" s="3">
        <f t="shared" si="109"/>
        <v>1.4690171681037607</v>
      </c>
      <c r="N75" s="3">
        <f t="shared" si="109"/>
        <v>2.6914995979189333</v>
      </c>
      <c r="O75" s="3">
        <f t="shared" si="109"/>
        <v>2.6570167807297307</v>
      </c>
      <c r="P75" s="3">
        <f t="shared" si="109"/>
        <v>3.717017281868995</v>
      </c>
      <c r="Q75" s="3">
        <f t="shared" si="109"/>
        <v>2.7807359342225628</v>
      </c>
      <c r="R75" s="3">
        <f t="shared" si="109"/>
        <v>3.0421016052724097</v>
      </c>
      <c r="S75" s="3">
        <f t="shared" si="109"/>
        <v>3.9200460733077445</v>
      </c>
      <c r="T75" s="3"/>
      <c r="U75" s="3"/>
      <c r="V75" s="3"/>
      <c r="W75" s="3"/>
      <c r="X75" s="3"/>
      <c r="Y75" s="3"/>
      <c r="Z75" s="5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5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</row>
    <row r="76" spans="2:58" x14ac:dyDescent="0.3">
      <c r="B76" t="s">
        <v>16</v>
      </c>
      <c r="C76" s="3">
        <f t="shared" ref="C76:J76" si="110">C49*C54</f>
        <v>1.7517343869806767</v>
      </c>
      <c r="D76" s="3">
        <f t="shared" si="110"/>
        <v>1.7625289214706654</v>
      </c>
      <c r="E76" s="3">
        <f t="shared" si="110"/>
        <v>1.6892207779863755</v>
      </c>
      <c r="F76" s="3">
        <f t="shared" si="110"/>
        <v>1.6676527837275341</v>
      </c>
      <c r="G76" s="3">
        <f t="shared" si="110"/>
        <v>1.6620704998091491</v>
      </c>
      <c r="H76" s="3">
        <f t="shared" si="110"/>
        <v>1.6621597201257452</v>
      </c>
      <c r="I76" s="3">
        <f t="shared" si="110"/>
        <v>1.7028083207577975</v>
      </c>
      <c r="J76" s="3">
        <f t="shared" si="110"/>
        <v>1.7981917252933366</v>
      </c>
      <c r="K76" s="3">
        <f t="shared" ref="K76" si="111">K49*K54</f>
        <v>1.5627541755779322</v>
      </c>
      <c r="L76" s="3">
        <f t="shared" ref="L76:S76" si="112">L49*L54</f>
        <v>1.6696539585113661</v>
      </c>
      <c r="M76" s="3">
        <f t="shared" si="112"/>
        <v>1.717561013813018</v>
      </c>
      <c r="N76" s="3">
        <f t="shared" si="112"/>
        <v>1.6845428425069682</v>
      </c>
      <c r="O76" s="3">
        <f t="shared" si="112"/>
        <v>1.6252869716106129</v>
      </c>
      <c r="P76" s="3">
        <f t="shared" si="112"/>
        <v>1.6271455554971053</v>
      </c>
      <c r="Q76" s="3">
        <f t="shared" si="112"/>
        <v>1.6798380499686467</v>
      </c>
      <c r="R76" s="3">
        <f t="shared" si="112"/>
        <v>1.6088925601690656</v>
      </c>
      <c r="S76" s="3">
        <f t="shared" si="112"/>
        <v>1.8383234764368788</v>
      </c>
      <c r="T76" s="3"/>
      <c r="U76" s="3"/>
      <c r="V76" s="3"/>
      <c r="W76" s="3"/>
      <c r="X76" s="3"/>
      <c r="Y76" s="3"/>
      <c r="Z76" s="5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5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</row>
    <row r="77" spans="2:58" x14ac:dyDescent="0.3">
      <c r="B77" t="s">
        <v>14</v>
      </c>
      <c r="C77" s="3">
        <f t="shared" ref="C77:J77" si="113">C50*C54</f>
        <v>0.13183932207709914</v>
      </c>
      <c r="D77" s="3">
        <f t="shared" si="113"/>
        <v>0.14950355989227646</v>
      </c>
      <c r="E77" s="3">
        <f t="shared" si="113"/>
        <v>0.23028325191535212</v>
      </c>
      <c r="F77" s="3">
        <f t="shared" si="113"/>
        <v>0.22413198855747396</v>
      </c>
      <c r="G77" s="3">
        <f t="shared" si="113"/>
        <v>0.28132029999589864</v>
      </c>
      <c r="H77" s="3">
        <f t="shared" si="113"/>
        <v>0.28673434500516209</v>
      </c>
      <c r="I77" s="3">
        <f t="shared" si="113"/>
        <v>0.12491923034983611</v>
      </c>
      <c r="J77" s="3">
        <f t="shared" si="113"/>
        <v>9.0467093967119425E-2</v>
      </c>
      <c r="K77" s="3">
        <f t="shared" ref="K77" si="114">K50*K54</f>
        <v>0.11589770675995252</v>
      </c>
      <c r="L77" s="3">
        <f t="shared" ref="L77:S77" si="115">L50*L54</f>
        <v>0.1437310319547882</v>
      </c>
      <c r="M77" s="3">
        <f t="shared" si="115"/>
        <v>0.14856773235356652</v>
      </c>
      <c r="N77" s="3">
        <f t="shared" si="115"/>
        <v>0.19177025988357727</v>
      </c>
      <c r="O77" s="3">
        <f t="shared" si="115"/>
        <v>0.2228076632868678</v>
      </c>
      <c r="P77" s="3">
        <f t="shared" si="115"/>
        <v>3.0526548732532667E-2</v>
      </c>
      <c r="Q77" s="3">
        <f t="shared" si="115"/>
        <v>0.11536147381749648</v>
      </c>
      <c r="R77" s="3">
        <f t="shared" si="115"/>
        <v>0.26415018360859788</v>
      </c>
      <c r="S77" s="3">
        <f t="shared" si="115"/>
        <v>0.10438434923234821</v>
      </c>
      <c r="T77" s="3"/>
      <c r="U77" s="3"/>
      <c r="V77" s="3"/>
      <c r="W77" s="3"/>
      <c r="X77" s="3"/>
      <c r="Y77" s="3"/>
      <c r="Z77" s="5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5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</row>
    <row r="78" spans="2:58" x14ac:dyDescent="0.3">
      <c r="B78" t="s">
        <v>13</v>
      </c>
      <c r="C78" s="3">
        <f t="shared" ref="C78:J78" si="116">C51*C54</f>
        <v>3.6773345656269038E-2</v>
      </c>
      <c r="D78" s="3">
        <f t="shared" si="116"/>
        <v>4.4362968314039082E-2</v>
      </c>
      <c r="E78" s="3">
        <f t="shared" si="116"/>
        <v>9.8440605447018492E-2</v>
      </c>
      <c r="F78" s="3">
        <f t="shared" si="116"/>
        <v>8.5785487428856388E-2</v>
      </c>
      <c r="G78" s="3">
        <f t="shared" si="116"/>
        <v>9.2066728883369905E-2</v>
      </c>
      <c r="H78" s="3">
        <f t="shared" si="116"/>
        <v>9.6257604073272121E-2</v>
      </c>
      <c r="I78" s="3">
        <f t="shared" si="116"/>
        <v>3.4956116200286456E-2</v>
      </c>
      <c r="J78" s="3">
        <f t="shared" si="116"/>
        <v>3.4014492397485482E-2</v>
      </c>
      <c r="K78" s="3">
        <f t="shared" ref="K78" si="117">K51*K54</f>
        <v>4.0035526967066769E-2</v>
      </c>
      <c r="L78" s="3">
        <f t="shared" ref="L78:S78" si="118">L51*L54</f>
        <v>5.5166920388479312E-2</v>
      </c>
      <c r="M78" s="3">
        <f t="shared" si="118"/>
        <v>7.4293272711622907E-2</v>
      </c>
      <c r="N78" s="3">
        <f t="shared" si="118"/>
        <v>5.8382078297403016E-2</v>
      </c>
      <c r="O78" s="3">
        <f t="shared" si="118"/>
        <v>6.7153426529201421E-2</v>
      </c>
      <c r="P78" s="3">
        <f t="shared" si="118"/>
        <v>2.0085798879344866E-2</v>
      </c>
      <c r="Q78" s="3">
        <f t="shared" si="118"/>
        <v>3.0362126840151309E-2</v>
      </c>
      <c r="R78" s="3">
        <f t="shared" si="118"/>
        <v>4.8174217944141291E-2</v>
      </c>
      <c r="S78" s="3">
        <f t="shared" si="118"/>
        <v>4.1571053492227318E-2</v>
      </c>
      <c r="T78" s="3"/>
      <c r="U78" s="3"/>
      <c r="V78" s="3"/>
      <c r="W78" s="3"/>
      <c r="X78" s="3"/>
      <c r="Y78" s="3"/>
      <c r="Z78" s="5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5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</row>
    <row r="79" spans="2:58" x14ac:dyDescent="0.3">
      <c r="B79" t="s">
        <v>32</v>
      </c>
      <c r="C79" s="3">
        <f t="shared" ref="C79:J79" si="119">SUM(C69:C78)</f>
        <v>23.000000000000004</v>
      </c>
      <c r="D79" s="3">
        <f t="shared" si="119"/>
        <v>23.000000000000004</v>
      </c>
      <c r="E79" s="3">
        <f t="shared" si="119"/>
        <v>23.000000000000004</v>
      </c>
      <c r="F79" s="3">
        <f t="shared" si="119"/>
        <v>22.999999999999996</v>
      </c>
      <c r="G79" s="3">
        <f t="shared" si="119"/>
        <v>22.999999999999993</v>
      </c>
      <c r="H79" s="3">
        <f t="shared" si="119"/>
        <v>23</v>
      </c>
      <c r="I79" s="3">
        <f t="shared" si="119"/>
        <v>23</v>
      </c>
      <c r="J79" s="3">
        <f t="shared" si="119"/>
        <v>23.000000000000007</v>
      </c>
      <c r="K79" s="3">
        <f t="shared" ref="K79" si="120">SUM(K69:K78)</f>
        <v>22.999999999999996</v>
      </c>
      <c r="L79" s="3">
        <f t="shared" ref="L79:S79" si="121">SUM(L69:L78)</f>
        <v>22.999999999999996</v>
      </c>
      <c r="M79" s="3">
        <f t="shared" si="121"/>
        <v>23</v>
      </c>
      <c r="N79" s="3">
        <f t="shared" si="121"/>
        <v>23</v>
      </c>
      <c r="O79" s="3">
        <f t="shared" si="121"/>
        <v>23.000000000000007</v>
      </c>
      <c r="P79" s="3">
        <f t="shared" si="121"/>
        <v>23</v>
      </c>
      <c r="Q79" s="3">
        <f t="shared" si="121"/>
        <v>23.000000000000004</v>
      </c>
      <c r="R79" s="3">
        <f t="shared" si="121"/>
        <v>23.000000000000007</v>
      </c>
      <c r="S79" s="3">
        <f t="shared" si="121"/>
        <v>23.000000000000004</v>
      </c>
      <c r="T79" s="3"/>
      <c r="U79" s="3"/>
      <c r="V79" s="3"/>
      <c r="W79" s="3"/>
      <c r="X79" s="3"/>
      <c r="Y79" s="3"/>
      <c r="Z79" s="5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5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</row>
    <row r="80" spans="2:58" x14ac:dyDescent="0.3">
      <c r="B80" s="7" t="s">
        <v>29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5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5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</row>
    <row r="81" spans="1:58" x14ac:dyDescent="0.3">
      <c r="A81" s="29">
        <v>6.0882528155923099</v>
      </c>
      <c r="B81" t="s">
        <v>28</v>
      </c>
      <c r="C81" s="29">
        <f>C57</f>
        <v>7.3970285191439968</v>
      </c>
      <c r="D81" s="29">
        <f t="shared" ref="D81:J81" si="122">D57</f>
        <v>7.3208078080526109</v>
      </c>
      <c r="E81" s="29">
        <f t="shared" si="122"/>
        <v>6.6784839765511776</v>
      </c>
      <c r="F81" s="29">
        <f t="shared" si="122"/>
        <v>6.5310052714089259</v>
      </c>
      <c r="G81" s="29">
        <f t="shared" si="122"/>
        <v>6.2322694106305621</v>
      </c>
      <c r="H81" s="29">
        <f t="shared" si="122"/>
        <v>6.2293996095692821</v>
      </c>
      <c r="I81" s="29">
        <f t="shared" si="122"/>
        <v>7.4811829246632024</v>
      </c>
      <c r="J81" s="29">
        <f t="shared" si="122"/>
        <v>7.2167261947222929</v>
      </c>
      <c r="K81" s="29">
        <f t="shared" ref="K81" si="123">K57</f>
        <v>7.4107441919196084</v>
      </c>
      <c r="L81" s="29">
        <f t="shared" ref="L81:S81" si="124">L57</f>
        <v>6.7876751344876824</v>
      </c>
      <c r="M81" s="29">
        <f t="shared" si="124"/>
        <v>6.8335255916704662</v>
      </c>
      <c r="N81" s="29">
        <f t="shared" si="124"/>
        <v>6.950175494907783</v>
      </c>
      <c r="O81" s="29">
        <f t="shared" si="124"/>
        <v>6.8208596875815362</v>
      </c>
      <c r="P81" s="29">
        <f t="shared" si="124"/>
        <v>7.6647387955404529</v>
      </c>
      <c r="Q81" s="29">
        <f t="shared" si="124"/>
        <v>7.3258817099926938</v>
      </c>
      <c r="R81" s="29">
        <f t="shared" si="124"/>
        <v>6.6535338503534032</v>
      </c>
      <c r="S81" s="29">
        <f t="shared" si="124"/>
        <v>7.4834704975052828</v>
      </c>
      <c r="T81" s="3"/>
      <c r="U81" s="3"/>
      <c r="V81" s="3"/>
      <c r="W81" s="3"/>
      <c r="X81" s="3"/>
      <c r="Y81" s="3"/>
      <c r="Z81" s="5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5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</row>
    <row r="82" spans="1:58" x14ac:dyDescent="0.3">
      <c r="A82" s="29">
        <v>1.9117471844076901</v>
      </c>
      <c r="B82" t="s">
        <v>27</v>
      </c>
      <c r="C82" s="29">
        <f>IF(C57= 8, 0, IF(C57+C59&gt;8, 8-C57, C59))</f>
        <v>0.60297148085600316</v>
      </c>
      <c r="D82" s="29">
        <f t="shared" ref="D82:J82" si="125">IF(D57= 8, 0, IF(D57+D59&gt;8, 8-D57, D59))</f>
        <v>0.67919219194738911</v>
      </c>
      <c r="E82" s="29">
        <f t="shared" si="125"/>
        <v>1.3215160234488224</v>
      </c>
      <c r="F82" s="29">
        <f t="shared" si="125"/>
        <v>1.4689947285910741</v>
      </c>
      <c r="G82" s="29">
        <f t="shared" si="125"/>
        <v>1.7677305893694379</v>
      </c>
      <c r="H82" s="29">
        <f t="shared" si="125"/>
        <v>1.7706003904307179</v>
      </c>
      <c r="I82" s="29">
        <f t="shared" si="125"/>
        <v>0.51881707533679755</v>
      </c>
      <c r="J82" s="29">
        <f t="shared" si="125"/>
        <v>0.78327380527770707</v>
      </c>
      <c r="K82" s="29">
        <f t="shared" ref="K82" si="126">IF(K57= 8, 0, IF(K57+K59&gt;8, 8-K57, K59))</f>
        <v>0.58925580808039157</v>
      </c>
      <c r="L82" s="29">
        <f t="shared" ref="L82:S82" si="127">IF(L57= 8, 0, IF(L57+L59&gt;8, 8-L57, L59))</f>
        <v>1.2123248655123176</v>
      </c>
      <c r="M82" s="29">
        <f t="shared" si="127"/>
        <v>1.1664744083295338</v>
      </c>
      <c r="N82" s="29">
        <f t="shared" si="127"/>
        <v>1.049824505092217</v>
      </c>
      <c r="O82" s="29">
        <f t="shared" si="127"/>
        <v>1.1791403124184638</v>
      </c>
      <c r="P82" s="29">
        <f t="shared" si="127"/>
        <v>0.27496815763952465</v>
      </c>
      <c r="Q82" s="29">
        <f t="shared" si="127"/>
        <v>0.67411829000730616</v>
      </c>
      <c r="R82" s="29">
        <f t="shared" si="127"/>
        <v>1.3464661496465968</v>
      </c>
      <c r="S82" s="29">
        <f t="shared" si="127"/>
        <v>0.51652950249471719</v>
      </c>
      <c r="T82" s="3"/>
      <c r="U82" s="3"/>
      <c r="V82" s="3"/>
      <c r="W82" s="3"/>
      <c r="X82" s="3"/>
      <c r="Y82" s="3"/>
      <c r="Z82" s="5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5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</row>
    <row r="83" spans="1:58" s="34" customFormat="1" x14ac:dyDescent="0.3">
      <c r="A83" s="35">
        <v>8</v>
      </c>
      <c r="B83" s="34" t="s">
        <v>26</v>
      </c>
      <c r="C83" s="35">
        <f t="shared" ref="C83:J83" si="128">SUM(C81:C82)</f>
        <v>8</v>
      </c>
      <c r="D83" s="35">
        <f t="shared" si="128"/>
        <v>8</v>
      </c>
      <c r="E83" s="35">
        <f t="shared" si="128"/>
        <v>8</v>
      </c>
      <c r="F83" s="35">
        <f t="shared" si="128"/>
        <v>8</v>
      </c>
      <c r="G83" s="35">
        <f t="shared" si="128"/>
        <v>8</v>
      </c>
      <c r="H83" s="35">
        <f t="shared" si="128"/>
        <v>8</v>
      </c>
      <c r="I83" s="35">
        <f t="shared" si="128"/>
        <v>8</v>
      </c>
      <c r="J83" s="35">
        <f t="shared" si="128"/>
        <v>8</v>
      </c>
      <c r="K83" s="35">
        <f t="shared" ref="K83" si="129">SUM(K81:K82)</f>
        <v>8</v>
      </c>
      <c r="L83" s="35">
        <f t="shared" ref="L83:S83" si="130">SUM(L81:L82)</f>
        <v>8</v>
      </c>
      <c r="M83" s="35">
        <f t="shared" si="130"/>
        <v>8</v>
      </c>
      <c r="N83" s="35">
        <f t="shared" si="130"/>
        <v>8</v>
      </c>
      <c r="O83" s="35">
        <f t="shared" si="130"/>
        <v>8</v>
      </c>
      <c r="P83" s="35">
        <f t="shared" si="130"/>
        <v>7.9397069531799778</v>
      </c>
      <c r="Q83" s="35">
        <f t="shared" si="130"/>
        <v>8</v>
      </c>
      <c r="R83" s="35">
        <f t="shared" si="130"/>
        <v>8</v>
      </c>
      <c r="S83" s="35">
        <f t="shared" si="130"/>
        <v>8</v>
      </c>
      <c r="T83" s="36"/>
      <c r="U83" s="36"/>
      <c r="V83" s="36"/>
      <c r="W83" s="36"/>
      <c r="X83" s="36"/>
      <c r="Y83" s="36"/>
      <c r="Z83" s="38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8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</row>
    <row r="84" spans="1:58" x14ac:dyDescent="0.3">
      <c r="A84" s="29">
        <v>0.35567614659343239</v>
      </c>
      <c r="B84" t="s">
        <v>25</v>
      </c>
      <c r="C84" s="29">
        <f t="shared" ref="C84:J84" si="131">IF(SUM(C81,C59)&gt;8,C59-C82, 0)</f>
        <v>0.14791481381108429</v>
      </c>
      <c r="D84" s="29">
        <f t="shared" si="131"/>
        <v>0.16009779698642124</v>
      </c>
      <c r="E84" s="29">
        <f t="shared" si="131"/>
        <v>0.39036551292866983</v>
      </c>
      <c r="F84" s="29">
        <f t="shared" si="131"/>
        <v>0.86939509925853775</v>
      </c>
      <c r="G84" s="29">
        <f t="shared" si="131"/>
        <v>0.43296189891437598</v>
      </c>
      <c r="H84" s="29">
        <f t="shared" si="131"/>
        <v>0.54150044327466373</v>
      </c>
      <c r="I84" s="29">
        <f t="shared" si="131"/>
        <v>0.15324679742474878</v>
      </c>
      <c r="J84" s="29">
        <f t="shared" si="131"/>
        <v>0.28863597901146809</v>
      </c>
      <c r="K84" s="29">
        <f t="shared" ref="K84" si="132">IF(SUM(K81,K59)&gt;8,K59-K82, 0)</f>
        <v>0.2033133040990176</v>
      </c>
      <c r="L84" s="29">
        <f t="shared" ref="L84:S84" si="133">IF(SUM(L81,L59)&gt;8,L59-L82, 0)</f>
        <v>0.57693162820085031</v>
      </c>
      <c r="M84" s="29">
        <f t="shared" si="133"/>
        <v>0.63430048263625882</v>
      </c>
      <c r="N84" s="29">
        <f t="shared" si="133"/>
        <v>0.38730623600126113</v>
      </c>
      <c r="O84" s="29">
        <f t="shared" si="133"/>
        <v>0.48106502073844881</v>
      </c>
      <c r="P84" s="29">
        <f t="shared" si="133"/>
        <v>0</v>
      </c>
      <c r="Q84" s="29">
        <f t="shared" si="133"/>
        <v>0.22172383946844332</v>
      </c>
      <c r="R84" s="29">
        <f t="shared" si="133"/>
        <v>0.28190916918410913</v>
      </c>
      <c r="S84" s="29">
        <f t="shared" si="133"/>
        <v>0.15138605682252304</v>
      </c>
      <c r="T84" s="3"/>
      <c r="U84" s="3"/>
      <c r="V84" s="3"/>
      <c r="W84" s="3"/>
      <c r="X84" s="3"/>
      <c r="Y84" s="3"/>
      <c r="Z84" s="5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5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</row>
    <row r="85" spans="1:58" x14ac:dyDescent="0.3">
      <c r="A85" s="29">
        <v>0.27655609154553207</v>
      </c>
      <c r="B85" t="s">
        <v>24</v>
      </c>
      <c r="C85" s="29">
        <f t="shared" ref="C85:J85" si="134">C58</f>
        <v>7.4497940828541304E-2</v>
      </c>
      <c r="D85" s="29">
        <f t="shared" si="134"/>
        <v>0.10349159652447902</v>
      </c>
      <c r="E85" s="29">
        <f t="shared" si="134"/>
        <v>0.16047010843571599</v>
      </c>
      <c r="F85" s="29">
        <f t="shared" si="134"/>
        <v>0.13867065801452177</v>
      </c>
      <c r="G85" s="29">
        <f t="shared" si="134"/>
        <v>0.34741904360698106</v>
      </c>
      <c r="H85" s="29">
        <f t="shared" si="134"/>
        <v>0.31782935603940754</v>
      </c>
      <c r="I85" s="29">
        <f t="shared" si="134"/>
        <v>6.7959819131975879E-2</v>
      </c>
      <c r="J85" s="29">
        <f t="shared" si="134"/>
        <v>7.2422878014977501E-2</v>
      </c>
      <c r="K85" s="29">
        <f t="shared" ref="K85" si="135">K58</f>
        <v>5.9576235497987948E-2</v>
      </c>
      <c r="L85" s="29">
        <f t="shared" ref="L85:S85" si="136">L58</f>
        <v>7.551009201694088E-2</v>
      </c>
      <c r="M85" s="29">
        <f t="shared" si="136"/>
        <v>9.3373114614671932E-2</v>
      </c>
      <c r="N85" s="29">
        <f t="shared" si="136"/>
        <v>0.11659450680012645</v>
      </c>
      <c r="O85" s="29">
        <f t="shared" si="136"/>
        <v>0.1505721065868186</v>
      </c>
      <c r="P85" s="29">
        <f t="shared" si="136"/>
        <v>2.6915804592235207E-2</v>
      </c>
      <c r="Q85" s="29">
        <f t="shared" si="136"/>
        <v>7.3846017102278297E-2</v>
      </c>
      <c r="R85" s="29">
        <f t="shared" si="136"/>
        <v>0.21386841693242123</v>
      </c>
      <c r="S85" s="29">
        <f t="shared" si="136"/>
        <v>0.10337270056829655</v>
      </c>
      <c r="T85" s="3"/>
      <c r="U85" s="3"/>
      <c r="V85" s="3"/>
      <c r="W85" s="3"/>
      <c r="X85" s="3"/>
      <c r="Y85" s="3"/>
      <c r="Z85" s="5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5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1:58" x14ac:dyDescent="0.3">
      <c r="A86" s="30">
        <v>0</v>
      </c>
      <c r="B86" t="s">
        <v>23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3"/>
    </row>
    <row r="87" spans="1:58" x14ac:dyDescent="0.3">
      <c r="A87" s="29">
        <v>0</v>
      </c>
      <c r="B87" t="s">
        <v>22</v>
      </c>
      <c r="C87" s="29">
        <f t="shared" ref="C87:J87" si="137">C60</f>
        <v>0</v>
      </c>
      <c r="D87" s="29">
        <f t="shared" si="137"/>
        <v>1.195327130964659E-3</v>
      </c>
      <c r="E87" s="29">
        <f t="shared" si="137"/>
        <v>0</v>
      </c>
      <c r="F87" s="29">
        <f t="shared" si="137"/>
        <v>0</v>
      </c>
      <c r="G87" s="29">
        <f t="shared" si="137"/>
        <v>6.0058312282630999E-3</v>
      </c>
      <c r="H87" s="29">
        <f t="shared" si="137"/>
        <v>0</v>
      </c>
      <c r="I87" s="29">
        <f t="shared" si="137"/>
        <v>0</v>
      </c>
      <c r="J87" s="29">
        <f t="shared" si="137"/>
        <v>0</v>
      </c>
      <c r="K87" s="29">
        <f t="shared" ref="K87" si="138">K60</f>
        <v>0</v>
      </c>
      <c r="L87" s="29">
        <f t="shared" ref="L87:S87" si="139">L60</f>
        <v>0</v>
      </c>
      <c r="M87" s="29">
        <f t="shared" si="139"/>
        <v>4.8464071952265039E-3</v>
      </c>
      <c r="N87" s="29">
        <f t="shared" si="139"/>
        <v>0</v>
      </c>
      <c r="O87" s="29">
        <f t="shared" si="139"/>
        <v>0</v>
      </c>
      <c r="P87" s="29">
        <f t="shared" si="139"/>
        <v>0</v>
      </c>
      <c r="Q87" s="29">
        <f t="shared" si="139"/>
        <v>5.8799851327081777E-3</v>
      </c>
      <c r="R87" s="29">
        <f t="shared" si="139"/>
        <v>0</v>
      </c>
      <c r="S87" s="29">
        <f t="shared" si="139"/>
        <v>1.1201010660577746E-3</v>
      </c>
      <c r="T87" s="3"/>
      <c r="U87" s="3"/>
      <c r="V87" s="3"/>
      <c r="W87" s="3"/>
      <c r="X87" s="3"/>
      <c r="Y87" s="3"/>
      <c r="Z87" s="5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5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</row>
    <row r="88" spans="1:58" x14ac:dyDescent="0.3">
      <c r="A88" s="29">
        <v>2.9127767566778155</v>
      </c>
      <c r="B88" t="s">
        <v>19</v>
      </c>
      <c r="C88" s="29">
        <f t="shared" ref="C88:J88" si="140">IF(SUM(C84:C87,C63)&lt;5, C63, 5-SUM(C84:C87))</f>
        <v>2.7942662883604998</v>
      </c>
      <c r="D88" s="29">
        <f t="shared" si="140"/>
        <v>2.5717479979183557</v>
      </c>
      <c r="E88" s="29">
        <f t="shared" si="140"/>
        <v>2.2645807842928312</v>
      </c>
      <c r="F88" s="29">
        <f t="shared" si="140"/>
        <v>1.7435916398005513</v>
      </c>
      <c r="G88" s="29">
        <f t="shared" si="140"/>
        <v>2.2037988326892006</v>
      </c>
      <c r="H88" s="29">
        <f t="shared" si="140"/>
        <v>2.2653980315297937</v>
      </c>
      <c r="I88" s="29">
        <f t="shared" si="140"/>
        <v>2.8019673675982331</v>
      </c>
      <c r="J88" s="29">
        <f t="shared" si="140"/>
        <v>2.5924452374206859</v>
      </c>
      <c r="K88" s="29">
        <f t="shared" ref="K88" si="141">IF(SUM(K84:K87,K63)&lt;5, K63, 5-SUM(K84:K87))</f>
        <v>2.6488545657709692</v>
      </c>
      <c r="L88" s="29">
        <f t="shared" ref="L88:S88" si="142">IF(SUM(L84:L87,L63)&lt;5, L63, 5-SUM(L84:L87))</f>
        <v>1.487315940187107</v>
      </c>
      <c r="M88" s="29">
        <f t="shared" si="142"/>
        <v>1.4690171681037607</v>
      </c>
      <c r="N88" s="29">
        <f t="shared" si="142"/>
        <v>2.6914995979189333</v>
      </c>
      <c r="O88" s="29">
        <f t="shared" si="142"/>
        <v>2.6570167807297307</v>
      </c>
      <c r="P88" s="29">
        <f>IF(SUM(P84:P87,P63)&lt;5, P63, 5-SUM(P84:P87))</f>
        <v>3.717017281868995</v>
      </c>
      <c r="Q88" s="29">
        <f t="shared" si="142"/>
        <v>2.7807359342225628</v>
      </c>
      <c r="R88" s="29">
        <f t="shared" si="142"/>
        <v>3.0421016052724097</v>
      </c>
      <c r="S88" s="29">
        <f t="shared" si="142"/>
        <v>3.9200460733077445</v>
      </c>
      <c r="T88" s="3"/>
      <c r="U88" s="3"/>
      <c r="V88" s="3"/>
      <c r="W88" s="3"/>
      <c r="X88" s="3"/>
      <c r="Y88" s="3"/>
      <c r="Z88" s="5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5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</row>
    <row r="89" spans="1:58" x14ac:dyDescent="0.3">
      <c r="A89" s="29">
        <v>1.4549910051832198</v>
      </c>
      <c r="B89" t="s">
        <v>18</v>
      </c>
      <c r="C89" s="29">
        <f t="shared" ref="C89:J89" si="143">IF(SUM(C84:C88,C61)&lt;5,C61, 5-SUM(C84:C88))</f>
        <v>1.9833209569998744</v>
      </c>
      <c r="D89" s="29">
        <f t="shared" si="143"/>
        <v>2.1634672814397793</v>
      </c>
      <c r="E89" s="29">
        <f t="shared" si="143"/>
        <v>2.1845835943427829</v>
      </c>
      <c r="F89" s="29">
        <f t="shared" si="143"/>
        <v>2.2483426029263889</v>
      </c>
      <c r="G89" s="29">
        <f t="shared" si="143"/>
        <v>2.0098143935611792</v>
      </c>
      <c r="H89" s="29">
        <f t="shared" si="143"/>
        <v>1.8752721691561351</v>
      </c>
      <c r="I89" s="29">
        <f t="shared" si="143"/>
        <v>1.9768260158450421</v>
      </c>
      <c r="J89" s="29">
        <f t="shared" si="143"/>
        <v>2.0464959055528684</v>
      </c>
      <c r="K89" s="29">
        <f t="shared" ref="K89" si="144">IF(SUM(K84:K88,K61)&lt;5,K61, 5-SUM(K84:K88))</f>
        <v>2.0882558946320251</v>
      </c>
      <c r="L89" s="29">
        <f t="shared" ref="L89:S89" si="145">IF(SUM(L84:L88,L61)&lt;5,L61, 5-SUM(L84:L88))</f>
        <v>2.8602423395951018</v>
      </c>
      <c r="M89" s="29">
        <f t="shared" si="145"/>
        <v>2.798462827450082</v>
      </c>
      <c r="N89" s="29">
        <f t="shared" si="145"/>
        <v>1.8045996592796794</v>
      </c>
      <c r="O89" s="29">
        <f t="shared" si="145"/>
        <v>1.7113460919450016</v>
      </c>
      <c r="P89" s="29">
        <f t="shared" si="145"/>
        <v>1.2560669135387696</v>
      </c>
      <c r="Q89" s="29">
        <f t="shared" si="145"/>
        <v>1.9178142240740073</v>
      </c>
      <c r="R89" s="29">
        <f t="shared" si="145"/>
        <v>1.46212080861106</v>
      </c>
      <c r="S89" s="29">
        <f t="shared" si="145"/>
        <v>0.82407506823537791</v>
      </c>
      <c r="T89" s="3"/>
      <c r="U89" s="3"/>
      <c r="V89" s="3"/>
      <c r="W89" s="3"/>
      <c r="X89" s="3"/>
      <c r="Y89" s="3"/>
      <c r="Z89" s="5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5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</row>
    <row r="90" spans="1:58" x14ac:dyDescent="0.3">
      <c r="A90" s="29">
        <v>0</v>
      </c>
      <c r="B90" t="s">
        <v>17</v>
      </c>
      <c r="C90" s="29">
        <f t="shared" ref="C90:J90" si="146">IF(SUM(C84:C89,C62)&lt;5,C62, 5-SUM(C84:C89))</f>
        <v>0</v>
      </c>
      <c r="D90" s="29">
        <f t="shared" si="146"/>
        <v>0</v>
      </c>
      <c r="E90" s="29">
        <f t="shared" si="146"/>
        <v>0</v>
      </c>
      <c r="F90" s="29">
        <f t="shared" si="146"/>
        <v>0</v>
      </c>
      <c r="G90" s="29">
        <f t="shared" si="146"/>
        <v>0</v>
      </c>
      <c r="H90" s="29">
        <f t="shared" si="146"/>
        <v>0</v>
      </c>
      <c r="I90" s="29">
        <f t="shared" si="146"/>
        <v>0</v>
      </c>
      <c r="J90" s="29">
        <f t="shared" si="146"/>
        <v>0</v>
      </c>
      <c r="K90" s="29">
        <f t="shared" ref="K90" si="147">IF(SUM(K84:K89,K62)&lt;5,K62, 5-SUM(K84:K89))</f>
        <v>0</v>
      </c>
      <c r="L90" s="29">
        <f t="shared" ref="L90:S90" si="148">IF(SUM(L84:L89,L62)&lt;5,L62, 5-SUM(L84:L89))</f>
        <v>0</v>
      </c>
      <c r="M90" s="29">
        <f t="shared" si="148"/>
        <v>0</v>
      </c>
      <c r="N90" s="29">
        <f t="shared" si="148"/>
        <v>0</v>
      </c>
      <c r="O90" s="29">
        <f t="shared" si="148"/>
        <v>0</v>
      </c>
      <c r="P90" s="29">
        <f t="shared" si="148"/>
        <v>0</v>
      </c>
      <c r="Q90" s="29">
        <f t="shared" si="148"/>
        <v>0</v>
      </c>
      <c r="R90" s="29">
        <f t="shared" si="148"/>
        <v>0</v>
      </c>
      <c r="S90" s="29">
        <f t="shared" si="148"/>
        <v>0</v>
      </c>
      <c r="T90" s="3"/>
      <c r="U90" s="3"/>
      <c r="V90" s="3"/>
      <c r="W90" s="3"/>
      <c r="X90" s="3"/>
      <c r="Y90" s="3"/>
      <c r="Z90" s="5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5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</row>
    <row r="91" spans="1:58" s="34" customFormat="1" x14ac:dyDescent="0.3">
      <c r="A91" s="35">
        <v>5</v>
      </c>
      <c r="B91" s="34" t="s">
        <v>20</v>
      </c>
      <c r="C91" s="35">
        <f t="shared" ref="C91:J91" si="149">SUM(C84:C90)</f>
        <v>5</v>
      </c>
      <c r="D91" s="35">
        <f t="shared" si="149"/>
        <v>5</v>
      </c>
      <c r="E91" s="35">
        <f t="shared" si="149"/>
        <v>5</v>
      </c>
      <c r="F91" s="35">
        <f t="shared" si="149"/>
        <v>5</v>
      </c>
      <c r="G91" s="35">
        <f t="shared" si="149"/>
        <v>5</v>
      </c>
      <c r="H91" s="35">
        <f t="shared" si="149"/>
        <v>5</v>
      </c>
      <c r="I91" s="35">
        <f t="shared" si="149"/>
        <v>5</v>
      </c>
      <c r="J91" s="35">
        <f t="shared" si="149"/>
        <v>5</v>
      </c>
      <c r="K91" s="35">
        <f t="shared" ref="K91" si="150">SUM(K84:K90)</f>
        <v>5</v>
      </c>
      <c r="L91" s="35">
        <f t="shared" ref="L91:S91" si="151">SUM(L84:L90)</f>
        <v>5</v>
      </c>
      <c r="M91" s="35">
        <f t="shared" si="151"/>
        <v>5</v>
      </c>
      <c r="N91" s="35">
        <f t="shared" si="151"/>
        <v>5</v>
      </c>
      <c r="O91" s="35">
        <f t="shared" si="151"/>
        <v>5</v>
      </c>
      <c r="P91" s="35">
        <f t="shared" si="151"/>
        <v>5</v>
      </c>
      <c r="Q91" s="35">
        <f t="shared" si="151"/>
        <v>5</v>
      </c>
      <c r="R91" s="35">
        <f t="shared" si="151"/>
        <v>5</v>
      </c>
      <c r="S91" s="35">
        <f t="shared" si="151"/>
        <v>5</v>
      </c>
      <c r="T91" s="36"/>
      <c r="U91" s="36"/>
      <c r="V91" s="36"/>
      <c r="W91" s="36"/>
      <c r="X91" s="36"/>
      <c r="Y91" s="36"/>
      <c r="Z91" s="38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8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</row>
    <row r="92" spans="1:58" x14ac:dyDescent="0.3">
      <c r="A92" s="29">
        <v>0</v>
      </c>
      <c r="B92" t="s">
        <v>19</v>
      </c>
      <c r="C92" s="29">
        <f t="shared" ref="C92:J92" si="152">IF(C88=TRUE, 0, C63-C88)</f>
        <v>0</v>
      </c>
      <c r="D92" s="29">
        <f t="shared" si="152"/>
        <v>0</v>
      </c>
      <c r="E92" s="29">
        <f t="shared" si="152"/>
        <v>0</v>
      </c>
      <c r="F92" s="29">
        <f t="shared" si="152"/>
        <v>0</v>
      </c>
      <c r="G92" s="29">
        <f t="shared" si="152"/>
        <v>0</v>
      </c>
      <c r="H92" s="29">
        <f t="shared" si="152"/>
        <v>0</v>
      </c>
      <c r="I92" s="29">
        <f t="shared" si="152"/>
        <v>0</v>
      </c>
      <c r="J92" s="29">
        <f t="shared" si="152"/>
        <v>0</v>
      </c>
      <c r="K92" s="29">
        <f t="shared" ref="K92" si="153">IF(K88=TRUE, 0, K63-K88)</f>
        <v>0</v>
      </c>
      <c r="L92" s="29">
        <f t="shared" ref="L92:S92" si="154">IF(L88=TRUE, 0, L63-L88)</f>
        <v>0</v>
      </c>
      <c r="M92" s="29">
        <f t="shared" si="154"/>
        <v>0</v>
      </c>
      <c r="N92" s="29">
        <f t="shared" si="154"/>
        <v>0</v>
      </c>
      <c r="O92" s="29">
        <f t="shared" si="154"/>
        <v>0</v>
      </c>
      <c r="P92" s="29">
        <f t="shared" si="154"/>
        <v>0</v>
      </c>
      <c r="Q92" s="29">
        <f t="shared" si="154"/>
        <v>0</v>
      </c>
      <c r="R92" s="29">
        <f t="shared" si="154"/>
        <v>0</v>
      </c>
      <c r="S92" s="29">
        <f t="shared" si="154"/>
        <v>0</v>
      </c>
      <c r="T92" s="3"/>
      <c r="U92" s="3"/>
      <c r="V92" s="3"/>
      <c r="W92" s="3"/>
      <c r="X92" s="3"/>
      <c r="Y92" s="3"/>
      <c r="Z92" s="5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5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</row>
    <row r="93" spans="1:58" x14ac:dyDescent="0.3">
      <c r="A93" s="29">
        <v>0.19031376284175505</v>
      </c>
      <c r="B93" t="s">
        <v>18</v>
      </c>
      <c r="C93" s="29">
        <f t="shared" ref="C93:J94" si="155">IF(C89=TRUE, 0, C61-C89)</f>
        <v>0.17759270078398215</v>
      </c>
      <c r="D93" s="29">
        <f t="shared" si="155"/>
        <v>0.15167964947031409</v>
      </c>
      <c r="E93" s="29">
        <f t="shared" si="155"/>
        <v>0.24230676429081299</v>
      </c>
      <c r="F93" s="29">
        <f t="shared" si="155"/>
        <v>0.14388159863734007</v>
      </c>
      <c r="G93" s="29">
        <f t="shared" si="155"/>
        <v>0.24675928624853949</v>
      </c>
      <c r="H93" s="29">
        <f t="shared" si="155"/>
        <v>0.22344901346046298</v>
      </c>
      <c r="I93" s="29">
        <f t="shared" si="155"/>
        <v>0.20196080132371685</v>
      </c>
      <c r="J93" s="29">
        <f t="shared" si="155"/>
        <v>0.18823623871441919</v>
      </c>
      <c r="K93" s="29">
        <f t="shared" ref="K93" si="156">IF(K89=TRUE, 0, K61-K89)</f>
        <v>0.33876174945201853</v>
      </c>
      <c r="L93" s="29">
        <f t="shared" ref="L93:S93" si="157">IF(L89=TRUE, 0, L61-L89)</f>
        <v>0.28860687251433603</v>
      </c>
      <c r="M93" s="29">
        <f t="shared" si="157"/>
        <v>0.14160101065549524</v>
      </c>
      <c r="N93" s="29">
        <f t="shared" si="157"/>
        <v>0.23120435474084156</v>
      </c>
      <c r="O93" s="29">
        <f t="shared" si="157"/>
        <v>0.23800389615202366</v>
      </c>
      <c r="P93" s="29">
        <f t="shared" si="157"/>
        <v>0.49035499138451355</v>
      </c>
      <c r="Q93" s="29">
        <f t="shared" si="157"/>
        <v>0.22305693414331929</v>
      </c>
      <c r="R93" s="29">
        <f t="shared" si="157"/>
        <v>0.36332703833425772</v>
      </c>
      <c r="S93" s="29">
        <f t="shared" si="157"/>
        <v>7.9959809575565477E-2</v>
      </c>
      <c r="T93" s="3"/>
      <c r="U93" s="3"/>
      <c r="V93" s="3"/>
      <c r="W93" s="3"/>
      <c r="X93" s="3"/>
      <c r="Y93" s="3"/>
      <c r="Z93" s="5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5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</row>
    <row r="94" spans="1:58" x14ac:dyDescent="0.3">
      <c r="A94" s="29">
        <v>3.3048073324622694E-2</v>
      </c>
      <c r="B94" t="s">
        <v>17</v>
      </c>
      <c r="C94" s="29">
        <f>IF(C90=TRUE, 0, C62-C90)</f>
        <v>5.5090637195895048E-2</v>
      </c>
      <c r="D94" s="29">
        <f t="shared" si="155"/>
        <v>4.7382838243230446E-2</v>
      </c>
      <c r="E94" s="29">
        <f t="shared" si="155"/>
        <v>4.4853747184805379E-2</v>
      </c>
      <c r="F94" s="29">
        <f t="shared" si="155"/>
        <v>3.9677298300538379E-2</v>
      </c>
      <c r="G94" s="29">
        <f t="shared" si="155"/>
        <v>3.4745571069454195E-2</v>
      </c>
      <c r="H94" s="29">
        <f t="shared" si="155"/>
        <v>2.8119934873979301E-2</v>
      </c>
      <c r="I94" s="29">
        <f t="shared" si="155"/>
        <v>5.018085119241332E-2</v>
      </c>
      <c r="J94" s="29">
        <f t="shared" si="155"/>
        <v>6.3986484745785874E-2</v>
      </c>
      <c r="K94" s="29">
        <f t="shared" ref="K94" si="158">IF(K90=TRUE, 0, K62-K90)</f>
        <v>7.5945857735729552E-2</v>
      </c>
      <c r="L94" s="29">
        <f t="shared" ref="L94:S94" si="159">IF(L90=TRUE, 0, L62-L90)</f>
        <v>8.5027743269819461E-2</v>
      </c>
      <c r="M94" s="29">
        <f t="shared" si="159"/>
        <v>8.8267615100652758E-2</v>
      </c>
      <c r="N94" s="29">
        <f t="shared" si="159"/>
        <v>4.8765092316563265E-2</v>
      </c>
      <c r="O94" s="29">
        <f t="shared" si="159"/>
        <v>4.5213581674486851E-2</v>
      </c>
      <c r="P94" s="29">
        <f t="shared" si="159"/>
        <v>6.3041473374075133E-2</v>
      </c>
      <c r="Q94" s="29">
        <f t="shared" si="159"/>
        <v>0.10079263083118566</v>
      </c>
      <c r="R94" s="29">
        <f t="shared" si="159"/>
        <v>3.3866073242765068E-2</v>
      </c>
      <c r="S94" s="29">
        <f t="shared" si="159"/>
        <v>1.4400282997754036E-2</v>
      </c>
      <c r="T94" s="3"/>
      <c r="U94" s="3"/>
      <c r="V94" s="3"/>
      <c r="W94" s="3"/>
      <c r="X94" s="3"/>
      <c r="Y94" s="3"/>
      <c r="Z94" s="5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5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</row>
    <row r="95" spans="1:58" x14ac:dyDescent="0.3">
      <c r="A95" s="29">
        <v>1.8699953284377322</v>
      </c>
      <c r="B95" t="s">
        <v>16</v>
      </c>
      <c r="C95" s="29">
        <f t="shared" ref="C95:J95" si="160">C64</f>
        <v>1.7517343869806767</v>
      </c>
      <c r="D95" s="29">
        <f t="shared" si="160"/>
        <v>1.7625289214706654</v>
      </c>
      <c r="E95" s="29">
        <f t="shared" si="160"/>
        <v>1.6892207779863755</v>
      </c>
      <c r="F95" s="29">
        <f t="shared" si="160"/>
        <v>1.6676527837275341</v>
      </c>
      <c r="G95" s="29">
        <f t="shared" si="160"/>
        <v>1.6620704998091491</v>
      </c>
      <c r="H95" s="29">
        <f t="shared" si="160"/>
        <v>1.6621597201257452</v>
      </c>
      <c r="I95" s="29">
        <f t="shared" si="160"/>
        <v>1.7028083207577975</v>
      </c>
      <c r="J95" s="29">
        <f t="shared" si="160"/>
        <v>1.7981917252933366</v>
      </c>
      <c r="K95" s="29">
        <f t="shared" ref="K95" si="161">K64</f>
        <v>1.5627541755779322</v>
      </c>
      <c r="L95" s="29">
        <f t="shared" ref="L95:S95" si="162">L64</f>
        <v>1.6696539585113661</v>
      </c>
      <c r="M95" s="29">
        <f t="shared" si="162"/>
        <v>1.717561013813018</v>
      </c>
      <c r="N95" s="29">
        <f t="shared" si="162"/>
        <v>1.6845428425069682</v>
      </c>
      <c r="O95" s="29">
        <f t="shared" si="162"/>
        <v>1.6252869716106129</v>
      </c>
      <c r="P95" s="29">
        <f t="shared" si="162"/>
        <v>1.6271455554971053</v>
      </c>
      <c r="Q95" s="29">
        <f t="shared" si="162"/>
        <v>1.6798380499686467</v>
      </c>
      <c r="R95" s="29">
        <f t="shared" si="162"/>
        <v>1.6088925601690656</v>
      </c>
      <c r="S95" s="29">
        <f t="shared" si="162"/>
        <v>1.8383234764368788</v>
      </c>
      <c r="T95" s="3"/>
      <c r="U95" s="3"/>
      <c r="V95" s="3"/>
      <c r="W95" s="3"/>
      <c r="X95" s="3"/>
      <c r="Y95" s="3"/>
      <c r="Z95" s="5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5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</row>
    <row r="96" spans="1:58" x14ac:dyDescent="0.3">
      <c r="A96" s="29">
        <v>0</v>
      </c>
      <c r="B96" t="s">
        <v>14</v>
      </c>
      <c r="C96" s="29">
        <f>IF(SUM(C92:C95,C65)&lt;2, C65, 2-SUM(C92:C95))</f>
        <v>1.5582275039446092E-2</v>
      </c>
      <c r="D96" s="29">
        <f t="shared" ref="D96:J96" si="163">IF(SUM(D92:D95,D65)&lt;2, D65, 2-SUM(D92:D95))</f>
        <v>3.8408590815790067E-2</v>
      </c>
      <c r="E96" s="29">
        <f t="shared" si="163"/>
        <v>2.3618710538006127E-2</v>
      </c>
      <c r="F96" s="29">
        <f t="shared" si="163"/>
        <v>0.14878831933458736</v>
      </c>
      <c r="G96" s="29">
        <f t="shared" si="163"/>
        <v>5.64246428728572E-2</v>
      </c>
      <c r="H96" s="29">
        <f t="shared" si="163"/>
        <v>8.6271331539812479E-2</v>
      </c>
      <c r="I96" s="29">
        <f t="shared" si="163"/>
        <v>4.5050026726072279E-2</v>
      </c>
      <c r="J96" s="29">
        <f t="shared" si="163"/>
        <v>-5.0414448753541841E-2</v>
      </c>
      <c r="K96" s="29">
        <f t="shared" ref="K96" si="164">IF(SUM(K92:K95,K65)&lt;2, K65, 2-SUM(K92:K95))</f>
        <v>2.2538217234319813E-2</v>
      </c>
      <c r="L96" s="29">
        <f t="shared" ref="L96:S96" si="165">IF(SUM(L92:L95,L65)&lt;2, L65, 2-SUM(L92:L95))</f>
        <v>-4.3288574295521798E-2</v>
      </c>
      <c r="M96" s="29">
        <f t="shared" si="165"/>
        <v>5.2570360430834073E-2</v>
      </c>
      <c r="N96" s="29">
        <f t="shared" si="165"/>
        <v>3.548771043562704E-2</v>
      </c>
      <c r="O96" s="29">
        <f t="shared" si="165"/>
        <v>9.1495550562876726E-2</v>
      </c>
      <c r="P96" s="29">
        <f t="shared" si="165"/>
        <v>-0.18054202025569399</v>
      </c>
      <c r="Q96" s="29">
        <f t="shared" si="165"/>
        <v>-3.6876149431517291E-3</v>
      </c>
      <c r="R96" s="29">
        <f t="shared" si="165"/>
        <v>-6.0856717460882059E-3</v>
      </c>
      <c r="S96" s="29">
        <f t="shared" si="165"/>
        <v>6.7316430989801779E-2</v>
      </c>
      <c r="T96" s="3"/>
      <c r="U96" s="3"/>
      <c r="V96" s="3"/>
      <c r="W96" s="3"/>
      <c r="X96" s="3"/>
      <c r="Y96" s="3"/>
      <c r="Z96" s="5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5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</row>
    <row r="97" spans="1:58" s="34" customFormat="1" x14ac:dyDescent="0.3">
      <c r="A97" s="35">
        <v>2</v>
      </c>
      <c r="B97" s="34" t="s">
        <v>15</v>
      </c>
      <c r="C97" s="35">
        <f t="shared" ref="C97:J97" si="166">SUM(C92:C96)</f>
        <v>2</v>
      </c>
      <c r="D97" s="35">
        <f t="shared" si="166"/>
        <v>2</v>
      </c>
      <c r="E97" s="35">
        <f t="shared" si="166"/>
        <v>2</v>
      </c>
      <c r="F97" s="35">
        <f t="shared" si="166"/>
        <v>2</v>
      </c>
      <c r="G97" s="35">
        <f t="shared" si="166"/>
        <v>2</v>
      </c>
      <c r="H97" s="35">
        <f t="shared" si="166"/>
        <v>2</v>
      </c>
      <c r="I97" s="35">
        <f t="shared" si="166"/>
        <v>2</v>
      </c>
      <c r="J97" s="35">
        <f t="shared" si="166"/>
        <v>2</v>
      </c>
      <c r="K97" s="35">
        <f t="shared" ref="K97" si="167">SUM(K92:K96)</f>
        <v>2</v>
      </c>
      <c r="L97" s="35">
        <f t="shared" ref="L97:S97" si="168">SUM(L92:L96)</f>
        <v>2</v>
      </c>
      <c r="M97" s="35">
        <f t="shared" si="168"/>
        <v>2</v>
      </c>
      <c r="N97" s="35">
        <f t="shared" si="168"/>
        <v>2</v>
      </c>
      <c r="O97" s="35">
        <f t="shared" si="168"/>
        <v>2</v>
      </c>
      <c r="P97" s="35">
        <f t="shared" si="168"/>
        <v>2</v>
      </c>
      <c r="Q97" s="35">
        <f t="shared" si="168"/>
        <v>2</v>
      </c>
      <c r="R97" s="35">
        <f t="shared" si="168"/>
        <v>2</v>
      </c>
      <c r="S97" s="35">
        <f t="shared" si="168"/>
        <v>2</v>
      </c>
      <c r="T97" s="36"/>
      <c r="U97" s="36"/>
      <c r="V97" s="36"/>
      <c r="W97" s="36"/>
      <c r="X97" s="36"/>
      <c r="Y97" s="36"/>
      <c r="Z97" s="38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8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</row>
    <row r="98" spans="1:58" x14ac:dyDescent="0.3">
      <c r="A98" s="31">
        <v>0.64011399999999996</v>
      </c>
      <c r="B98" t="s">
        <v>14</v>
      </c>
      <c r="C98" s="29">
        <f>IF(C96=TRUE, 0, C65-C96)</f>
        <v>0.24809636911475219</v>
      </c>
      <c r="D98" s="29">
        <f t="shared" ref="D98:J98" si="169">IF(D96=TRUE, 0, D65-D96)</f>
        <v>0.26059852896876284</v>
      </c>
      <c r="E98" s="29">
        <f t="shared" si="169"/>
        <v>0.43694779329269812</v>
      </c>
      <c r="F98" s="29">
        <f t="shared" si="169"/>
        <v>0.29947565778036056</v>
      </c>
      <c r="G98" s="29">
        <f t="shared" si="169"/>
        <v>0.50621595711894007</v>
      </c>
      <c r="H98" s="29">
        <f t="shared" si="169"/>
        <v>0.48719735847051171</v>
      </c>
      <c r="I98" s="29">
        <f t="shared" si="169"/>
        <v>0.20478843397359994</v>
      </c>
      <c r="J98" s="29">
        <f t="shared" si="169"/>
        <v>0.23134863668778069</v>
      </c>
      <c r="K98" s="29">
        <f t="shared" ref="K98" si="170">IF(K96=TRUE, 0, K65-K96)</f>
        <v>0.20925719628558523</v>
      </c>
      <c r="L98" s="29">
        <f t="shared" ref="L98:S98" si="171">IF(L96=TRUE, 0, L65-L96)</f>
        <v>0.3307506382050982</v>
      </c>
      <c r="M98" s="29">
        <f t="shared" si="171"/>
        <v>0.24456510427629896</v>
      </c>
      <c r="N98" s="29">
        <f t="shared" si="171"/>
        <v>0.34805280933152749</v>
      </c>
      <c r="O98" s="29">
        <f t="shared" si="171"/>
        <v>0.35411977601085887</v>
      </c>
      <c r="P98" s="29">
        <f t="shared" si="171"/>
        <v>0.24159511772075931</v>
      </c>
      <c r="Q98" s="29">
        <f t="shared" si="171"/>
        <v>0.23441056257814469</v>
      </c>
      <c r="R98" s="29">
        <f t="shared" si="171"/>
        <v>0.53438603896328396</v>
      </c>
      <c r="S98" s="29">
        <f t="shared" si="171"/>
        <v>0.14145226747489464</v>
      </c>
      <c r="T98" s="3"/>
      <c r="U98" s="3"/>
      <c r="V98" s="3"/>
      <c r="W98" s="3"/>
      <c r="X98" s="3"/>
      <c r="Y98" s="3"/>
      <c r="Z98" s="5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5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</row>
    <row r="99" spans="1:58" x14ac:dyDescent="0.3">
      <c r="A99" s="29">
        <v>0.17613028524387678</v>
      </c>
      <c r="B99" t="s">
        <v>13</v>
      </c>
      <c r="C99" s="29">
        <f t="shared" ref="C99:J99" si="172">C66</f>
        <v>7.3546691312538076E-2</v>
      </c>
      <c r="D99" s="29">
        <f t="shared" si="172"/>
        <v>8.8725936628078164E-2</v>
      </c>
      <c r="E99" s="29">
        <f t="shared" si="172"/>
        <v>0.19688121089403698</v>
      </c>
      <c r="F99" s="29">
        <f t="shared" si="172"/>
        <v>0.17157097485771278</v>
      </c>
      <c r="G99" s="29">
        <f t="shared" si="172"/>
        <v>0.18413345776673981</v>
      </c>
      <c r="H99" s="29">
        <f t="shared" si="172"/>
        <v>0.19251520814654424</v>
      </c>
      <c r="I99" s="29">
        <f t="shared" si="172"/>
        <v>6.9912232400572913E-2</v>
      </c>
      <c r="J99" s="29">
        <f t="shared" si="172"/>
        <v>6.8028984794970965E-2</v>
      </c>
      <c r="K99" s="29">
        <f t="shared" ref="K99" si="173">K66</f>
        <v>8.0071053934133538E-2</v>
      </c>
      <c r="L99" s="29">
        <f t="shared" ref="L99:S99" si="174">L66</f>
        <v>0.11033384077695862</v>
      </c>
      <c r="M99" s="29">
        <f t="shared" si="174"/>
        <v>0.14858654542324581</v>
      </c>
      <c r="N99" s="29">
        <f t="shared" si="174"/>
        <v>0.11676415659480603</v>
      </c>
      <c r="O99" s="29">
        <f t="shared" si="174"/>
        <v>0.13430685305840284</v>
      </c>
      <c r="P99" s="29">
        <f t="shared" si="174"/>
        <v>4.0171597758689732E-2</v>
      </c>
      <c r="Q99" s="29">
        <f t="shared" si="174"/>
        <v>6.0724253680302619E-2</v>
      </c>
      <c r="R99" s="29">
        <f t="shared" si="174"/>
        <v>9.6348435888282583E-2</v>
      </c>
      <c r="S99" s="29">
        <f t="shared" si="174"/>
        <v>8.3142106984454636E-2</v>
      </c>
      <c r="T99" s="3"/>
      <c r="U99" s="3"/>
      <c r="V99" s="3"/>
      <c r="W99" s="3"/>
      <c r="X99" s="3"/>
      <c r="Y99" s="3"/>
      <c r="Z99" s="5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5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</row>
    <row r="100" spans="1:58" s="34" customFormat="1" x14ac:dyDescent="0.3">
      <c r="A100" s="35">
        <v>0.90960169011907765</v>
      </c>
      <c r="B100" s="34" t="s">
        <v>12</v>
      </c>
      <c r="C100" s="35">
        <f>SUM(C98:C99)</f>
        <v>0.32164306042729029</v>
      </c>
      <c r="D100" s="35">
        <f t="shared" ref="D100:J100" si="175">SUM(D98:D99)</f>
        <v>0.34932446559684099</v>
      </c>
      <c r="E100" s="35">
        <f t="shared" si="175"/>
        <v>0.63382900418673516</v>
      </c>
      <c r="F100" s="35">
        <f t="shared" si="175"/>
        <v>0.47104663263807334</v>
      </c>
      <c r="G100" s="35">
        <f t="shared" si="175"/>
        <v>0.69034941488567991</v>
      </c>
      <c r="H100" s="35">
        <f t="shared" si="175"/>
        <v>0.67971256661705592</v>
      </c>
      <c r="I100" s="35">
        <f t="shared" si="175"/>
        <v>0.27470066637417284</v>
      </c>
      <c r="J100" s="35">
        <f t="shared" si="175"/>
        <v>0.29937762148275165</v>
      </c>
      <c r="K100" s="35">
        <f t="shared" ref="K100" si="176">SUM(K98:K99)</f>
        <v>0.28932825021971875</v>
      </c>
      <c r="L100" s="35">
        <f t="shared" ref="L100:S100" si="177">SUM(L98:L99)</f>
        <v>0.44108447898205683</v>
      </c>
      <c r="M100" s="35">
        <f t="shared" si="177"/>
        <v>0.39315164969954475</v>
      </c>
      <c r="N100" s="35">
        <f t="shared" si="177"/>
        <v>0.46481696592633354</v>
      </c>
      <c r="O100" s="35">
        <f t="shared" si="177"/>
        <v>0.48842662906926171</v>
      </c>
      <c r="P100" s="35">
        <f t="shared" si="177"/>
        <v>0.28176671547944904</v>
      </c>
      <c r="Q100" s="35">
        <f t="shared" si="177"/>
        <v>0.29513481625844729</v>
      </c>
      <c r="R100" s="35">
        <f t="shared" si="177"/>
        <v>0.63073447485156653</v>
      </c>
      <c r="S100" s="35">
        <f t="shared" si="177"/>
        <v>0.22459437445934927</v>
      </c>
      <c r="T100" s="36"/>
      <c r="U100" s="36"/>
      <c r="V100" s="36"/>
      <c r="W100" s="36"/>
      <c r="X100" s="36"/>
      <c r="Y100" s="36"/>
      <c r="Z100" s="38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8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</row>
    <row r="101" spans="1:58" x14ac:dyDescent="0.3">
      <c r="A101" s="29">
        <v>15.909601690119077</v>
      </c>
      <c r="B101" t="s">
        <v>11</v>
      </c>
      <c r="C101" s="29">
        <f t="shared" ref="C101:J101" si="178">SUM(C83,C91,C97,C100)</f>
        <v>15.32164306042729</v>
      </c>
      <c r="D101" s="29">
        <f t="shared" si="178"/>
        <v>15.34932446559684</v>
      </c>
      <c r="E101" s="29">
        <f t="shared" si="178"/>
        <v>15.633829004186735</v>
      </c>
      <c r="F101" s="29">
        <f t="shared" si="178"/>
        <v>15.471046632638073</v>
      </c>
      <c r="G101" s="29">
        <f t="shared" si="178"/>
        <v>15.690349414885681</v>
      </c>
      <c r="H101" s="29">
        <f t="shared" si="178"/>
        <v>15.679712566617056</v>
      </c>
      <c r="I101" s="29">
        <f t="shared" si="178"/>
        <v>15.274700666374173</v>
      </c>
      <c r="J101" s="29">
        <f t="shared" si="178"/>
        <v>15.299377621482751</v>
      </c>
      <c r="K101" s="29">
        <f t="shared" ref="K101" si="179">SUM(K83,K91,K97,K100)</f>
        <v>15.289328250219718</v>
      </c>
      <c r="L101" s="29">
        <f t="shared" ref="L101:S101" si="180">SUM(L83,L91,L97,L100)</f>
        <v>15.441084478982058</v>
      </c>
      <c r="M101" s="29">
        <f t="shared" si="180"/>
        <v>15.393151649699545</v>
      </c>
      <c r="N101" s="29">
        <f t="shared" si="180"/>
        <v>15.464816965926333</v>
      </c>
      <c r="O101" s="29">
        <f t="shared" si="180"/>
        <v>15.488426629069261</v>
      </c>
      <c r="P101" s="29">
        <f t="shared" si="180"/>
        <v>15.221473668659428</v>
      </c>
      <c r="Q101" s="29">
        <f t="shared" si="180"/>
        <v>15.295134816258447</v>
      </c>
      <c r="R101" s="29">
        <f t="shared" si="180"/>
        <v>15.630734474851566</v>
      </c>
      <c r="S101" s="29">
        <f t="shared" si="180"/>
        <v>15.224594374459349</v>
      </c>
      <c r="T101" s="3"/>
      <c r="U101" s="3"/>
      <c r="V101" s="3"/>
      <c r="W101" s="3"/>
      <c r="X101" s="3"/>
      <c r="Y101" s="3"/>
      <c r="Z101" s="5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5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58" x14ac:dyDescent="0.3">
      <c r="C102" s="2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5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5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1:58" x14ac:dyDescent="0.3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5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5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58" x14ac:dyDescent="0.3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5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5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58" x14ac:dyDescent="0.3">
      <c r="B105" s="8" t="s">
        <v>74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5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5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58" x14ac:dyDescent="0.3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5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5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58" x14ac:dyDescent="0.3">
      <c r="B107" s="8" t="s">
        <v>48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5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5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58" x14ac:dyDescent="0.3">
      <c r="A108" s="3">
        <f>16/A101</f>
        <v>1.0056819970506909</v>
      </c>
      <c r="B108" t="s">
        <v>47</v>
      </c>
      <c r="C108" s="3">
        <f>16/C101</f>
        <v>1.0442744251969143</v>
      </c>
      <c r="D108" s="3">
        <f t="shared" ref="D108:J108" si="181">16/D101</f>
        <v>1.0423911512106965</v>
      </c>
      <c r="E108" s="3">
        <f t="shared" si="181"/>
        <v>1.0234217091484885</v>
      </c>
      <c r="F108" s="3">
        <f t="shared" si="181"/>
        <v>1.0341898890179824</v>
      </c>
      <c r="G108" s="3">
        <f t="shared" si="181"/>
        <v>1.0197350981119992</v>
      </c>
      <c r="H108" s="3">
        <f t="shared" si="181"/>
        <v>1.0204268689251903</v>
      </c>
      <c r="I108" s="3">
        <f t="shared" si="181"/>
        <v>1.0474837019374466</v>
      </c>
      <c r="J108" s="3">
        <f t="shared" si="181"/>
        <v>1.045794175152162</v>
      </c>
      <c r="K108" s="3">
        <f t="shared" ref="K108" si="182">16/K101</f>
        <v>1.0464815548564124</v>
      </c>
      <c r="L108" s="3">
        <f t="shared" ref="L108:S108" si="183">16/L101</f>
        <v>1.0361966493855221</v>
      </c>
      <c r="M108" s="3">
        <f t="shared" si="183"/>
        <v>1.0394232684839624</v>
      </c>
      <c r="N108" s="3">
        <f t="shared" si="183"/>
        <v>1.0346064900252512</v>
      </c>
      <c r="O108" s="3">
        <f t="shared" si="183"/>
        <v>1.0330293956372947</v>
      </c>
      <c r="P108" s="3">
        <f t="shared" si="183"/>
        <v>1.0511465806982627</v>
      </c>
      <c r="Q108" s="3">
        <f t="shared" si="183"/>
        <v>1.0460842740001413</v>
      </c>
      <c r="R108" s="3">
        <f t="shared" si="183"/>
        <v>1.0236243233318658</v>
      </c>
      <c r="S108" s="3">
        <f t="shared" si="183"/>
        <v>1.0509311188507895</v>
      </c>
      <c r="T108" s="3"/>
      <c r="U108" s="3"/>
      <c r="V108" s="3"/>
      <c r="W108" s="3"/>
      <c r="X108" s="3"/>
      <c r="Y108" s="3"/>
      <c r="Z108" s="5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5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1:58" x14ac:dyDescent="0.3">
      <c r="A109" s="3">
        <f>8/A81</f>
        <v>1.3140058802275119</v>
      </c>
      <c r="B109" t="s">
        <v>46</v>
      </c>
      <c r="C109" s="3">
        <f>8/C81</f>
        <v>1.0815153651625748</v>
      </c>
      <c r="D109" s="3">
        <f t="shared" ref="D109:J109" si="184">8/D81</f>
        <v>1.0927755802030896</v>
      </c>
      <c r="E109" s="3">
        <f t="shared" si="184"/>
        <v>1.197876648066956</v>
      </c>
      <c r="F109" s="3">
        <f t="shared" si="184"/>
        <v>1.2249262812605524</v>
      </c>
      <c r="G109" s="3">
        <f t="shared" si="184"/>
        <v>1.2836415554106453</v>
      </c>
      <c r="H109" s="3">
        <f t="shared" si="184"/>
        <v>1.2842329119022664</v>
      </c>
      <c r="I109" s="3">
        <f t="shared" si="184"/>
        <v>1.0693496042753365</v>
      </c>
      <c r="J109" s="3">
        <f t="shared" si="184"/>
        <v>1.1085358906716631</v>
      </c>
      <c r="K109" s="3">
        <f t="shared" ref="K109" si="185">8/K81</f>
        <v>1.0795137158725427</v>
      </c>
      <c r="L109" s="3">
        <f t="shared" ref="L109:S109" si="186">8/L81</f>
        <v>1.1786067897316688</v>
      </c>
      <c r="M109" s="3">
        <f t="shared" si="186"/>
        <v>1.1706987692782442</v>
      </c>
      <c r="N109" s="3">
        <f t="shared" si="186"/>
        <v>1.1510500714494758</v>
      </c>
      <c r="O109" s="3">
        <f t="shared" si="186"/>
        <v>1.1728726826862128</v>
      </c>
      <c r="P109" s="3">
        <f t="shared" si="186"/>
        <v>1.0437407214260987</v>
      </c>
      <c r="Q109" s="3">
        <f t="shared" si="186"/>
        <v>1.0920187243929684</v>
      </c>
      <c r="R109" s="3">
        <f t="shared" si="186"/>
        <v>1.2023685728411946</v>
      </c>
      <c r="S109" s="3">
        <f t="shared" si="186"/>
        <v>1.0690227218329931</v>
      </c>
      <c r="T109" s="3"/>
      <c r="U109" s="3"/>
      <c r="V109" s="3"/>
      <c r="W109" s="3"/>
      <c r="X109" s="3"/>
      <c r="Y109" s="3"/>
      <c r="Z109" s="5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5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1:58" x14ac:dyDescent="0.3">
      <c r="A110" s="3">
        <f>15/(A101-A99-(A98+A96)+A94)</f>
        <v>0.99164338954274389</v>
      </c>
      <c r="B110" t="s">
        <v>45</v>
      </c>
      <c r="C110" s="3">
        <f>15/(C101-C99-(C98+C96)+C94)</f>
        <v>0.99737302834606867</v>
      </c>
      <c r="D110" s="3">
        <f t="shared" ref="D110:J110" si="187">15/(D101-D99-(D98+D96)+D94)</f>
        <v>0.99940207456688945</v>
      </c>
      <c r="E110" s="3">
        <f t="shared" si="187"/>
        <v>0.99858633217608328</v>
      </c>
      <c r="F110" s="3">
        <f t="shared" si="187"/>
        <v>1.007327367841381</v>
      </c>
      <c r="G110" s="3">
        <f t="shared" si="187"/>
        <v>1.0014473632864009</v>
      </c>
      <c r="H110" s="3">
        <f t="shared" si="187"/>
        <v>1.0038918475357097</v>
      </c>
      <c r="I110" s="3">
        <f t="shared" si="187"/>
        <v>0.99965806199716856</v>
      </c>
      <c r="J110" s="3">
        <f t="shared" si="187"/>
        <v>0.99243099782765642</v>
      </c>
      <c r="K110" s="3">
        <f t="shared" ref="K110" si="188">15/(K101-K99-(K98+K96)+K94)</f>
        <v>0.99645212288294671</v>
      </c>
      <c r="L110" s="3">
        <f t="shared" ref="L110:S110" si="189">15/(L101-L99-(L98+L96)+L94)</f>
        <v>0.99151813626369278</v>
      </c>
      <c r="M110" s="3">
        <f t="shared" si="189"/>
        <v>0.99762583310469799</v>
      </c>
      <c r="N110" s="3">
        <f t="shared" si="189"/>
        <v>0.99911562402111076</v>
      </c>
      <c r="O110" s="3">
        <f t="shared" si="189"/>
        <v>1.0030950141491299</v>
      </c>
      <c r="P110" s="3">
        <f t="shared" si="189"/>
        <v>0.98792814723186306</v>
      </c>
      <c r="Q110" s="3">
        <f t="shared" si="189"/>
        <v>0.99308283078435844</v>
      </c>
      <c r="R110" s="3">
        <f t="shared" si="189"/>
        <v>0.99734362545397359</v>
      </c>
      <c r="S110" s="3">
        <f t="shared" si="189"/>
        <v>1.0035402322296425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3"/>
    </row>
    <row r="111" spans="1:58" x14ac:dyDescent="0.3">
      <c r="A111" s="3">
        <f>2/A95</f>
        <v>1.0695213884148465</v>
      </c>
      <c r="B111" t="s">
        <v>44</v>
      </c>
      <c r="C111" s="3">
        <f>2/C95</f>
        <v>1.14172560341596</v>
      </c>
      <c r="D111" s="3">
        <f t="shared" ref="D111:J111" si="190">2/D95</f>
        <v>1.1347331528217914</v>
      </c>
      <c r="E111" s="3">
        <f t="shared" si="190"/>
        <v>1.1839778589416161</v>
      </c>
      <c r="F111" s="3">
        <f t="shared" si="190"/>
        <v>1.1992904155561712</v>
      </c>
      <c r="G111" s="3">
        <f t="shared" si="190"/>
        <v>1.2033183912653851</v>
      </c>
      <c r="H111" s="3">
        <f t="shared" si="190"/>
        <v>1.2032538003319539</v>
      </c>
      <c r="I111" s="3">
        <f t="shared" si="190"/>
        <v>1.1745303188969289</v>
      </c>
      <c r="J111" s="3">
        <f t="shared" si="190"/>
        <v>1.1122284525437591</v>
      </c>
      <c r="K111" s="3">
        <f t="shared" ref="K111" si="191">2/K95</f>
        <v>1.2797918132327928</v>
      </c>
      <c r="L111" s="3">
        <f t="shared" ref="L111:S111" si="192">2/L95</f>
        <v>1.197852998104568</v>
      </c>
      <c r="M111" s="3">
        <f t="shared" si="192"/>
        <v>1.1644418940087387</v>
      </c>
      <c r="N111" s="3">
        <f t="shared" si="192"/>
        <v>1.1872657373460225</v>
      </c>
      <c r="O111" s="3">
        <f t="shared" si="192"/>
        <v>1.230551917867192</v>
      </c>
      <c r="P111" s="3">
        <f t="shared" si="192"/>
        <v>1.2291463374270686</v>
      </c>
      <c r="Q111" s="3">
        <f t="shared" si="192"/>
        <v>1.1905909620497814</v>
      </c>
      <c r="R111" s="3">
        <f t="shared" si="192"/>
        <v>1.2430910860759006</v>
      </c>
      <c r="S111" s="3">
        <f t="shared" si="192"/>
        <v>1.0879478098579745</v>
      </c>
      <c r="T111" s="3"/>
      <c r="U111" s="3"/>
      <c r="V111" s="3"/>
      <c r="W111" s="3"/>
      <c r="X111" s="3"/>
      <c r="Y111" s="3"/>
      <c r="Z111" s="5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5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1:58" x14ac:dyDescent="0.3">
      <c r="A112" s="3">
        <v>1</v>
      </c>
      <c r="B112" t="s">
        <v>43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1</v>
      </c>
      <c r="S112" s="3">
        <v>1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3"/>
    </row>
    <row r="113" spans="1:58" x14ac:dyDescent="0.3">
      <c r="A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5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5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x14ac:dyDescent="0.3">
      <c r="A114" s="3"/>
      <c r="B114" s="8" t="s">
        <v>42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5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5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1:58" x14ac:dyDescent="0.3">
      <c r="A115" s="3">
        <f>8/(A83+A84)</f>
        <v>0.95743299041832308</v>
      </c>
      <c r="B115" t="s">
        <v>41</v>
      </c>
      <c r="C115" s="3">
        <f>8/(C83+C84)</f>
        <v>0.98184629844676796</v>
      </c>
      <c r="D115" s="3">
        <f t="shared" ref="D115:J115" si="193">8/(D83+D84)</f>
        <v>0.98038040707728458</v>
      </c>
      <c r="E115" s="3">
        <f t="shared" si="193"/>
        <v>0.95347455217211252</v>
      </c>
      <c r="F115" s="3">
        <f t="shared" si="193"/>
        <v>0.90197808424035397</v>
      </c>
      <c r="G115" s="3">
        <f t="shared" si="193"/>
        <v>0.94865838312750894</v>
      </c>
      <c r="H115" s="3">
        <f t="shared" si="193"/>
        <v>0.93660359244012847</v>
      </c>
      <c r="I115" s="3">
        <f t="shared" si="193"/>
        <v>0.98120419984426899</v>
      </c>
      <c r="J115" s="3">
        <f t="shared" si="193"/>
        <v>0.96517690247920718</v>
      </c>
      <c r="K115" s="3">
        <f t="shared" ref="K115" si="194">8/(K83+K84)</f>
        <v>0.9752157089992618</v>
      </c>
      <c r="L115" s="3">
        <f t="shared" ref="L115:S115" si="195">8/(L83+L84)</f>
        <v>0.93273449606338177</v>
      </c>
      <c r="M115" s="3">
        <f t="shared" si="195"/>
        <v>0.92653713130416882</v>
      </c>
      <c r="N115" s="3">
        <f t="shared" si="195"/>
        <v>0.95382233280826123</v>
      </c>
      <c r="O115" s="3">
        <f t="shared" si="195"/>
        <v>0.94327775821054116</v>
      </c>
      <c r="P115" s="3">
        <f t="shared" si="195"/>
        <v>1.0075938629946379</v>
      </c>
      <c r="Q115" s="3">
        <f t="shared" si="195"/>
        <v>0.97303195244724017</v>
      </c>
      <c r="R115" s="3">
        <f t="shared" si="195"/>
        <v>0.96596084750204025</v>
      </c>
      <c r="S115" s="3">
        <f t="shared" si="195"/>
        <v>0.98142818218064698</v>
      </c>
      <c r="T115" s="3"/>
      <c r="U115" s="3"/>
      <c r="V115" s="3"/>
      <c r="W115" s="3"/>
      <c r="X115" s="3"/>
      <c r="Y115" s="3"/>
      <c r="Z115" s="5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5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1:58" x14ac:dyDescent="0.3">
      <c r="A116" s="3">
        <f>15/(A101-A99)</f>
        <v>0.95338146388673484</v>
      </c>
      <c r="B116" t="s">
        <v>40</v>
      </c>
      <c r="C116" s="3">
        <f>15/(C101-C99)</f>
        <v>0.98372935459554978</v>
      </c>
      <c r="D116" s="3">
        <f t="shared" ref="D116:J116" si="196">15/(D101-D99)</f>
        <v>0.98292343983271202</v>
      </c>
      <c r="E116" s="3">
        <f t="shared" si="196"/>
        <v>0.97169467700845957</v>
      </c>
      <c r="F116" s="3">
        <f t="shared" si="196"/>
        <v>0.98042575677238553</v>
      </c>
      <c r="G116" s="3">
        <f t="shared" si="196"/>
        <v>0.96735399800190858</v>
      </c>
      <c r="H116" s="3">
        <f t="shared" si="196"/>
        <v>0.96854192871739664</v>
      </c>
      <c r="I116" s="3">
        <f t="shared" si="196"/>
        <v>0.98653131973109065</v>
      </c>
      <c r="J116" s="3">
        <f t="shared" si="196"/>
        <v>0.98481102086189987</v>
      </c>
      <c r="K116" s="3">
        <f t="shared" ref="K116" si="197">15/(K101-K99)</f>
        <v>0.98624145850221479</v>
      </c>
      <c r="L116" s="3">
        <f t="shared" ref="L116:S116" si="198">15/(L101-L99)</f>
        <v>0.97842567229677258</v>
      </c>
      <c r="M116" s="3">
        <f t="shared" si="198"/>
        <v>0.98395722655232087</v>
      </c>
      <c r="N116" s="3">
        <f t="shared" si="198"/>
        <v>0.97732267319800248</v>
      </c>
      <c r="O116" s="3">
        <f t="shared" si="198"/>
        <v>0.97693649774934466</v>
      </c>
      <c r="P116" s="3">
        <f t="shared" si="198"/>
        <v>0.98805754143788138</v>
      </c>
      <c r="Q116" s="3">
        <f t="shared" si="198"/>
        <v>0.98461308616994003</v>
      </c>
      <c r="R116" s="3">
        <f t="shared" si="198"/>
        <v>0.96559979663033102</v>
      </c>
      <c r="S116" s="3">
        <f t="shared" si="198"/>
        <v>0.9906579458181336</v>
      </c>
      <c r="T116" s="3"/>
      <c r="U116" s="3"/>
      <c r="V116" s="3"/>
      <c r="W116" s="3"/>
      <c r="X116" s="3"/>
      <c r="Y116" s="3"/>
      <c r="Z116" s="5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5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1:58" x14ac:dyDescent="0.3">
      <c r="A117" s="3">
        <f>13/(A101-(A100+A96)-(A94+A90)-A95)</f>
        <v>0.99259701309152282</v>
      </c>
      <c r="B117" t="s">
        <v>39</v>
      </c>
      <c r="C117" s="3">
        <f>13/(C101-(C100+C96)-(C94+C90)-C95)</f>
        <v>0.98652313022442917</v>
      </c>
      <c r="D117" s="3">
        <f t="shared" ref="D117:J117" si="199">13/(D101-(D100+D96)-(D94+D90)-D95)</f>
        <v>0.98846689901875595</v>
      </c>
      <c r="E117" s="3">
        <f t="shared" si="199"/>
        <v>0.98170207286360278</v>
      </c>
      <c r="F117" s="3">
        <f t="shared" si="199"/>
        <v>0.98905334032739201</v>
      </c>
      <c r="G117" s="3">
        <f t="shared" si="199"/>
        <v>0.98137210158980537</v>
      </c>
      <c r="H117" s="3">
        <f t="shared" si="199"/>
        <v>0.98310206261369415</v>
      </c>
      <c r="I117" s="3">
        <f t="shared" si="199"/>
        <v>0.9847022117121067</v>
      </c>
      <c r="J117" s="3">
        <f t="shared" si="199"/>
        <v>0.9857269588360994</v>
      </c>
      <c r="K117" s="3">
        <f t="shared" ref="K117" si="200">13/(K101-(K100+K96)-(K94+K90)-K95)</f>
        <v>0.97460320861747651</v>
      </c>
      <c r="L117" s="3">
        <f t="shared" ref="L117:S117" si="201">13/(L101-(L100+L96)-(L94+L90)-L95)</f>
        <v>0.97828163062666262</v>
      </c>
      <c r="M117" s="3">
        <f t="shared" si="201"/>
        <v>0.98922498023333061</v>
      </c>
      <c r="N117" s="3">
        <f t="shared" si="201"/>
        <v>0.98252582693592816</v>
      </c>
      <c r="O117" s="3">
        <f t="shared" si="201"/>
        <v>0.98202116436744624</v>
      </c>
      <c r="P117" s="3">
        <f t="shared" si="201"/>
        <v>0.96797766485816161</v>
      </c>
      <c r="Q117" s="3">
        <f t="shared" si="201"/>
        <v>0.98313121275554938</v>
      </c>
      <c r="R117" s="3">
        <f t="shared" si="201"/>
        <v>0.972811633114118</v>
      </c>
      <c r="S117" s="3">
        <f t="shared" si="201"/>
        <v>0.99388684592768939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x14ac:dyDescent="0.3">
      <c r="A118" s="3">
        <f t="shared" ref="A118" si="202">36/(46-(A82+A84)-A81-A85)</f>
        <v>0.96339712421203205</v>
      </c>
      <c r="B118" t="s">
        <v>38</v>
      </c>
      <c r="C118" s="3">
        <f>36/(46-(C82+C84)-C81-C85)</f>
        <v>0.95294598265857522</v>
      </c>
      <c r="D118" s="3">
        <f t="shared" ref="D118:J118" si="203">36/(46-(D82+D84)-D81-D85)</f>
        <v>0.95398580366860586</v>
      </c>
      <c r="E118" s="3">
        <f t="shared" si="203"/>
        <v>0.96130315849017045</v>
      </c>
      <c r="F118" s="3">
        <f t="shared" si="203"/>
        <v>0.97318512094506204</v>
      </c>
      <c r="G118" s="3">
        <f t="shared" si="203"/>
        <v>0.96723182320605783</v>
      </c>
      <c r="H118" s="3">
        <f t="shared" si="203"/>
        <v>0.96928784013529035</v>
      </c>
      <c r="I118" s="3">
        <f t="shared" si="203"/>
        <v>0.95291555859423405</v>
      </c>
      <c r="J118" s="3">
        <f t="shared" si="203"/>
        <v>0.95645623672706548</v>
      </c>
      <c r="K118" s="3">
        <f t="shared" ref="K118" si="204">36/(46-(K82+K84)-K81-K85)</f>
        <v>0.95396811151649441</v>
      </c>
      <c r="L118" s="3">
        <f t="shared" ref="L118:S118" si="205">36/(46-(L82+L84)-L81-L85)</f>
        <v>0.96391843692465173</v>
      </c>
      <c r="M118" s="3">
        <f t="shared" si="205"/>
        <v>0.96586404645095536</v>
      </c>
      <c r="N118" s="3">
        <f t="shared" si="205"/>
        <v>0.96009986940411174</v>
      </c>
      <c r="O118" s="3">
        <f t="shared" si="205"/>
        <v>0.96338178160661858</v>
      </c>
      <c r="P118" s="3">
        <f t="shared" si="205"/>
        <v>0.94653703168988734</v>
      </c>
      <c r="Q118" s="3">
        <f t="shared" si="205"/>
        <v>0.95479496343147074</v>
      </c>
      <c r="R118" s="3">
        <f t="shared" si="205"/>
        <v>0.95989191837432608</v>
      </c>
      <c r="S118" s="3">
        <f t="shared" si="205"/>
        <v>0.95376261522898809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1:58" x14ac:dyDescent="0.3">
      <c r="A119" s="3">
        <f t="shared" ref="A119" si="206">46/((A89+A93)+46)</f>
        <v>0.96546764101865601</v>
      </c>
      <c r="B119" t="s">
        <v>37</v>
      </c>
      <c r="C119" s="3">
        <f t="shared" ref="C119:J119" si="207">46/((C89+C93)+46)</f>
        <v>0.955131381577629</v>
      </c>
      <c r="D119" s="3">
        <f t="shared" si="207"/>
        <v>0.95208237834357168</v>
      </c>
      <c r="E119" s="3">
        <f t="shared" si="207"/>
        <v>0.94988548014004515</v>
      </c>
      <c r="F119" s="3">
        <f t="shared" si="207"/>
        <v>0.95056593820528656</v>
      </c>
      <c r="G119" s="3">
        <f t="shared" si="207"/>
        <v>0.95323800453006768</v>
      </c>
      <c r="H119" s="3">
        <f t="shared" si="207"/>
        <v>0.95636638290967491</v>
      </c>
      <c r="I119" s="3">
        <f t="shared" si="207"/>
        <v>0.9547770510403899</v>
      </c>
      <c r="J119" s="3">
        <f t="shared" si="207"/>
        <v>0.95366964747345673</v>
      </c>
      <c r="K119" s="3">
        <f t="shared" ref="K119" si="208">46/((K89+K93)+46)</f>
        <v>0.94988298346345645</v>
      </c>
      <c r="L119" s="3">
        <f t="shared" ref="L119:S119" si="209">46/((L89+L93)+46)</f>
        <v>0.93593239185479005</v>
      </c>
      <c r="M119" s="3">
        <f t="shared" si="209"/>
        <v>0.93992521448620603</v>
      </c>
      <c r="N119" s="3">
        <f t="shared" si="209"/>
        <v>0.95761902905952578</v>
      </c>
      <c r="O119" s="3">
        <f t="shared" si="209"/>
        <v>0.95934564308836445</v>
      </c>
      <c r="P119" s="3">
        <f t="shared" si="209"/>
        <v>0.96342297840870872</v>
      </c>
      <c r="Q119" s="3">
        <f t="shared" si="209"/>
        <v>0.95552903163756109</v>
      </c>
      <c r="R119" s="3">
        <f t="shared" si="209"/>
        <v>0.96183103495889355</v>
      </c>
      <c r="S119" s="3">
        <f t="shared" si="209"/>
        <v>0.98072586121500993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x14ac:dyDescent="0.3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5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5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1:58" s="27" customFormat="1" x14ac:dyDescent="0.3">
      <c r="A121" s="27">
        <f>((2/3)*MIN(A108:A112)+(1/3)*MAX(A115:A119))</f>
        <v>0.99196126405900342</v>
      </c>
      <c r="C121" s="27">
        <f>((2/3)*MIN(C108:C112)+(1/3)*MAX(C115:C119))</f>
        <v>0.99375639563885543</v>
      </c>
      <c r="D121" s="27">
        <f t="shared" ref="D121:J121" si="210">((2/3)*MIN(D108:D112)+(1/3)*MAX(D115:D119))</f>
        <v>0.99575701605084488</v>
      </c>
      <c r="E121" s="27">
        <f t="shared" si="210"/>
        <v>0.99295824573858971</v>
      </c>
      <c r="F121" s="27">
        <f t="shared" si="210"/>
        <v>0.99635111344246396</v>
      </c>
      <c r="G121" s="27">
        <f t="shared" si="210"/>
        <v>0.99379070052993512</v>
      </c>
      <c r="H121" s="27">
        <f t="shared" si="210"/>
        <v>0.99436735420456468</v>
      </c>
      <c r="I121" s="27">
        <f t="shared" si="210"/>
        <v>0.99528248124180918</v>
      </c>
      <c r="J121" s="27">
        <f t="shared" si="210"/>
        <v>0.99019631816380405</v>
      </c>
      <c r="K121" s="27">
        <f t="shared" ref="K121" si="211">((2/3)*MIN(K108:K112)+(1/3)*MAX(K115:K119))</f>
        <v>0.99304856808936925</v>
      </c>
      <c r="L121" s="27">
        <f t="shared" ref="L121:S121" si="212">((2/3)*MIN(L108:L112)+(1/3)*MAX(L115:L119))</f>
        <v>0.98715398160805268</v>
      </c>
      <c r="M121" s="27">
        <f t="shared" si="212"/>
        <v>0.99482554881424212</v>
      </c>
      <c r="N121" s="27">
        <f t="shared" si="212"/>
        <v>0.99358569165938326</v>
      </c>
      <c r="O121" s="27">
        <f t="shared" si="212"/>
        <v>0.99400705478914864</v>
      </c>
      <c r="P121" s="27">
        <f t="shared" si="212"/>
        <v>0.99448338581945461</v>
      </c>
      <c r="Q121" s="27">
        <f t="shared" si="212"/>
        <v>0.99025958257955216</v>
      </c>
      <c r="R121" s="27">
        <f t="shared" si="212"/>
        <v>0.98916629467402162</v>
      </c>
      <c r="S121" s="27">
        <f t="shared" si="212"/>
        <v>0.99796228197589643</v>
      </c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</row>
    <row r="122" spans="1:58" x14ac:dyDescent="0.3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5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5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1:58" x14ac:dyDescent="0.3">
      <c r="B123" s="8" t="s">
        <v>36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5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5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x14ac:dyDescent="0.3">
      <c r="A124" s="3">
        <f>A57*A121</f>
        <v>0</v>
      </c>
      <c r="B124" s="1" t="s">
        <v>28</v>
      </c>
      <c r="C124" s="3">
        <f>C57*C121</f>
        <v>7.3508443996223587</v>
      </c>
      <c r="D124" s="3">
        <f t="shared" ref="D124:J124" si="213">D57*D121</f>
        <v>7.289745738028194</v>
      </c>
      <c r="E124" s="3">
        <f t="shared" si="213"/>
        <v>6.6314557335495383</v>
      </c>
      <c r="F124" s="3">
        <f t="shared" si="213"/>
        <v>6.507174374066885</v>
      </c>
      <c r="G124" s="3">
        <f t="shared" si="213"/>
        <v>6.1935713834818324</v>
      </c>
      <c r="H124" s="3">
        <f t="shared" si="213"/>
        <v>6.1943116080503549</v>
      </c>
      <c r="I124" s="3">
        <f t="shared" si="213"/>
        <v>7.4458903038826465</v>
      </c>
      <c r="J124" s="3">
        <f t="shared" si="213"/>
        <v>7.1459757072102947</v>
      </c>
      <c r="K124" s="3">
        <f t="shared" ref="K124" si="214">K57*K121</f>
        <v>7.3592289082623772</v>
      </c>
      <c r="L124" s="3">
        <f t="shared" ref="L124:S124" si="215">L57*L121</f>
        <v>6.70048053487149</v>
      </c>
      <c r="M124" s="3">
        <f t="shared" si="215"/>
        <v>6.7981658470697406</v>
      </c>
      <c r="N124" s="3">
        <f t="shared" si="215"/>
        <v>6.9055949262620455</v>
      </c>
      <c r="O124" s="3">
        <f t="shared" si="215"/>
        <v>6.7799826491829549</v>
      </c>
      <c r="P124" s="3">
        <f t="shared" si="215"/>
        <v>7.6224553888107982</v>
      </c>
      <c r="Q124" s="3">
        <f t="shared" si="215"/>
        <v>7.2545245641645408</v>
      </c>
      <c r="R124" s="3">
        <f t="shared" si="215"/>
        <v>6.5814514252422525</v>
      </c>
      <c r="S124" s="3">
        <f t="shared" si="215"/>
        <v>7.4682212947896689</v>
      </c>
      <c r="T124" s="3"/>
      <c r="U124" s="3"/>
      <c r="V124" s="3"/>
      <c r="W124" s="3"/>
      <c r="X124" s="3"/>
      <c r="Y124" s="3"/>
      <c r="Z124" s="6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6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1:58" x14ac:dyDescent="0.3">
      <c r="B125" s="1" t="s">
        <v>24</v>
      </c>
      <c r="C125" s="3">
        <f>C58*C121</f>
        <v>7.4032805160287929E-2</v>
      </c>
      <c r="D125" s="3">
        <f t="shared" ref="D125:J125" si="216">D58*D121</f>
        <v>0.10305248334155322</v>
      </c>
      <c r="E125" s="3">
        <f t="shared" si="216"/>
        <v>0.1593401173658098</v>
      </c>
      <c r="F125" s="3">
        <f t="shared" si="216"/>
        <v>0.13816466451456791</v>
      </c>
      <c r="G125" s="3">
        <f t="shared" si="216"/>
        <v>0.34526181472362177</v>
      </c>
      <c r="H125" s="3">
        <f t="shared" si="216"/>
        <v>0.31603913585344623</v>
      </c>
      <c r="I125" s="3">
        <f t="shared" si="216"/>
        <v>6.7639217410417521E-2</v>
      </c>
      <c r="J125" s="3">
        <f t="shared" si="216"/>
        <v>7.1712867161257035E-2</v>
      </c>
      <c r="K125" s="3">
        <f t="shared" ref="K125" si="217">K58*K121</f>
        <v>5.9162095353431983E-2</v>
      </c>
      <c r="L125" s="3">
        <f t="shared" ref="L125:S125" si="218">L58*L121</f>
        <v>7.4540087986113626E-2</v>
      </c>
      <c r="M125" s="3">
        <f t="shared" si="218"/>
        <v>9.2889959991036136E-2</v>
      </c>
      <c r="N125" s="3">
        <f t="shared" si="218"/>
        <v>0.1158466336826883</v>
      </c>
      <c r="O125" s="3">
        <f t="shared" si="218"/>
        <v>0.14966973620176133</v>
      </c>
      <c r="P125" s="3">
        <f t="shared" si="218"/>
        <v>2.6767320482940893E-2</v>
      </c>
      <c r="Q125" s="3">
        <f t="shared" si="218"/>
        <v>7.3126726070864581E-2</v>
      </c>
      <c r="R125" s="3">
        <f t="shared" si="218"/>
        <v>0.21155142952484191</v>
      </c>
      <c r="S125" s="3">
        <f t="shared" si="218"/>
        <v>0.10316205615314827</v>
      </c>
      <c r="T125" s="3"/>
      <c r="U125" s="3"/>
      <c r="V125" s="3"/>
      <c r="W125" s="3"/>
      <c r="X125" s="3"/>
      <c r="Y125" s="3"/>
      <c r="Z125" s="6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6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x14ac:dyDescent="0.3">
      <c r="B126" s="1" t="s">
        <v>34</v>
      </c>
      <c r="C126" s="3">
        <f>C59*C121</f>
        <v>0.74619805772298031</v>
      </c>
      <c r="D126" s="3">
        <f t="shared" ref="D126:J126" si="219">D59*D121</f>
        <v>0.83572889498207759</v>
      </c>
      <c r="E126" s="3">
        <f t="shared" si="219"/>
        <v>1.6998268872736764</v>
      </c>
      <c r="F126" s="3">
        <f t="shared" si="219"/>
        <v>2.3298573086404923</v>
      </c>
      <c r="G126" s="3">
        <f t="shared" si="219"/>
        <v>2.1870277295825375</v>
      </c>
      <c r="H126" s="3">
        <f t="shared" si="219"/>
        <v>2.2990775886657886</v>
      </c>
      <c r="I126" s="3">
        <f t="shared" si="219"/>
        <v>0.66889339883509136</v>
      </c>
      <c r="J126" s="3">
        <f t="shared" si="219"/>
        <v>1.0614011218068986</v>
      </c>
      <c r="K126" s="3">
        <f t="shared" ref="K126" si="220">K59*K121</f>
        <v>0.78705962196162493</v>
      </c>
      <c r="L126" s="3">
        <f t="shared" ref="L126:S126" si="221">L59*L121</f>
        <v>1.7662716718870173</v>
      </c>
      <c r="M126" s="3">
        <f t="shared" si="221"/>
        <v>1.7914568691959516</v>
      </c>
      <c r="N126" s="3">
        <f t="shared" si="221"/>
        <v>1.4279125413943254</v>
      </c>
      <c r="O126" s="3">
        <f t="shared" si="221"/>
        <v>1.6502558135565399</v>
      </c>
      <c r="P126" s="3">
        <f t="shared" si="221"/>
        <v>0.27345126440189199</v>
      </c>
      <c r="Q126" s="3">
        <f t="shared" si="221"/>
        <v>0.88711625319183285</v>
      </c>
      <c r="R126" s="3">
        <f t="shared" si="221"/>
        <v>1.610733980466398</v>
      </c>
      <c r="S126" s="3">
        <f t="shared" si="221"/>
        <v>0.66655453574344026</v>
      </c>
      <c r="T126" s="3"/>
      <c r="U126" s="3"/>
      <c r="V126" s="3"/>
      <c r="W126" s="3"/>
      <c r="X126" s="3"/>
      <c r="Y126" s="3"/>
      <c r="Z126" s="6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6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1:58" x14ac:dyDescent="0.3">
      <c r="B127" s="1" t="s">
        <v>22</v>
      </c>
      <c r="C127" s="3">
        <f t="shared" ref="C127:J127" si="222">C60*C121</f>
        <v>0</v>
      </c>
      <c r="D127" s="3">
        <f t="shared" si="222"/>
        <v>1.1902553771339862E-3</v>
      </c>
      <c r="E127" s="3">
        <f t="shared" si="222"/>
        <v>0</v>
      </c>
      <c r="F127" s="3">
        <f t="shared" si="222"/>
        <v>0</v>
      </c>
      <c r="G127" s="3">
        <f t="shared" si="222"/>
        <v>5.9685392236001463E-3</v>
      </c>
      <c r="H127" s="3">
        <f t="shared" si="222"/>
        <v>0</v>
      </c>
      <c r="I127" s="3">
        <f t="shared" si="222"/>
        <v>0</v>
      </c>
      <c r="J127" s="3">
        <f t="shared" si="222"/>
        <v>0</v>
      </c>
      <c r="K127" s="3">
        <f t="shared" ref="K127" si="223">K60*K121</f>
        <v>0</v>
      </c>
      <c r="L127" s="3">
        <f t="shared" ref="L127:S127" si="224">L60*L121</f>
        <v>0</v>
      </c>
      <c r="M127" s="3">
        <f t="shared" si="224"/>
        <v>4.8213296977684984E-3</v>
      </c>
      <c r="N127" s="3">
        <f t="shared" si="224"/>
        <v>0</v>
      </c>
      <c r="O127" s="3">
        <f t="shared" si="224"/>
        <v>0</v>
      </c>
      <c r="P127" s="3">
        <f t="shared" si="224"/>
        <v>0</v>
      </c>
      <c r="Q127" s="3">
        <f t="shared" si="224"/>
        <v>5.8227116230895725E-3</v>
      </c>
      <c r="R127" s="3">
        <f t="shared" si="224"/>
        <v>0</v>
      </c>
      <c r="S127" s="3">
        <f t="shared" si="224"/>
        <v>1.1178186159266511E-3</v>
      </c>
      <c r="T127" s="3"/>
      <c r="U127" s="3"/>
      <c r="V127" s="3"/>
      <c r="W127" s="3"/>
      <c r="X127" s="3"/>
      <c r="Y127" s="3"/>
      <c r="Z127" s="6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6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x14ac:dyDescent="0.3">
      <c r="B128" s="1" t="s">
        <v>33</v>
      </c>
      <c r="C128" s="3">
        <f t="shared" ref="C128:J128" si="225">C61*C121</f>
        <v>2.1474217678460605</v>
      </c>
      <c r="D128" s="3">
        <f t="shared" si="225"/>
        <v>2.3053237996423062</v>
      </c>
      <c r="E128" s="3">
        <f t="shared" si="225"/>
        <v>2.4098007931087122</v>
      </c>
      <c r="F128" s="3">
        <f t="shared" si="225"/>
        <v>2.3834952468320307</v>
      </c>
      <c r="G128" s="3">
        <f t="shared" si="225"/>
        <v>2.242561938055514</v>
      </c>
      <c r="H128" s="3">
        <f t="shared" si="225"/>
        <v>2.0868998295715415</v>
      </c>
      <c r="I128" s="3">
        <f t="shared" si="225"/>
        <v>2.1685083494886666</v>
      </c>
      <c r="J128" s="3">
        <f t="shared" si="225"/>
        <v>2.2128235413357711</v>
      </c>
      <c r="K128" s="3">
        <f t="shared" ref="K128" si="226">K61*K121</f>
        <v>2.410146396185294</v>
      </c>
      <c r="L128" s="3">
        <f t="shared" ref="L128:S128" si="227">L61*L121</f>
        <v>3.108399037217211</v>
      </c>
      <c r="M128" s="3">
        <f t="shared" si="227"/>
        <v>2.924850621292288</v>
      </c>
      <c r="N128" s="3">
        <f t="shared" si="227"/>
        <v>2.0227457393535282</v>
      </c>
      <c r="O128" s="3">
        <f t="shared" si="227"/>
        <v>1.937667640421586</v>
      </c>
      <c r="P128" s="3">
        <f t="shared" si="227"/>
        <v>1.7367875690773684</v>
      </c>
      <c r="Q128" s="3">
        <f t="shared" si="227"/>
        <v>2.1200181794928921</v>
      </c>
      <c r="R128" s="3">
        <f t="shared" si="227"/>
        <v>1.8056714828835705</v>
      </c>
      <c r="S128" s="3">
        <f t="shared" si="227"/>
        <v>0.90219270964600973</v>
      </c>
      <c r="T128" s="3"/>
      <c r="U128" s="3"/>
      <c r="V128" s="3"/>
      <c r="W128" s="3"/>
      <c r="X128" s="3"/>
      <c r="Y128" s="3"/>
      <c r="Z128" s="6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6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2:58" x14ac:dyDescent="0.3">
      <c r="B129" s="1" t="s">
        <v>17</v>
      </c>
      <c r="C129" s="3">
        <f t="shared" ref="C129:J129" si="228">C62*C121</f>
        <v>5.4746673053240526E-2</v>
      </c>
      <c r="D129" s="3">
        <f t="shared" si="228"/>
        <v>4.7181793621099005E-2</v>
      </c>
      <c r="E129" s="3">
        <f t="shared" si="228"/>
        <v>4.4537898119426558E-2</v>
      </c>
      <c r="F129" s="3">
        <f t="shared" si="228"/>
        <v>3.9532520340130196E-2</v>
      </c>
      <c r="G129" s="3">
        <f t="shared" si="228"/>
        <v>3.452982541342553E-2</v>
      </c>
      <c r="H129" s="3">
        <f t="shared" si="228"/>
        <v>2.7961545241043467E-2</v>
      </c>
      <c r="I129" s="3">
        <f t="shared" si="228"/>
        <v>4.994412208561113E-2</v>
      </c>
      <c r="J129" s="3">
        <f t="shared" si="228"/>
        <v>6.3359181607521589E-2</v>
      </c>
      <c r="K129" s="3">
        <f t="shared" ref="K129" si="229">K62*K121</f>
        <v>7.5417925276785175E-2</v>
      </c>
      <c r="L129" s="3">
        <f t="shared" ref="L129:S129" si="230">L62*L121</f>
        <v>8.3935475315949581E-2</v>
      </c>
      <c r="M129" s="3">
        <f t="shared" si="230"/>
        <v>8.7810878635031162E-2</v>
      </c>
      <c r="N129" s="3">
        <f t="shared" si="230"/>
        <v>4.845229797818619E-2</v>
      </c>
      <c r="O129" s="3">
        <f t="shared" si="230"/>
        <v>4.4942619156725296E-2</v>
      </c>
      <c r="P129" s="3">
        <f t="shared" si="230"/>
        <v>6.2693697888097241E-2</v>
      </c>
      <c r="Q129" s="3">
        <f t="shared" si="230"/>
        <v>9.9810868533984812E-2</v>
      </c>
      <c r="R129" s="3">
        <f t="shared" si="230"/>
        <v>3.349917818470495E-2</v>
      </c>
      <c r="S129" s="3">
        <f t="shared" si="230"/>
        <v>1.437093928153732E-2</v>
      </c>
      <c r="T129" s="3"/>
      <c r="U129" s="3"/>
      <c r="V129" s="3"/>
      <c r="W129" s="3"/>
      <c r="X129" s="3"/>
      <c r="Y129" s="3"/>
      <c r="Z129" s="6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6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2:58" x14ac:dyDescent="0.3">
      <c r="B130" s="1" t="s">
        <v>19</v>
      </c>
      <c r="C130" s="3">
        <f t="shared" ref="C130:J130" si="231">C63*C121</f>
        <v>2.7768199951762931</v>
      </c>
      <c r="D130" s="3">
        <f t="shared" si="231"/>
        <v>2.5608361124419163</v>
      </c>
      <c r="E130" s="3">
        <f t="shared" si="231"/>
        <v>2.2486341629047293</v>
      </c>
      <c r="F130" s="3">
        <f t="shared" si="231"/>
        <v>1.7372294717042509</v>
      </c>
      <c r="G130" s="3">
        <f t="shared" si="231"/>
        <v>2.1901147857652541</v>
      </c>
      <c r="H130" s="3">
        <f t="shared" si="231"/>
        <v>2.2526378468325099</v>
      </c>
      <c r="I130" s="3">
        <f t="shared" si="231"/>
        <v>2.78874903398175</v>
      </c>
      <c r="J130" s="3">
        <f t="shared" si="231"/>
        <v>2.567029729135252</v>
      </c>
      <c r="K130" s="3">
        <f t="shared" ref="K130" si="232">K63*K121</f>
        <v>2.6304412336158491</v>
      </c>
      <c r="L130" s="3">
        <f t="shared" ref="L130:S130" si="233">L63*L121</f>
        <v>1.468209852264827</v>
      </c>
      <c r="M130" s="3">
        <f t="shared" si="233"/>
        <v>1.4614158104763675</v>
      </c>
      <c r="N130" s="3">
        <f t="shared" si="233"/>
        <v>2.6742354895992353</v>
      </c>
      <c r="O130" s="3">
        <f t="shared" si="233"/>
        <v>2.6410934247385049</v>
      </c>
      <c r="P130" s="3">
        <f t="shared" si="233"/>
        <v>3.6965119316225041</v>
      </c>
      <c r="Q130" s="3">
        <f t="shared" si="233"/>
        <v>2.7536504054871962</v>
      </c>
      <c r="R130" s="3">
        <f t="shared" si="233"/>
        <v>3.0091443729092027</v>
      </c>
      <c r="S130" s="3">
        <f t="shared" si="233"/>
        <v>3.9120581247688486</v>
      </c>
      <c r="T130" s="3"/>
      <c r="U130" s="3"/>
      <c r="V130" s="3"/>
      <c r="W130" s="3"/>
      <c r="X130" s="3"/>
      <c r="Y130" s="3"/>
      <c r="Z130" s="6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6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2:58" x14ac:dyDescent="0.3">
      <c r="B131" s="1" t="s">
        <v>16</v>
      </c>
      <c r="C131" s="3">
        <f t="shared" ref="C131:J131" si="234">C64*C121</f>
        <v>1.7407972505225573</v>
      </c>
      <c r="D131" s="3">
        <f t="shared" si="234"/>
        <v>1.7550505395469438</v>
      </c>
      <c r="E131" s="3">
        <f t="shared" si="234"/>
        <v>1.6773257003745272</v>
      </c>
      <c r="F131" s="3">
        <f t="shared" si="234"/>
        <v>1.6615677079023532</v>
      </c>
      <c r="G131" s="3">
        <f t="shared" si="234"/>
        <v>1.6517502063354736</v>
      </c>
      <c r="H131" s="3">
        <f t="shared" si="234"/>
        <v>1.6527973631668369</v>
      </c>
      <c r="I131" s="3">
        <f t="shared" si="234"/>
        <v>1.6947752905630191</v>
      </c>
      <c r="J131" s="3">
        <f t="shared" si="234"/>
        <v>1.7805628257380806</v>
      </c>
      <c r="K131" s="3">
        <f t="shared" ref="K131" si="235">K64*K121</f>
        <v>1.5518907963333484</v>
      </c>
      <c r="L131" s="3">
        <f t="shared" ref="L131:S131" si="236">L64*L121</f>
        <v>1.6482055530521416</v>
      </c>
      <c r="M131" s="3">
        <f t="shared" si="236"/>
        <v>1.7086735781884816</v>
      </c>
      <c r="N131" s="3">
        <f t="shared" si="236"/>
        <v>1.6737376653021494</v>
      </c>
      <c r="O131" s="3">
        <f t="shared" si="236"/>
        <v>1.6155467158378398</v>
      </c>
      <c r="P131" s="3">
        <f t="shared" si="236"/>
        <v>1.6181692212518386</v>
      </c>
      <c r="Q131" s="3">
        <f t="shared" si="236"/>
        <v>1.6634757261632009</v>
      </c>
      <c r="R131" s="3">
        <f t="shared" si="236"/>
        <v>1.5914622922710349</v>
      </c>
      <c r="S131" s="3">
        <f t="shared" si="236"/>
        <v>1.8345774915548105</v>
      </c>
      <c r="T131" s="3"/>
      <c r="U131" s="3"/>
      <c r="V131" s="3"/>
      <c r="W131" s="3"/>
      <c r="X131" s="3"/>
      <c r="Y131" s="3"/>
      <c r="Z131" s="6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6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2:58" x14ac:dyDescent="0.3">
      <c r="B132" s="1" t="s">
        <v>14</v>
      </c>
      <c r="C132" s="3">
        <f t="shared" ref="C132:J132" si="237">C65*C121</f>
        <v>0.26203233902161643</v>
      </c>
      <c r="D132" s="3">
        <f t="shared" si="237"/>
        <v>0.29773843737462397</v>
      </c>
      <c r="E132" s="3">
        <f t="shared" si="237"/>
        <v>0.45732330768969154</v>
      </c>
      <c r="F132" s="3">
        <f t="shared" si="237"/>
        <v>0.44662831271462555</v>
      </c>
      <c r="G132" s="3">
        <f t="shared" si="237"/>
        <v>0.55914699601243123</v>
      </c>
      <c r="H132" s="3">
        <f t="shared" si="237"/>
        <v>0.57023854400472374</v>
      </c>
      <c r="I132" s="3">
        <f t="shared" si="237"/>
        <v>0.24865984307480399</v>
      </c>
      <c r="J132" s="3">
        <f t="shared" si="237"/>
        <v>0.17916036672244109</v>
      </c>
      <c r="K132" s="3">
        <f t="shared" ref="K132" si="238">K65*K121</f>
        <v>0.23018410348562493</v>
      </c>
      <c r="L132" s="3">
        <f t="shared" ref="L132:S132" si="239">L65*L121</f>
        <v>0.28376932094960683</v>
      </c>
      <c r="M132" s="3">
        <f t="shared" si="239"/>
        <v>0.29559795174944847</v>
      </c>
      <c r="N132" s="3">
        <f t="shared" si="239"/>
        <v>0.38108037261224759</v>
      </c>
      <c r="O132" s="3">
        <f t="shared" si="239"/>
        <v>0.44294477833646356</v>
      </c>
      <c r="P132" s="3">
        <f t="shared" si="239"/>
        <v>6.0716291081823338E-2</v>
      </c>
      <c r="Q132" s="3">
        <f t="shared" si="239"/>
        <v>0.22847560981655199</v>
      </c>
      <c r="R132" s="3">
        <f t="shared" si="239"/>
        <v>0.52257691671515849</v>
      </c>
      <c r="S132" s="3">
        <f t="shared" si="239"/>
        <v>0.20834328672496627</v>
      </c>
      <c r="T132" s="3"/>
      <c r="U132" s="3"/>
      <c r="V132" s="3"/>
      <c r="W132" s="3"/>
      <c r="X132" s="3"/>
      <c r="Y132" s="3"/>
      <c r="Z132" s="6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6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2:58" x14ac:dyDescent="0.3">
      <c r="B133" s="1" t="s">
        <v>13</v>
      </c>
      <c r="C133" s="3">
        <f t="shared" ref="C133:J133" si="240">C66*C121</f>
        <v>7.3087494869911354E-2</v>
      </c>
      <c r="D133" s="3">
        <f t="shared" si="240"/>
        <v>8.8349473903091474E-2</v>
      </c>
      <c r="E133" s="3">
        <f t="shared" si="240"/>
        <v>0.19549482178823227</v>
      </c>
      <c r="F133" s="3">
        <f t="shared" si="240"/>
        <v>0.17094493183389112</v>
      </c>
      <c r="G133" s="3">
        <f t="shared" si="240"/>
        <v>0.18299011798500758</v>
      </c>
      <c r="H133" s="3">
        <f t="shared" si="240"/>
        <v>0.19143083816882026</v>
      </c>
      <c r="I133" s="3">
        <f t="shared" si="240"/>
        <v>6.9582420132796211E-2</v>
      </c>
      <c r="J133" s="3">
        <f t="shared" si="240"/>
        <v>6.7362050272401663E-2</v>
      </c>
      <c r="K133" s="3">
        <f t="shared" ref="K133" si="241">K66*K121</f>
        <v>7.9514445454697963E-2</v>
      </c>
      <c r="L133" s="3">
        <f t="shared" ref="L133:S133" si="242">L66*L121</f>
        <v>0.10891649022908363</v>
      </c>
      <c r="M133" s="3">
        <f t="shared" si="242"/>
        <v>0.14781769159709282</v>
      </c>
      <c r="N133" s="3">
        <f t="shared" si="242"/>
        <v>0.11601519529127489</v>
      </c>
      <c r="O133" s="3">
        <f t="shared" si="242"/>
        <v>0.13350195944658197</v>
      </c>
      <c r="P133" s="3">
        <f t="shared" si="242"/>
        <v>3.9949986552838983E-2</v>
      </c>
      <c r="Q133" s="3">
        <f t="shared" si="242"/>
        <v>6.0132774101911306E-2</v>
      </c>
      <c r="R133" s="3">
        <f t="shared" si="242"/>
        <v>9.5304625325250011E-2</v>
      </c>
      <c r="S133" s="3">
        <f t="shared" si="242"/>
        <v>8.2972686814490465E-2</v>
      </c>
      <c r="T133" s="3"/>
      <c r="U133" s="3"/>
      <c r="V133" s="3"/>
      <c r="W133" s="3"/>
      <c r="X133" s="3"/>
      <c r="Y133" s="3"/>
      <c r="Z133" s="6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6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2:58" x14ac:dyDescent="0.3">
      <c r="B134" s="1" t="s">
        <v>32</v>
      </c>
      <c r="C134" s="3">
        <f t="shared" ref="C134:J134" si="243">C67</f>
        <v>15.321643060427292</v>
      </c>
      <c r="D134" s="3">
        <f t="shared" si="243"/>
        <v>15.349324465596842</v>
      </c>
      <c r="E134" s="3">
        <f t="shared" si="243"/>
        <v>15.633829004186731</v>
      </c>
      <c r="F134" s="3">
        <f t="shared" si="243"/>
        <v>15.471046632638071</v>
      </c>
      <c r="G134" s="3">
        <f t="shared" si="243"/>
        <v>15.690349414885677</v>
      </c>
      <c r="H134" s="3">
        <f t="shared" si="243"/>
        <v>15.679712566617056</v>
      </c>
      <c r="I134" s="3">
        <f t="shared" si="243"/>
        <v>15.274700666374173</v>
      </c>
      <c r="J134" s="3">
        <f t="shared" si="243"/>
        <v>15.299377621482753</v>
      </c>
      <c r="K134" s="3">
        <f t="shared" ref="K134" si="244">K67</f>
        <v>15.28932825021972</v>
      </c>
      <c r="L134" s="3">
        <f t="shared" ref="L134:S134" si="245">L67</f>
        <v>15.441084478982056</v>
      </c>
      <c r="M134" s="3">
        <f t="shared" si="245"/>
        <v>15.393151649699545</v>
      </c>
      <c r="N134" s="3">
        <f t="shared" si="245"/>
        <v>15.464816965926332</v>
      </c>
      <c r="O134" s="3">
        <f t="shared" si="245"/>
        <v>15.488426629069261</v>
      </c>
      <c r="P134" s="3">
        <f t="shared" si="245"/>
        <v>15.221473668659426</v>
      </c>
      <c r="Q134" s="3">
        <f t="shared" si="245"/>
        <v>15.295134816258445</v>
      </c>
      <c r="R134" s="3">
        <f t="shared" si="245"/>
        <v>15.630734474851568</v>
      </c>
      <c r="S134" s="3">
        <f t="shared" si="245"/>
        <v>15.224594374459347</v>
      </c>
      <c r="T134" s="3"/>
      <c r="U134" s="3"/>
      <c r="V134" s="3"/>
      <c r="W134" s="3"/>
      <c r="X134" s="3"/>
      <c r="Y134" s="3"/>
      <c r="Z134" s="5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5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2:58" x14ac:dyDescent="0.3">
      <c r="B135" s="8" t="s">
        <v>35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5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5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2:58" x14ac:dyDescent="0.3">
      <c r="B136" s="1" t="s">
        <v>28</v>
      </c>
      <c r="C136" s="3">
        <f t="shared" ref="C136:J137" si="246">C124*2</f>
        <v>14.701688799244717</v>
      </c>
      <c r="D136" s="3">
        <f t="shared" si="246"/>
        <v>14.579491476056388</v>
      </c>
      <c r="E136" s="3">
        <f t="shared" si="246"/>
        <v>13.262911467099077</v>
      </c>
      <c r="F136" s="3">
        <f t="shared" si="246"/>
        <v>13.01434874813377</v>
      </c>
      <c r="G136" s="3">
        <f t="shared" si="246"/>
        <v>12.387142766963665</v>
      </c>
      <c r="H136" s="3">
        <f t="shared" si="246"/>
        <v>12.38862321610071</v>
      </c>
      <c r="I136" s="3">
        <f t="shared" si="246"/>
        <v>14.891780607765293</v>
      </c>
      <c r="J136" s="3">
        <f t="shared" si="246"/>
        <v>14.291951414420589</v>
      </c>
      <c r="K136" s="3">
        <f t="shared" ref="K136" si="247">K124*2</f>
        <v>14.718457816524754</v>
      </c>
      <c r="L136" s="3">
        <f t="shared" ref="L136:S136" si="248">L124*2</f>
        <v>13.40096106974298</v>
      </c>
      <c r="M136" s="3">
        <f t="shared" si="248"/>
        <v>13.596331694139481</v>
      </c>
      <c r="N136" s="3">
        <f t="shared" si="248"/>
        <v>13.811189852524091</v>
      </c>
      <c r="O136" s="3">
        <f t="shared" si="248"/>
        <v>13.55996529836591</v>
      </c>
      <c r="P136" s="3">
        <f t="shared" si="248"/>
        <v>15.244910777621596</v>
      </c>
      <c r="Q136" s="3">
        <f t="shared" si="248"/>
        <v>14.509049128329082</v>
      </c>
      <c r="R136" s="3">
        <f t="shared" si="248"/>
        <v>13.162902850484505</v>
      </c>
      <c r="S136" s="3">
        <f t="shared" si="248"/>
        <v>14.936442589579338</v>
      </c>
      <c r="T136" s="3"/>
      <c r="U136" s="3"/>
      <c r="V136" s="3"/>
      <c r="W136" s="3"/>
      <c r="X136" s="3"/>
      <c r="Y136" s="3"/>
      <c r="Z136" s="5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5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2:58" x14ac:dyDescent="0.3">
      <c r="B137" t="s">
        <v>24</v>
      </c>
      <c r="C137" s="3">
        <f t="shared" si="246"/>
        <v>0.14806561032057586</v>
      </c>
      <c r="D137" s="3">
        <f t="shared" si="246"/>
        <v>0.20610496668310643</v>
      </c>
      <c r="E137" s="3">
        <f t="shared" si="246"/>
        <v>0.3186802347316196</v>
      </c>
      <c r="F137" s="3">
        <f t="shared" si="246"/>
        <v>0.27632932902913582</v>
      </c>
      <c r="G137" s="3">
        <f t="shared" si="246"/>
        <v>0.69052362944724355</v>
      </c>
      <c r="H137" s="3">
        <f t="shared" si="246"/>
        <v>0.63207827170689246</v>
      </c>
      <c r="I137" s="3">
        <f t="shared" si="246"/>
        <v>0.13527843482083504</v>
      </c>
      <c r="J137" s="3">
        <f t="shared" si="246"/>
        <v>0.14342573432251407</v>
      </c>
      <c r="K137" s="3">
        <f t="shared" ref="K137" si="249">K125*2</f>
        <v>0.11832419070686397</v>
      </c>
      <c r="L137" s="3">
        <f t="shared" ref="L137:S137" si="250">L125*2</f>
        <v>0.14908017597222725</v>
      </c>
      <c r="M137" s="3">
        <f t="shared" si="250"/>
        <v>0.18577991998207227</v>
      </c>
      <c r="N137" s="3">
        <f t="shared" si="250"/>
        <v>0.2316932673653766</v>
      </c>
      <c r="O137" s="3">
        <f t="shared" si="250"/>
        <v>0.29933947240352266</v>
      </c>
      <c r="P137" s="3">
        <f t="shared" si="250"/>
        <v>5.3534640965881786E-2</v>
      </c>
      <c r="Q137" s="3">
        <f t="shared" si="250"/>
        <v>0.14625345214172916</v>
      </c>
      <c r="R137" s="3">
        <f t="shared" si="250"/>
        <v>0.42310285904968381</v>
      </c>
      <c r="S137" s="3">
        <f t="shared" si="250"/>
        <v>0.20632411230629655</v>
      </c>
      <c r="T137" s="3"/>
      <c r="U137" s="3"/>
      <c r="V137" s="3"/>
      <c r="W137" s="3"/>
      <c r="X137" s="3"/>
      <c r="Y137" s="3"/>
      <c r="Z137" s="5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5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2:58" x14ac:dyDescent="0.3">
      <c r="B138" t="s">
        <v>34</v>
      </c>
      <c r="C138" s="3">
        <f t="shared" ref="C138:J139" si="251">C126*1.5</f>
        <v>1.1192970865844705</v>
      </c>
      <c r="D138" s="3">
        <f t="shared" si="251"/>
        <v>1.2535933424731165</v>
      </c>
      <c r="E138" s="3">
        <f t="shared" si="251"/>
        <v>2.5497403309105144</v>
      </c>
      <c r="F138" s="3">
        <f t="shared" si="251"/>
        <v>3.4947859629607385</v>
      </c>
      <c r="G138" s="3">
        <f t="shared" si="251"/>
        <v>3.2805415943738065</v>
      </c>
      <c r="H138" s="3">
        <f t="shared" si="251"/>
        <v>3.4486163829986829</v>
      </c>
      <c r="I138" s="3">
        <f t="shared" si="251"/>
        <v>1.003340098252637</v>
      </c>
      <c r="J138" s="3">
        <f t="shared" si="251"/>
        <v>1.5921016827103478</v>
      </c>
      <c r="K138" s="3">
        <f t="shared" ref="K138" si="252">K126*1.5</f>
        <v>1.1805894329424373</v>
      </c>
      <c r="L138" s="3">
        <f t="shared" ref="L138:S138" si="253">L126*1.5</f>
        <v>2.6494075078305261</v>
      </c>
      <c r="M138" s="3">
        <f t="shared" si="253"/>
        <v>2.6871853037939273</v>
      </c>
      <c r="N138" s="3">
        <f t="shared" si="253"/>
        <v>2.1418688120914879</v>
      </c>
      <c r="O138" s="3">
        <f t="shared" si="253"/>
        <v>2.4753837203348099</v>
      </c>
      <c r="P138" s="3">
        <f t="shared" si="253"/>
        <v>0.41017689660283796</v>
      </c>
      <c r="Q138" s="3">
        <f t="shared" si="253"/>
        <v>1.3306743797877494</v>
      </c>
      <c r="R138" s="3">
        <f t="shared" si="253"/>
        <v>2.4161009706995973</v>
      </c>
      <c r="S138" s="3">
        <f t="shared" si="253"/>
        <v>0.99983180361516033</v>
      </c>
      <c r="T138" s="3"/>
      <c r="U138" s="3"/>
      <c r="V138" s="3"/>
      <c r="W138" s="3"/>
      <c r="X138" s="3"/>
      <c r="Y138" s="3"/>
      <c r="Z138" s="5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5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2:58" x14ac:dyDescent="0.3">
      <c r="B139" t="s">
        <v>22</v>
      </c>
      <c r="C139" s="3">
        <f t="shared" si="251"/>
        <v>0</v>
      </c>
      <c r="D139" s="3">
        <f t="shared" si="251"/>
        <v>1.7853830657009794E-3</v>
      </c>
      <c r="E139" s="3">
        <f t="shared" si="251"/>
        <v>0</v>
      </c>
      <c r="F139" s="3">
        <f t="shared" si="251"/>
        <v>0</v>
      </c>
      <c r="G139" s="3">
        <f t="shared" si="251"/>
        <v>8.9528088354002191E-3</v>
      </c>
      <c r="H139" s="3">
        <f t="shared" si="251"/>
        <v>0</v>
      </c>
      <c r="I139" s="3">
        <f t="shared" si="251"/>
        <v>0</v>
      </c>
      <c r="J139" s="3">
        <f t="shared" si="251"/>
        <v>0</v>
      </c>
      <c r="K139" s="3">
        <f t="shared" ref="K139" si="254">K127*1.5</f>
        <v>0</v>
      </c>
      <c r="L139" s="3">
        <f t="shared" ref="L139:S139" si="255">L127*1.5</f>
        <v>0</v>
      </c>
      <c r="M139" s="3">
        <f t="shared" si="255"/>
        <v>7.2319945466527476E-3</v>
      </c>
      <c r="N139" s="3">
        <f t="shared" si="255"/>
        <v>0</v>
      </c>
      <c r="O139" s="3">
        <f t="shared" si="255"/>
        <v>0</v>
      </c>
      <c r="P139" s="3">
        <f t="shared" si="255"/>
        <v>0</v>
      </c>
      <c r="Q139" s="3">
        <f t="shared" si="255"/>
        <v>8.7340674346343579E-3</v>
      </c>
      <c r="R139" s="3">
        <f t="shared" si="255"/>
        <v>0</v>
      </c>
      <c r="S139" s="3">
        <f t="shared" si="255"/>
        <v>1.6767279238899765E-3</v>
      </c>
      <c r="T139" s="3"/>
      <c r="U139" s="3"/>
      <c r="V139" s="3"/>
      <c r="W139" s="3"/>
      <c r="X139" s="3"/>
      <c r="Y139" s="3"/>
      <c r="Z139" s="5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5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2:58" x14ac:dyDescent="0.3">
      <c r="B140" t="s">
        <v>33</v>
      </c>
      <c r="C140" s="3">
        <f t="shared" ref="C140:J143" si="256">C128*1</f>
        <v>2.1474217678460605</v>
      </c>
      <c r="D140" s="3">
        <f t="shared" si="256"/>
        <v>2.3053237996423062</v>
      </c>
      <c r="E140" s="3">
        <f t="shared" si="256"/>
        <v>2.4098007931087122</v>
      </c>
      <c r="F140" s="3">
        <f t="shared" si="256"/>
        <v>2.3834952468320307</v>
      </c>
      <c r="G140" s="3">
        <f t="shared" si="256"/>
        <v>2.242561938055514</v>
      </c>
      <c r="H140" s="3">
        <f t="shared" si="256"/>
        <v>2.0868998295715415</v>
      </c>
      <c r="I140" s="3">
        <f t="shared" si="256"/>
        <v>2.1685083494886666</v>
      </c>
      <c r="J140" s="3">
        <f t="shared" si="256"/>
        <v>2.2128235413357711</v>
      </c>
      <c r="K140" s="3">
        <f t="shared" ref="K140" si="257">K128*1</f>
        <v>2.410146396185294</v>
      </c>
      <c r="L140" s="3">
        <f t="shared" ref="L140:S140" si="258">L128*1</f>
        <v>3.108399037217211</v>
      </c>
      <c r="M140" s="3">
        <f t="shared" si="258"/>
        <v>2.924850621292288</v>
      </c>
      <c r="N140" s="3">
        <f t="shared" si="258"/>
        <v>2.0227457393535282</v>
      </c>
      <c r="O140" s="3">
        <f t="shared" si="258"/>
        <v>1.937667640421586</v>
      </c>
      <c r="P140" s="3">
        <f t="shared" si="258"/>
        <v>1.7367875690773684</v>
      </c>
      <c r="Q140" s="3">
        <f t="shared" si="258"/>
        <v>2.1200181794928921</v>
      </c>
      <c r="R140" s="3">
        <f t="shared" si="258"/>
        <v>1.8056714828835705</v>
      </c>
      <c r="S140" s="3">
        <f t="shared" si="258"/>
        <v>0.90219270964600973</v>
      </c>
      <c r="T140" s="3"/>
      <c r="U140" s="3"/>
      <c r="V140" s="3"/>
      <c r="W140" s="3"/>
      <c r="X140" s="3"/>
      <c r="Y140" s="3"/>
      <c r="Z140" s="5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5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2:58" x14ac:dyDescent="0.3">
      <c r="B141" t="s">
        <v>17</v>
      </c>
      <c r="C141" s="3">
        <f t="shared" si="256"/>
        <v>5.4746673053240526E-2</v>
      </c>
      <c r="D141" s="3">
        <f t="shared" si="256"/>
        <v>4.7181793621099005E-2</v>
      </c>
      <c r="E141" s="3">
        <f t="shared" si="256"/>
        <v>4.4537898119426558E-2</v>
      </c>
      <c r="F141" s="3">
        <f t="shared" si="256"/>
        <v>3.9532520340130196E-2</v>
      </c>
      <c r="G141" s="3">
        <f t="shared" si="256"/>
        <v>3.452982541342553E-2</v>
      </c>
      <c r="H141" s="3">
        <f t="shared" si="256"/>
        <v>2.7961545241043467E-2</v>
      </c>
      <c r="I141" s="3">
        <f t="shared" si="256"/>
        <v>4.994412208561113E-2</v>
      </c>
      <c r="J141" s="3">
        <f t="shared" si="256"/>
        <v>6.3359181607521589E-2</v>
      </c>
      <c r="K141" s="3">
        <f t="shared" ref="K141" si="259">K129*1</f>
        <v>7.5417925276785175E-2</v>
      </c>
      <c r="L141" s="3">
        <f t="shared" ref="L141:S141" si="260">L129*1</f>
        <v>8.3935475315949581E-2</v>
      </c>
      <c r="M141" s="3">
        <f t="shared" si="260"/>
        <v>8.7810878635031162E-2</v>
      </c>
      <c r="N141" s="3">
        <f t="shared" si="260"/>
        <v>4.845229797818619E-2</v>
      </c>
      <c r="O141" s="3">
        <f t="shared" si="260"/>
        <v>4.4942619156725296E-2</v>
      </c>
      <c r="P141" s="3">
        <f t="shared" si="260"/>
        <v>6.2693697888097241E-2</v>
      </c>
      <c r="Q141" s="3">
        <f t="shared" si="260"/>
        <v>9.9810868533984812E-2</v>
      </c>
      <c r="R141" s="3">
        <f t="shared" si="260"/>
        <v>3.349917818470495E-2</v>
      </c>
      <c r="S141" s="3">
        <f t="shared" si="260"/>
        <v>1.437093928153732E-2</v>
      </c>
      <c r="T141" s="3"/>
      <c r="U141" s="3"/>
      <c r="V141" s="3"/>
      <c r="W141" s="3"/>
      <c r="X141" s="3"/>
      <c r="Y141" s="3"/>
      <c r="Z141" s="5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5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2:58" x14ac:dyDescent="0.3">
      <c r="B142" t="s">
        <v>19</v>
      </c>
      <c r="C142" s="3">
        <f t="shared" si="256"/>
        <v>2.7768199951762931</v>
      </c>
      <c r="D142" s="3">
        <f t="shared" si="256"/>
        <v>2.5608361124419163</v>
      </c>
      <c r="E142" s="3">
        <f t="shared" si="256"/>
        <v>2.2486341629047293</v>
      </c>
      <c r="F142" s="3">
        <f t="shared" si="256"/>
        <v>1.7372294717042509</v>
      </c>
      <c r="G142" s="3">
        <f t="shared" si="256"/>
        <v>2.1901147857652541</v>
      </c>
      <c r="H142" s="3">
        <f t="shared" si="256"/>
        <v>2.2526378468325099</v>
      </c>
      <c r="I142" s="3">
        <f t="shared" si="256"/>
        <v>2.78874903398175</v>
      </c>
      <c r="J142" s="3">
        <f t="shared" si="256"/>
        <v>2.567029729135252</v>
      </c>
      <c r="K142" s="3">
        <f t="shared" ref="K142" si="261">K130*1</f>
        <v>2.6304412336158491</v>
      </c>
      <c r="L142" s="3">
        <f t="shared" ref="L142:S142" si="262">L130*1</f>
        <v>1.468209852264827</v>
      </c>
      <c r="M142" s="3">
        <f t="shared" si="262"/>
        <v>1.4614158104763675</v>
      </c>
      <c r="N142" s="3">
        <f t="shared" si="262"/>
        <v>2.6742354895992353</v>
      </c>
      <c r="O142" s="3">
        <f t="shared" si="262"/>
        <v>2.6410934247385049</v>
      </c>
      <c r="P142" s="3">
        <f t="shared" si="262"/>
        <v>3.6965119316225041</v>
      </c>
      <c r="Q142" s="3">
        <f t="shared" si="262"/>
        <v>2.7536504054871962</v>
      </c>
      <c r="R142" s="3">
        <f t="shared" si="262"/>
        <v>3.0091443729092027</v>
      </c>
      <c r="S142" s="3">
        <f t="shared" si="262"/>
        <v>3.9120581247688486</v>
      </c>
      <c r="T142" s="3"/>
      <c r="U142" s="3"/>
      <c r="V142" s="3"/>
      <c r="W142" s="3"/>
      <c r="X142" s="3"/>
      <c r="Y142" s="3"/>
      <c r="Z142" s="5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5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2:58" x14ac:dyDescent="0.3">
      <c r="B143" t="s">
        <v>16</v>
      </c>
      <c r="C143" s="3">
        <f t="shared" si="256"/>
        <v>1.7407972505225573</v>
      </c>
      <c r="D143" s="3">
        <f t="shared" si="256"/>
        <v>1.7550505395469438</v>
      </c>
      <c r="E143" s="3">
        <f t="shared" si="256"/>
        <v>1.6773257003745272</v>
      </c>
      <c r="F143" s="3">
        <f t="shared" si="256"/>
        <v>1.6615677079023532</v>
      </c>
      <c r="G143" s="3">
        <f t="shared" si="256"/>
        <v>1.6517502063354736</v>
      </c>
      <c r="H143" s="3">
        <f t="shared" si="256"/>
        <v>1.6527973631668369</v>
      </c>
      <c r="I143" s="3">
        <f t="shared" si="256"/>
        <v>1.6947752905630191</v>
      </c>
      <c r="J143" s="3">
        <f t="shared" si="256"/>
        <v>1.7805628257380806</v>
      </c>
      <c r="K143" s="3">
        <f t="shared" ref="K143" si="263">K131*1</f>
        <v>1.5518907963333484</v>
      </c>
      <c r="L143" s="3">
        <f t="shared" ref="L143:S143" si="264">L131*1</f>
        <v>1.6482055530521416</v>
      </c>
      <c r="M143" s="3">
        <f t="shared" si="264"/>
        <v>1.7086735781884816</v>
      </c>
      <c r="N143" s="3">
        <f t="shared" si="264"/>
        <v>1.6737376653021494</v>
      </c>
      <c r="O143" s="3">
        <f t="shared" si="264"/>
        <v>1.6155467158378398</v>
      </c>
      <c r="P143" s="3">
        <f t="shared" si="264"/>
        <v>1.6181692212518386</v>
      </c>
      <c r="Q143" s="3">
        <f t="shared" si="264"/>
        <v>1.6634757261632009</v>
      </c>
      <c r="R143" s="3">
        <f t="shared" si="264"/>
        <v>1.5914622922710349</v>
      </c>
      <c r="S143" s="3">
        <f t="shared" si="264"/>
        <v>1.8345774915548105</v>
      </c>
      <c r="T143" s="3"/>
      <c r="U143" s="3"/>
      <c r="V143" s="3"/>
      <c r="W143" s="3"/>
      <c r="X143" s="3"/>
      <c r="Y143" s="3"/>
      <c r="Z143" s="5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5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2:58" x14ac:dyDescent="0.3">
      <c r="B144" t="s">
        <v>14</v>
      </c>
      <c r="C144" s="3">
        <f>C132*0.5</f>
        <v>0.13101616951080822</v>
      </c>
      <c r="D144" s="3">
        <f t="shared" ref="D144:J144" si="265">D132*0.5</f>
        <v>0.14886921868731198</v>
      </c>
      <c r="E144" s="3">
        <f t="shared" si="265"/>
        <v>0.22866165384484577</v>
      </c>
      <c r="F144" s="3">
        <f t="shared" si="265"/>
        <v>0.22331415635731278</v>
      </c>
      <c r="G144" s="3">
        <f t="shared" si="265"/>
        <v>0.27957349800621561</v>
      </c>
      <c r="H144" s="3">
        <f t="shared" si="265"/>
        <v>0.28511927200236187</v>
      </c>
      <c r="I144" s="3">
        <f t="shared" si="265"/>
        <v>0.12432992153740199</v>
      </c>
      <c r="J144" s="3">
        <f t="shared" si="265"/>
        <v>8.9580183361220547E-2</v>
      </c>
      <c r="K144" s="3">
        <f t="shared" ref="K144" si="266">K132*0.5</f>
        <v>0.11509205174281247</v>
      </c>
      <c r="L144" s="3">
        <f t="shared" ref="L144:S144" si="267">L132*0.5</f>
        <v>0.14188466047480341</v>
      </c>
      <c r="M144" s="3">
        <f t="shared" si="267"/>
        <v>0.14779897587472424</v>
      </c>
      <c r="N144" s="3">
        <f t="shared" si="267"/>
        <v>0.19054018630612379</v>
      </c>
      <c r="O144" s="3">
        <f t="shared" si="267"/>
        <v>0.22147238916823178</v>
      </c>
      <c r="P144" s="3">
        <f t="shared" si="267"/>
        <v>3.0358145540911669E-2</v>
      </c>
      <c r="Q144" s="3">
        <f t="shared" si="267"/>
        <v>0.11423780490827599</v>
      </c>
      <c r="R144" s="3">
        <f t="shared" si="267"/>
        <v>0.26128845835757925</v>
      </c>
      <c r="S144" s="3">
        <f t="shared" si="267"/>
        <v>0.10417164336248314</v>
      </c>
      <c r="T144" s="3"/>
      <c r="U144" s="3"/>
      <c r="V144" s="3"/>
      <c r="W144" s="3"/>
      <c r="X144" s="3"/>
      <c r="Y144" s="3"/>
      <c r="Z144" s="5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5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2:58" x14ac:dyDescent="0.3">
      <c r="B145" t="s">
        <v>13</v>
      </c>
      <c r="C145" s="3">
        <f t="shared" ref="C145:J145" si="268">C133*0.5</f>
        <v>3.6543747434955677E-2</v>
      </c>
      <c r="D145" s="3">
        <f t="shared" si="268"/>
        <v>4.4174736951545737E-2</v>
      </c>
      <c r="E145" s="3">
        <f t="shared" si="268"/>
        <v>9.7747410894116135E-2</v>
      </c>
      <c r="F145" s="3">
        <f t="shared" si="268"/>
        <v>8.5472465916945559E-2</v>
      </c>
      <c r="G145" s="3">
        <f t="shared" si="268"/>
        <v>9.1495058992503792E-2</v>
      </c>
      <c r="H145" s="3">
        <f t="shared" si="268"/>
        <v>9.5715419084410128E-2</v>
      </c>
      <c r="I145" s="3">
        <f t="shared" si="268"/>
        <v>3.4791210066398105E-2</v>
      </c>
      <c r="J145" s="3">
        <f t="shared" si="268"/>
        <v>3.3681025136200832E-2</v>
      </c>
      <c r="K145" s="3">
        <f t="shared" ref="K145" si="269">K133*0.5</f>
        <v>3.9757222727348981E-2</v>
      </c>
      <c r="L145" s="3">
        <f t="shared" ref="L145:S145" si="270">L133*0.5</f>
        <v>5.4458245114541816E-2</v>
      </c>
      <c r="M145" s="3">
        <f t="shared" si="270"/>
        <v>7.390884579854641E-2</v>
      </c>
      <c r="N145" s="3">
        <f t="shared" si="270"/>
        <v>5.8007597645637447E-2</v>
      </c>
      <c r="O145" s="3">
        <f t="shared" si="270"/>
        <v>6.6750979723290985E-2</v>
      </c>
      <c r="P145" s="3">
        <f t="shared" si="270"/>
        <v>1.9974993276419491E-2</v>
      </c>
      <c r="Q145" s="3">
        <f t="shared" si="270"/>
        <v>3.0066387050955653E-2</v>
      </c>
      <c r="R145" s="3">
        <f t="shared" si="270"/>
        <v>4.7652312662625006E-2</v>
      </c>
      <c r="S145" s="3">
        <f t="shared" si="270"/>
        <v>4.1486343407245233E-2</v>
      </c>
      <c r="T145" s="3"/>
      <c r="U145" s="3"/>
      <c r="V145" s="3"/>
      <c r="W145" s="3"/>
      <c r="X145" s="3"/>
      <c r="Y145" s="3"/>
      <c r="Z145" s="5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5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2:58" x14ac:dyDescent="0.3">
      <c r="B146" t="s">
        <v>32</v>
      </c>
      <c r="C146" s="3">
        <f t="shared" ref="C146:J146" si="271">SUM(C136:C145)</f>
        <v>22.85639709969368</v>
      </c>
      <c r="D146" s="3">
        <f t="shared" si="271"/>
        <v>22.902411369169435</v>
      </c>
      <c r="E146" s="3">
        <f t="shared" si="271"/>
        <v>22.838039651987565</v>
      </c>
      <c r="F146" s="3">
        <f t="shared" si="271"/>
        <v>22.916075609176666</v>
      </c>
      <c r="G146" s="3">
        <f t="shared" si="271"/>
        <v>22.857186112188497</v>
      </c>
      <c r="H146" s="3">
        <f t="shared" si="271"/>
        <v>22.870449146704992</v>
      </c>
      <c r="I146" s="3">
        <f t="shared" si="271"/>
        <v>22.891497068561613</v>
      </c>
      <c r="J146" s="3">
        <f t="shared" si="271"/>
        <v>22.774515317767499</v>
      </c>
      <c r="K146" s="3">
        <f t="shared" ref="K146" si="272">SUM(K136:K145)</f>
        <v>22.840117066055495</v>
      </c>
      <c r="L146" s="3">
        <f t="shared" ref="L146:S146" si="273">SUM(L136:L145)</f>
        <v>22.704541576985207</v>
      </c>
      <c r="M146" s="3">
        <f t="shared" si="273"/>
        <v>22.880987622727574</v>
      </c>
      <c r="N146" s="3">
        <f t="shared" si="273"/>
        <v>22.852470908165817</v>
      </c>
      <c r="O146" s="3">
        <f t="shared" si="273"/>
        <v>22.86216226015042</v>
      </c>
      <c r="P146" s="3">
        <f t="shared" si="273"/>
        <v>22.873117873847459</v>
      </c>
      <c r="Q146" s="3">
        <f t="shared" si="273"/>
        <v>22.775970399329701</v>
      </c>
      <c r="R146" s="3">
        <f t="shared" si="273"/>
        <v>22.750824777502505</v>
      </c>
      <c r="S146" s="3">
        <f t="shared" si="273"/>
        <v>22.953132485445618</v>
      </c>
      <c r="T146" s="3"/>
      <c r="U146" s="3"/>
      <c r="V146" s="3"/>
      <c r="W146" s="3"/>
      <c r="X146" s="3"/>
      <c r="Y146" s="3"/>
      <c r="Z146" s="5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5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2:58" x14ac:dyDescent="0.3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5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5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2:58" x14ac:dyDescent="0.3">
      <c r="B148" s="8" t="s">
        <v>31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5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5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2:58" x14ac:dyDescent="0.3">
      <c r="B149" t="s">
        <v>23</v>
      </c>
      <c r="C149" s="3">
        <f>46*(1-C121)</f>
        <v>0.28720580061265033</v>
      </c>
      <c r="D149" s="3">
        <f t="shared" ref="D149:J149" si="274">46*(1-D121)</f>
        <v>0.19517726166113558</v>
      </c>
      <c r="E149" s="3">
        <f t="shared" si="274"/>
        <v>0.3239206960248735</v>
      </c>
      <c r="F149" s="3">
        <f t="shared" si="274"/>
        <v>0.16784878164665762</v>
      </c>
      <c r="G149" s="3">
        <f t="shared" si="274"/>
        <v>0.28562777562298436</v>
      </c>
      <c r="H149" s="3">
        <f t="shared" si="274"/>
        <v>0.25910170659002474</v>
      </c>
      <c r="I149" s="3">
        <f t="shared" si="274"/>
        <v>0.2170058628767777</v>
      </c>
      <c r="J149" s="3">
        <f t="shared" si="274"/>
        <v>0.4509693644650139</v>
      </c>
      <c r="K149" s="3">
        <f t="shared" ref="K149" si="275">46*(1-K121)</f>
        <v>0.31976586788901429</v>
      </c>
      <c r="L149" s="3">
        <f t="shared" ref="L149:S149" si="276">46*(1-L121)</f>
        <v>0.59091684602957684</v>
      </c>
      <c r="M149" s="3">
        <f t="shared" si="276"/>
        <v>0.23802475454486238</v>
      </c>
      <c r="N149" s="3">
        <f t="shared" si="276"/>
        <v>0.29505818366836989</v>
      </c>
      <c r="O149" s="3">
        <f t="shared" si="276"/>
        <v>0.27567547969916273</v>
      </c>
      <c r="P149" s="3">
        <f t="shared" si="276"/>
        <v>0.25376425230508781</v>
      </c>
      <c r="Q149" s="3">
        <f t="shared" si="276"/>
        <v>0.44805920134060084</v>
      </c>
      <c r="R149" s="3">
        <f t="shared" si="276"/>
        <v>0.49835044499500558</v>
      </c>
      <c r="S149" s="3">
        <f t="shared" si="276"/>
        <v>9.3735029108764412E-2</v>
      </c>
      <c r="T149" s="3"/>
      <c r="U149" s="3"/>
      <c r="V149" s="3"/>
      <c r="W149" s="3"/>
      <c r="X149" s="3"/>
      <c r="Y149" s="3"/>
      <c r="Z149" s="5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5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2:58" x14ac:dyDescent="0.3">
      <c r="B150" t="s">
        <v>30</v>
      </c>
      <c r="C150" s="3">
        <f t="shared" ref="C150:J150" si="277">C128-C149</f>
        <v>1.8602159672334102</v>
      </c>
      <c r="D150" s="3">
        <f t="shared" si="277"/>
        <v>2.1101465379811706</v>
      </c>
      <c r="E150" s="3">
        <f t="shared" si="277"/>
        <v>2.0858800970838387</v>
      </c>
      <c r="F150" s="3">
        <f t="shared" si="277"/>
        <v>2.2156464651853733</v>
      </c>
      <c r="G150" s="3">
        <f t="shared" si="277"/>
        <v>1.9569341624325296</v>
      </c>
      <c r="H150" s="3">
        <f t="shared" si="277"/>
        <v>1.8277981229815168</v>
      </c>
      <c r="I150" s="3">
        <f t="shared" si="277"/>
        <v>1.9515024866118889</v>
      </c>
      <c r="J150" s="3">
        <f t="shared" si="277"/>
        <v>1.7618541768707572</v>
      </c>
      <c r="K150" s="3">
        <f t="shared" ref="K150" si="278">K128-K149</f>
        <v>2.0903805282962797</v>
      </c>
      <c r="L150" s="3">
        <f t="shared" ref="L150:S150" si="279">L128-L149</f>
        <v>2.5174821911876339</v>
      </c>
      <c r="M150" s="3">
        <f t="shared" si="279"/>
        <v>2.6868258667474256</v>
      </c>
      <c r="N150" s="3">
        <f t="shared" si="279"/>
        <v>1.7276875556851583</v>
      </c>
      <c r="O150" s="3">
        <f t="shared" si="279"/>
        <v>1.6619921607224233</v>
      </c>
      <c r="P150" s="3">
        <f t="shared" si="279"/>
        <v>1.4830233167722806</v>
      </c>
      <c r="Q150" s="3">
        <f t="shared" si="279"/>
        <v>1.6719589781522912</v>
      </c>
      <c r="R150" s="3">
        <f t="shared" si="279"/>
        <v>1.3073210378885649</v>
      </c>
      <c r="S150" s="3">
        <f t="shared" si="279"/>
        <v>0.80845768053724532</v>
      </c>
      <c r="T150" s="3"/>
      <c r="U150" s="3"/>
      <c r="V150" s="3"/>
      <c r="W150" s="3"/>
      <c r="X150" s="3"/>
      <c r="Y150" s="3"/>
      <c r="Z150" s="5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5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2:58" x14ac:dyDescent="0.3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5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5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2:58" x14ac:dyDescent="0.3">
      <c r="B152" s="7" t="s">
        <v>29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5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5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2:58" x14ac:dyDescent="0.3">
      <c r="B153" t="s">
        <v>28</v>
      </c>
      <c r="C153" s="1">
        <f>Table_5_From_paper!C124</f>
        <v>7.3508443996223587</v>
      </c>
      <c r="D153" s="1">
        <f>Table_5_From_paper!D124</f>
        <v>7.289745738028194</v>
      </c>
      <c r="E153" s="1">
        <f>Table_5_From_paper!E124</f>
        <v>6.6314557335495383</v>
      </c>
      <c r="F153" s="1">
        <f>Table_5_From_paper!F124</f>
        <v>6.507174374066885</v>
      </c>
      <c r="G153" s="1">
        <f>Table_5_From_paper!G124</f>
        <v>6.1935713834818324</v>
      </c>
      <c r="H153" s="1">
        <f>Table_5_From_paper!H124</f>
        <v>6.1943116080503549</v>
      </c>
      <c r="I153" s="1">
        <f>Table_5_From_paper!I124</f>
        <v>7.4458903038826465</v>
      </c>
      <c r="J153" s="1">
        <f>Table_5_From_paper!J124</f>
        <v>7.1459757072102947</v>
      </c>
      <c r="K153" s="1">
        <f>Table_5_From_paper!K124</f>
        <v>7.3592289082623772</v>
      </c>
      <c r="L153" s="1">
        <f>Table_5_From_paper!L124</f>
        <v>6.70048053487149</v>
      </c>
      <c r="M153" s="1">
        <f>Table_5_From_paper!M124</f>
        <v>6.7981658470697406</v>
      </c>
      <c r="N153" s="1">
        <f>Table_5_From_paper!N124</f>
        <v>6.9055949262620455</v>
      </c>
      <c r="O153" s="1">
        <f>Table_5_From_paper!O124</f>
        <v>6.7799826491829549</v>
      </c>
      <c r="P153" s="1">
        <f>Table_5_From_paper!P124</f>
        <v>7.6224553888107982</v>
      </c>
      <c r="Q153" s="1">
        <f>Table_5_From_paper!Q124</f>
        <v>7.2545245641645408</v>
      </c>
      <c r="R153" s="1">
        <f>Table_5_From_paper!R124</f>
        <v>6.5814514252422525</v>
      </c>
      <c r="S153" s="1">
        <f>Table_5_From_paper!S124</f>
        <v>7.4682212947896689</v>
      </c>
      <c r="T153" s="1"/>
      <c r="U153" s="1"/>
      <c r="V153" s="1"/>
      <c r="W153" s="1"/>
      <c r="X153" s="1"/>
      <c r="Y153" s="1"/>
      <c r="Z153" s="2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2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3"/>
    </row>
    <row r="154" spans="2:58" x14ac:dyDescent="0.3">
      <c r="B154" t="s">
        <v>27</v>
      </c>
      <c r="C154" s="1">
        <f>IF(C153= 8, 0, IF(C153+Table_5_From_paper!C126&gt;8, 8-C153, Table_5_From_paper!C126))</f>
        <v>0.64915560037764131</v>
      </c>
      <c r="D154" s="1">
        <f>IF(D153= 8, 0, IF(D153+Table_5_From_paper!D126&gt;8, 8-D153, Table_5_From_paper!D126))</f>
        <v>0.71025426197180597</v>
      </c>
      <c r="E154" s="1">
        <f>IF(E153= 8, 0, IF(E153+Table_5_From_paper!E126&gt;8, 8-E153, Table_5_From_paper!E126))</f>
        <v>1.3685442664504617</v>
      </c>
      <c r="F154" s="1">
        <f>IF(F153= 8, 0, IF(F153+Table_5_From_paper!F126&gt;8, 8-F153, Table_5_From_paper!F126))</f>
        <v>1.492825625933115</v>
      </c>
      <c r="G154" s="1">
        <f>IF(G153= 8, 0, IF(G153+Table_5_From_paper!G126&gt;8, 8-G153, Table_5_From_paper!G126))</f>
        <v>1.8064286165181676</v>
      </c>
      <c r="H154" s="1">
        <f>IF(H153= 8, 0, IF(H153+Table_5_From_paper!H126&gt;8, 8-H153, Table_5_From_paper!H126))</f>
        <v>1.8056883919496451</v>
      </c>
      <c r="I154" s="1">
        <f>IF(I153= 8, 0, IF(I153+Table_5_From_paper!I126&gt;8, 8-I153, Table_5_From_paper!I126))</f>
        <v>0.5541096961173535</v>
      </c>
      <c r="J154" s="1">
        <f>IF(J153= 8, 0, IF(J153+Table_5_From_paper!J126&gt;8, 8-J153, Table_5_From_paper!J126))</f>
        <v>0.85402429278970526</v>
      </c>
      <c r="K154" s="1">
        <f>IF(K153= 8, 0, IF(K153+Table_5_From_paper!K126&gt;8, 8-K153, Table_5_From_paper!K126))</f>
        <v>0.64077109173762281</v>
      </c>
      <c r="L154" s="1">
        <f>IF(L153= 8, 0, IF(L153+Table_5_From_paper!L126&gt;8, 8-L153, Table_5_From_paper!L126))</f>
        <v>1.29951946512851</v>
      </c>
      <c r="M154" s="1">
        <f>IF(M153= 8, 0, IF(M153+Table_5_From_paper!M126&gt;8, 8-M153, Table_5_From_paper!M126))</f>
        <v>1.2018341529302594</v>
      </c>
      <c r="N154" s="1">
        <f>IF(N153= 8, 0, IF(N153+Table_5_From_paper!N126&gt;8, 8-N153, Table_5_From_paper!N126))</f>
        <v>1.0944050737379545</v>
      </c>
      <c r="O154" s="1">
        <f>IF(O153= 8, 0, IF(O153+Table_5_From_paper!O126&gt;8, 8-O153, Table_5_From_paper!O126))</f>
        <v>1.2200173508170451</v>
      </c>
      <c r="P154" s="1">
        <f>IF(P153= 8, 0, IF(P153+Table_5_From_paper!P126&gt;8, 8-P153, Table_5_From_paper!P126))</f>
        <v>0.27345126440189199</v>
      </c>
      <c r="Q154" s="1">
        <f>IF(Q153= 8, 0, IF(Q153+Table_5_From_paper!Q126&gt;8, 8-Q153, Table_5_From_paper!Q126))</f>
        <v>0.74547543583545917</v>
      </c>
      <c r="R154" s="1">
        <f>IF(R153= 8, 0, IF(R153+Table_5_From_paper!R126&gt;8, 8-R153, Table_5_From_paper!R126))</f>
        <v>1.4185485747577475</v>
      </c>
      <c r="S154" s="1">
        <f>IF(S153= 8, 0, IF(S153+Table_5_From_paper!S126&gt;8, 8-S153, Table_5_From_paper!S126))</f>
        <v>0.5317787052103311</v>
      </c>
      <c r="T154" s="1"/>
      <c r="U154" s="1"/>
      <c r="V154" s="1"/>
      <c r="W154" s="1"/>
      <c r="X154" s="1"/>
      <c r="Y154" s="1"/>
      <c r="Z154" s="2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2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3"/>
    </row>
    <row r="155" spans="2:58" x14ac:dyDescent="0.3">
      <c r="B155" t="s">
        <v>26</v>
      </c>
      <c r="C155" s="1">
        <f t="shared" ref="C155:J155" si="280">SUM(C153:C154)</f>
        <v>8</v>
      </c>
      <c r="D155" s="1">
        <f t="shared" si="280"/>
        <v>8</v>
      </c>
      <c r="E155" s="1">
        <f t="shared" si="280"/>
        <v>8</v>
      </c>
      <c r="F155" s="1">
        <f t="shared" si="280"/>
        <v>8</v>
      </c>
      <c r="G155" s="1">
        <f t="shared" si="280"/>
        <v>8</v>
      </c>
      <c r="H155" s="1">
        <f t="shared" si="280"/>
        <v>8</v>
      </c>
      <c r="I155" s="1">
        <f t="shared" si="280"/>
        <v>8</v>
      </c>
      <c r="J155" s="1">
        <f t="shared" si="280"/>
        <v>8</v>
      </c>
      <c r="K155" s="1">
        <f t="shared" ref="K155" si="281">SUM(K153:K154)</f>
        <v>8</v>
      </c>
      <c r="L155" s="1">
        <f t="shared" ref="L155:S155" si="282">SUM(L153:L154)</f>
        <v>8</v>
      </c>
      <c r="M155" s="1">
        <f t="shared" si="282"/>
        <v>8</v>
      </c>
      <c r="N155" s="1">
        <f t="shared" si="282"/>
        <v>8</v>
      </c>
      <c r="O155" s="1">
        <f t="shared" si="282"/>
        <v>8</v>
      </c>
      <c r="P155" s="1">
        <f t="shared" si="282"/>
        <v>7.8959066532126903</v>
      </c>
      <c r="Q155" s="1">
        <f t="shared" si="282"/>
        <v>8</v>
      </c>
      <c r="R155" s="1">
        <f t="shared" si="282"/>
        <v>8</v>
      </c>
      <c r="S155" s="1">
        <f t="shared" si="282"/>
        <v>8</v>
      </c>
      <c r="T155" s="1"/>
      <c r="U155" s="1"/>
      <c r="V155" s="1"/>
      <c r="W155" s="1"/>
      <c r="X155" s="1"/>
      <c r="Y155" s="1"/>
      <c r="Z155" s="2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2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3"/>
    </row>
    <row r="156" spans="2:58" x14ac:dyDescent="0.3">
      <c r="B156" t="s">
        <v>25</v>
      </c>
      <c r="C156" s="1">
        <f>IF(SUM(C153,Table_5_From_paper!C126)&gt;8,Table_5_From_paper!C126-C154, 0)</f>
        <v>9.7042457345339006E-2</v>
      </c>
      <c r="D156" s="1">
        <f>IF(SUM(D153,Table_5_From_paper!D126)&gt;8,Table_5_From_paper!D126-D154, 0)</f>
        <v>0.12547463301027162</v>
      </c>
      <c r="E156" s="1">
        <f>IF(SUM(E153,Table_5_From_paper!E126)&gt;8,Table_5_From_paper!E126-E154, 0)</f>
        <v>0.33128262082321469</v>
      </c>
      <c r="F156" s="1">
        <f>IF(SUM(F153,Table_5_From_paper!F126)&gt;8,Table_5_From_paper!F126-F154, 0)</f>
        <v>0.83703168270737738</v>
      </c>
      <c r="G156" s="1">
        <f>IF(SUM(G153,Table_5_From_paper!G126)&gt;8,Table_5_From_paper!G126-G154, 0)</f>
        <v>0.38059911306437</v>
      </c>
      <c r="H156" s="1">
        <f>IF(SUM(H153,Table_5_From_paper!H126)&gt;8,Table_5_From_paper!H126-H154, 0)</f>
        <v>0.49338919671614345</v>
      </c>
      <c r="I156" s="1">
        <f>IF(SUM(I153,Table_5_From_paper!I126)&gt;8,Table_5_From_paper!I126-I154, 0)</f>
        <v>0.11478370271773786</v>
      </c>
      <c r="J156" s="1">
        <f>IF(SUM(J153,Table_5_From_paper!J126)&gt;8,Table_5_From_paper!J126-J154, 0)</f>
        <v>0.20737682901719334</v>
      </c>
      <c r="K156" s="1">
        <f>IF(SUM(K153,Table_5_From_paper!K126)&gt;8,Table_5_From_paper!K126-K154, 0)</f>
        <v>0.14628853022400212</v>
      </c>
      <c r="L156" s="1">
        <f>IF(SUM(L153,Table_5_From_paper!L126)&gt;8,Table_5_From_paper!L126-L154, 0)</f>
        <v>0.46675220675850726</v>
      </c>
      <c r="M156" s="1">
        <f>IF(SUM(M153,Table_5_From_paper!M126)&gt;8,Table_5_From_paper!M126-M154, 0)</f>
        <v>0.58962271626569218</v>
      </c>
      <c r="N156" s="1">
        <f>IF(SUM(N153,Table_5_From_paper!N126)&gt;8,Table_5_From_paper!N126-N154, 0)</f>
        <v>0.33350746765637096</v>
      </c>
      <c r="O156" s="1">
        <f>IF(SUM(O153,Table_5_From_paper!O126)&gt;8,Table_5_From_paper!O126-O154, 0)</f>
        <v>0.43023846273949484</v>
      </c>
      <c r="P156" s="1">
        <f>IF(SUM(P153,Table_5_From_paper!P126)&gt;8,Table_5_From_paper!P126-P154, 0)</f>
        <v>0</v>
      </c>
      <c r="Q156" s="1">
        <f>IF(SUM(Q153,Table_5_From_paper!Q126)&gt;8,Table_5_From_paper!Q126-Q154, 0)</f>
        <v>0.14164081735637368</v>
      </c>
      <c r="R156" s="1">
        <f>IF(SUM(R153,Table_5_From_paper!R126)&gt;8,Table_5_From_paper!R126-R154, 0)</f>
        <v>0.1921854057086505</v>
      </c>
      <c r="S156" s="1">
        <f>IF(SUM(S153,Table_5_From_paper!S126)&gt;8,Table_5_From_paper!S126-S154, 0)</f>
        <v>0.13477583053310915</v>
      </c>
      <c r="T156" s="1"/>
      <c r="U156" s="1"/>
      <c r="V156" s="1"/>
      <c r="W156" s="1"/>
      <c r="X156" s="1"/>
      <c r="Y156" s="1"/>
      <c r="Z156" s="2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2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3"/>
    </row>
    <row r="157" spans="2:58" x14ac:dyDescent="0.3">
      <c r="B157" t="s">
        <v>24</v>
      </c>
      <c r="C157" s="1">
        <f>Table_5_From_paper!C125</f>
        <v>7.4032805160287929E-2</v>
      </c>
      <c r="D157" s="1">
        <f>Table_5_From_paper!D125</f>
        <v>0.10305248334155322</v>
      </c>
      <c r="E157" s="1">
        <f>Table_5_From_paper!E125</f>
        <v>0.1593401173658098</v>
      </c>
      <c r="F157" s="1">
        <f>Table_5_From_paper!F125</f>
        <v>0.13816466451456791</v>
      </c>
      <c r="G157" s="1">
        <f>Table_5_From_paper!G125</f>
        <v>0.34526181472362177</v>
      </c>
      <c r="H157" s="1">
        <f>Table_5_From_paper!H125</f>
        <v>0.31603913585344623</v>
      </c>
      <c r="I157" s="1">
        <f>Table_5_From_paper!I125</f>
        <v>6.7639217410417521E-2</v>
      </c>
      <c r="J157" s="1">
        <f>Table_5_From_paper!J125</f>
        <v>7.1712867161257035E-2</v>
      </c>
      <c r="K157" s="1">
        <f>Table_5_From_paper!K125</f>
        <v>5.9162095353431983E-2</v>
      </c>
      <c r="L157" s="1">
        <f>Table_5_From_paper!L125</f>
        <v>7.4540087986113626E-2</v>
      </c>
      <c r="M157" s="1">
        <f>Table_5_From_paper!M125</f>
        <v>9.2889959991036136E-2</v>
      </c>
      <c r="N157" s="1">
        <f>Table_5_From_paper!N125</f>
        <v>0.1158466336826883</v>
      </c>
      <c r="O157" s="1">
        <f>Table_5_From_paper!O125</f>
        <v>0.14966973620176133</v>
      </c>
      <c r="P157" s="1">
        <f>Table_5_From_paper!P125</f>
        <v>2.6767320482940893E-2</v>
      </c>
      <c r="Q157" s="1">
        <f>Table_5_From_paper!Q125</f>
        <v>7.3126726070864581E-2</v>
      </c>
      <c r="R157" s="1">
        <f>Table_5_From_paper!R125</f>
        <v>0.21155142952484191</v>
      </c>
      <c r="S157" s="1">
        <f>Table_5_From_paper!S125</f>
        <v>0.10316205615314827</v>
      </c>
      <c r="T157" s="1"/>
      <c r="U157" s="1"/>
      <c r="V157" s="1"/>
      <c r="W157" s="1"/>
      <c r="X157" s="1"/>
      <c r="Y157" s="1"/>
      <c r="Z157" s="2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2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3"/>
    </row>
    <row r="158" spans="2:58" x14ac:dyDescent="0.3">
      <c r="B158" t="s">
        <v>23</v>
      </c>
      <c r="C158" s="1">
        <f>Table_5_From_paper!C149</f>
        <v>0.28720580061265033</v>
      </c>
      <c r="D158" s="1">
        <f>Table_5_From_paper!D149</f>
        <v>0.19517726166113558</v>
      </c>
      <c r="E158" s="1">
        <f>Table_5_From_paper!E149</f>
        <v>0.3239206960248735</v>
      </c>
      <c r="F158" s="1">
        <f>Table_5_From_paper!F149</f>
        <v>0.16784878164665762</v>
      </c>
      <c r="G158" s="1">
        <f>Table_5_From_paper!G149</f>
        <v>0.28562777562298436</v>
      </c>
      <c r="H158" s="1">
        <f>Table_5_From_paper!H149</f>
        <v>0.25910170659002474</v>
      </c>
      <c r="I158" s="1">
        <f>Table_5_From_paper!I149</f>
        <v>0.2170058628767777</v>
      </c>
      <c r="J158" s="1">
        <f>Table_5_From_paper!J149</f>
        <v>0.4509693644650139</v>
      </c>
      <c r="K158" s="1">
        <f>Table_5_From_paper!K149</f>
        <v>0.31976586788901429</v>
      </c>
      <c r="L158" s="1">
        <f>Table_5_From_paper!L149</f>
        <v>0.59091684602957684</v>
      </c>
      <c r="M158" s="1">
        <f>Table_5_From_paper!M149</f>
        <v>0.23802475454486238</v>
      </c>
      <c r="N158" s="1">
        <f>Table_5_From_paper!N149</f>
        <v>0.29505818366836989</v>
      </c>
      <c r="O158" s="1">
        <f>Table_5_From_paper!O149</f>
        <v>0.27567547969916273</v>
      </c>
      <c r="P158" s="1">
        <f>Table_5_From_paper!P149</f>
        <v>0.25376425230508781</v>
      </c>
      <c r="Q158" s="1">
        <f>Table_5_From_paper!Q149</f>
        <v>0.44805920134060084</v>
      </c>
      <c r="R158" s="1">
        <f>Table_5_From_paper!R149</f>
        <v>0.49835044499500558</v>
      </c>
      <c r="S158" s="1">
        <f>Table_5_From_paper!S149</f>
        <v>9.3735029108764412E-2</v>
      </c>
      <c r="T158" s="1"/>
      <c r="U158" s="1"/>
      <c r="V158" s="1"/>
      <c r="W158" s="1"/>
      <c r="X158" s="1"/>
      <c r="Y158" s="1"/>
      <c r="Z158" s="2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2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3"/>
    </row>
    <row r="159" spans="2:58" x14ac:dyDescent="0.3">
      <c r="B159" t="s">
        <v>22</v>
      </c>
      <c r="C159" s="1">
        <f>Table_5_From_paper!C127</f>
        <v>0</v>
      </c>
      <c r="D159" s="1">
        <f>Table_5_From_paper!D127</f>
        <v>1.1902553771339862E-3</v>
      </c>
      <c r="E159" s="1">
        <f>Table_5_From_paper!E127</f>
        <v>0</v>
      </c>
      <c r="F159" s="1">
        <f>Table_5_From_paper!F127</f>
        <v>0</v>
      </c>
      <c r="G159" s="1">
        <f>Table_5_From_paper!G127</f>
        <v>5.9685392236001463E-3</v>
      </c>
      <c r="H159" s="1">
        <f>Table_5_From_paper!H127</f>
        <v>0</v>
      </c>
      <c r="I159" s="1">
        <f>Table_5_From_paper!I127</f>
        <v>0</v>
      </c>
      <c r="J159" s="1">
        <f>Table_5_From_paper!J127</f>
        <v>0</v>
      </c>
      <c r="K159" s="1">
        <f>Table_5_From_paper!K127</f>
        <v>0</v>
      </c>
      <c r="L159" s="1">
        <f>Table_5_From_paper!L127</f>
        <v>0</v>
      </c>
      <c r="M159" s="1">
        <f>Table_5_From_paper!M127</f>
        <v>4.8213296977684984E-3</v>
      </c>
      <c r="N159" s="1">
        <f>Table_5_From_paper!N127</f>
        <v>0</v>
      </c>
      <c r="O159" s="1">
        <f>Table_5_From_paper!O127</f>
        <v>0</v>
      </c>
      <c r="P159" s="1">
        <f>Table_5_From_paper!P127</f>
        <v>0</v>
      </c>
      <c r="Q159" s="1">
        <f>Table_5_From_paper!Q127</f>
        <v>5.8227116230895725E-3</v>
      </c>
      <c r="R159" s="1">
        <f>Table_5_From_paper!R127</f>
        <v>0</v>
      </c>
      <c r="S159" s="1">
        <f>Table_5_From_paper!S127</f>
        <v>1.1178186159266511E-3</v>
      </c>
      <c r="T159" s="1"/>
      <c r="U159" s="1"/>
      <c r="V159" s="1"/>
      <c r="W159" s="1"/>
      <c r="X159" s="1"/>
      <c r="Y159" s="1"/>
      <c r="Z159" s="2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2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3"/>
    </row>
    <row r="160" spans="2:58" x14ac:dyDescent="0.3">
      <c r="B160" t="s">
        <v>19</v>
      </c>
      <c r="C160" s="1">
        <f t="shared" ref="C160:J160" si="283">IF(SUM(C156:C159)&gt;2, 0, 2-SUM(C156:C159))</f>
        <v>1.5417189368817228</v>
      </c>
      <c r="D160" s="1">
        <f t="shared" si="283"/>
        <v>1.5751053666099057</v>
      </c>
      <c r="E160" s="1">
        <f t="shared" si="283"/>
        <v>1.185456565786102</v>
      </c>
      <c r="F160" s="1">
        <f t="shared" si="283"/>
        <v>0.85695487113139723</v>
      </c>
      <c r="G160" s="1">
        <f t="shared" si="283"/>
        <v>0.98254275736542374</v>
      </c>
      <c r="H160" s="1">
        <f t="shared" si="283"/>
        <v>0.93146996084038558</v>
      </c>
      <c r="I160" s="1">
        <f t="shared" si="283"/>
        <v>1.600571216995067</v>
      </c>
      <c r="J160" s="1">
        <f t="shared" si="283"/>
        <v>1.2699409393565357</v>
      </c>
      <c r="K160" s="1">
        <f t="shared" ref="K160" si="284">IF(SUM(K156:K159)&gt;2, 0, 2-SUM(K156:K159))</f>
        <v>1.4747835065335515</v>
      </c>
      <c r="L160" s="1">
        <f t="shared" ref="L160:S160" si="285">IF(SUM(L156:L159)&gt;2, 0, 2-SUM(L156:L159))</f>
        <v>0.86779085922580235</v>
      </c>
      <c r="M160" s="1">
        <f t="shared" si="285"/>
        <v>1.0746412395006408</v>
      </c>
      <c r="N160" s="1">
        <f t="shared" si="285"/>
        <v>1.2555877149925707</v>
      </c>
      <c r="O160" s="1">
        <f t="shared" si="285"/>
        <v>1.144416321359581</v>
      </c>
      <c r="P160" s="1">
        <f t="shared" si="285"/>
        <v>1.7194684272119714</v>
      </c>
      <c r="Q160" s="1">
        <f t="shared" si="285"/>
        <v>1.3313505436090713</v>
      </c>
      <c r="R160" s="1">
        <f t="shared" si="285"/>
        <v>1.097912719771502</v>
      </c>
      <c r="S160" s="1">
        <f t="shared" si="285"/>
        <v>1.6672092655890516</v>
      </c>
      <c r="T160" s="1"/>
      <c r="U160" s="1"/>
      <c r="V160" s="1"/>
      <c r="W160" s="1"/>
      <c r="X160" s="1"/>
      <c r="Y160" s="1"/>
      <c r="Z160" s="2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2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3"/>
    </row>
    <row r="161" spans="2:58" x14ac:dyDescent="0.3">
      <c r="B161" t="s">
        <v>18</v>
      </c>
      <c r="C161" s="1">
        <f t="shared" ref="C161:J161" si="286">IF(SUM(C156:C160)&gt;2, 0, 2-SUM(C156:C160))</f>
        <v>0</v>
      </c>
      <c r="D161" s="1">
        <f t="shared" si="286"/>
        <v>0</v>
      </c>
      <c r="E161" s="1">
        <f t="shared" si="286"/>
        <v>0</v>
      </c>
      <c r="F161" s="1">
        <f t="shared" si="286"/>
        <v>0</v>
      </c>
      <c r="G161" s="1">
        <f t="shared" si="286"/>
        <v>0</v>
      </c>
      <c r="H161" s="1">
        <f t="shared" si="286"/>
        <v>0</v>
      </c>
      <c r="I161" s="1">
        <f t="shared" si="286"/>
        <v>0</v>
      </c>
      <c r="J161" s="1">
        <f t="shared" si="286"/>
        <v>0</v>
      </c>
      <c r="K161" s="1">
        <f t="shared" ref="K161" si="287">IF(SUM(K156:K160)&gt;2, 0, 2-SUM(K156:K160))</f>
        <v>0</v>
      </c>
      <c r="L161" s="1">
        <f t="shared" ref="L161:S161" si="288">IF(SUM(L156:L160)&gt;2, 0, 2-SUM(L156:L160))</f>
        <v>0</v>
      </c>
      <c r="M161" s="1">
        <f t="shared" si="288"/>
        <v>0</v>
      </c>
      <c r="N161" s="1">
        <f t="shared" si="288"/>
        <v>0</v>
      </c>
      <c r="O161" s="1">
        <f t="shared" si="288"/>
        <v>0</v>
      </c>
      <c r="P161" s="1">
        <f t="shared" si="288"/>
        <v>0</v>
      </c>
      <c r="Q161" s="1">
        <f t="shared" si="288"/>
        <v>0</v>
      </c>
      <c r="R161" s="1">
        <f t="shared" si="288"/>
        <v>0</v>
      </c>
      <c r="S161" s="1">
        <f t="shared" si="288"/>
        <v>0</v>
      </c>
      <c r="T161" s="1"/>
      <c r="U161" s="1"/>
      <c r="V161" s="1"/>
      <c r="W161" s="1"/>
      <c r="X161" s="1"/>
      <c r="Y161" s="1"/>
      <c r="Z161" s="2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2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3"/>
    </row>
    <row r="162" spans="2:58" x14ac:dyDescent="0.3">
      <c r="B162" t="s">
        <v>21</v>
      </c>
      <c r="C162" s="1">
        <f t="shared" ref="C162:J162" si="289">SUM(C156:C161)</f>
        <v>2</v>
      </c>
      <c r="D162" s="1">
        <f t="shared" si="289"/>
        <v>2</v>
      </c>
      <c r="E162" s="1">
        <f t="shared" si="289"/>
        <v>2</v>
      </c>
      <c r="F162" s="1">
        <f t="shared" si="289"/>
        <v>2</v>
      </c>
      <c r="G162" s="1">
        <f t="shared" si="289"/>
        <v>2</v>
      </c>
      <c r="H162" s="1">
        <f t="shared" si="289"/>
        <v>2</v>
      </c>
      <c r="I162" s="1">
        <f t="shared" si="289"/>
        <v>2</v>
      </c>
      <c r="J162" s="1">
        <f t="shared" si="289"/>
        <v>2</v>
      </c>
      <c r="K162" s="1">
        <f t="shared" ref="K162" si="290">SUM(K156:K161)</f>
        <v>2</v>
      </c>
      <c r="L162" s="1">
        <f t="shared" ref="L162:S162" si="291">SUM(L156:L161)</f>
        <v>2</v>
      </c>
      <c r="M162" s="1">
        <f t="shared" si="291"/>
        <v>2</v>
      </c>
      <c r="N162" s="1">
        <f t="shared" si="291"/>
        <v>2</v>
      </c>
      <c r="O162" s="1">
        <f t="shared" si="291"/>
        <v>2</v>
      </c>
      <c r="P162" s="1">
        <f t="shared" si="291"/>
        <v>2</v>
      </c>
      <c r="Q162" s="1">
        <f t="shared" si="291"/>
        <v>2</v>
      </c>
      <c r="R162" s="1">
        <f t="shared" si="291"/>
        <v>2</v>
      </c>
      <c r="S162" s="1">
        <f t="shared" si="291"/>
        <v>2</v>
      </c>
      <c r="T162" s="1"/>
      <c r="U162" s="1"/>
      <c r="V162" s="1"/>
      <c r="W162" s="1"/>
      <c r="X162" s="1"/>
      <c r="Y162" s="1"/>
      <c r="Z162" s="2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2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3"/>
    </row>
    <row r="163" spans="2:58" x14ac:dyDescent="0.3">
      <c r="B163" t="s">
        <v>19</v>
      </c>
      <c r="C163" s="1">
        <f t="shared" ref="C163:J163" si="292">C130-C160</f>
        <v>1.2351010582945703</v>
      </c>
      <c r="D163" s="1">
        <f t="shared" si="292"/>
        <v>0.98573074583201059</v>
      </c>
      <c r="E163" s="1">
        <f t="shared" si="292"/>
        <v>1.0631775971186272</v>
      </c>
      <c r="F163" s="1">
        <f t="shared" si="292"/>
        <v>0.88027460057285367</v>
      </c>
      <c r="G163" s="1">
        <f t="shared" si="292"/>
        <v>1.2075720283998304</v>
      </c>
      <c r="H163" s="1">
        <f t="shared" si="292"/>
        <v>1.3211678859921243</v>
      </c>
      <c r="I163" s="1">
        <f t="shared" si="292"/>
        <v>1.188177816986683</v>
      </c>
      <c r="J163" s="1">
        <f t="shared" si="292"/>
        <v>1.2970887897787162</v>
      </c>
      <c r="K163" s="1">
        <f t="shared" ref="K163" si="293">K130-K160</f>
        <v>1.1556577270822976</v>
      </c>
      <c r="L163" s="1">
        <f t="shared" ref="L163:S163" si="294">L130-L160</f>
        <v>0.60041899303902468</v>
      </c>
      <c r="M163" s="1">
        <f t="shared" si="294"/>
        <v>0.38677457097572665</v>
      </c>
      <c r="N163" s="1">
        <f t="shared" si="294"/>
        <v>1.4186477746066646</v>
      </c>
      <c r="O163" s="1">
        <f t="shared" si="294"/>
        <v>1.4966771033789239</v>
      </c>
      <c r="P163" s="1">
        <f t="shared" si="294"/>
        <v>1.9770435044105328</v>
      </c>
      <c r="Q163" s="1">
        <f t="shared" si="294"/>
        <v>1.4222998618781248</v>
      </c>
      <c r="R163" s="1">
        <f t="shared" si="294"/>
        <v>1.9112316531377007</v>
      </c>
      <c r="S163" s="1">
        <f t="shared" si="294"/>
        <v>2.2448488591797968</v>
      </c>
      <c r="T163" s="1"/>
      <c r="U163" s="1"/>
      <c r="V163" s="1"/>
      <c r="W163" s="1"/>
      <c r="X163" s="1"/>
      <c r="Y163" s="1"/>
      <c r="Z163" s="2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2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3"/>
    </row>
    <row r="164" spans="2:58" x14ac:dyDescent="0.3">
      <c r="B164" t="s">
        <v>18</v>
      </c>
      <c r="C164" s="1">
        <f t="shared" ref="C164:J164" si="295">IF(C161=0,IF(SUM(C163,C150)&gt;3, 3-C163, C150))</f>
        <v>1.7648989417054297</v>
      </c>
      <c r="D164" s="1">
        <f t="shared" si="295"/>
        <v>2.0142692541679894</v>
      </c>
      <c r="E164" s="1">
        <f t="shared" si="295"/>
        <v>1.9368224028813728</v>
      </c>
      <c r="F164" s="1">
        <f t="shared" si="295"/>
        <v>2.1197253994271463</v>
      </c>
      <c r="G164" s="1">
        <f t="shared" si="295"/>
        <v>1.7924279716001696</v>
      </c>
      <c r="H164" s="1">
        <f t="shared" si="295"/>
        <v>1.6788321140078757</v>
      </c>
      <c r="I164" s="1">
        <f t="shared" si="295"/>
        <v>1.811822183013317</v>
      </c>
      <c r="J164" s="1">
        <f t="shared" si="295"/>
        <v>1.7029112102212838</v>
      </c>
      <c r="K164" s="1">
        <f t="shared" ref="K164" si="296">IF(K161=0,IF(SUM(K163,K150)&gt;3, 3-K163, K150))</f>
        <v>1.8443422729177024</v>
      </c>
      <c r="L164" s="1">
        <f t="shared" ref="L164:S164" si="297">IF(L161=0,IF(SUM(L163,L150)&gt;3, 3-L163, L150))</f>
        <v>2.3995810069609753</v>
      </c>
      <c r="M164" s="1">
        <f t="shared" si="297"/>
        <v>2.6132254290242733</v>
      </c>
      <c r="N164" s="1">
        <f t="shared" si="297"/>
        <v>1.5813522253933354</v>
      </c>
      <c r="O164" s="1">
        <f t="shared" si="297"/>
        <v>1.5033228966210761</v>
      </c>
      <c r="P164" s="1">
        <f t="shared" si="297"/>
        <v>1.0229564955894672</v>
      </c>
      <c r="Q164" s="1">
        <f t="shared" si="297"/>
        <v>1.5777001381218752</v>
      </c>
      <c r="R164" s="1">
        <f t="shared" si="297"/>
        <v>1.0887683468622993</v>
      </c>
      <c r="S164" s="1">
        <f t="shared" si="297"/>
        <v>0.75515114082020318</v>
      </c>
      <c r="T164" s="1"/>
      <c r="U164" s="1"/>
      <c r="V164" s="1"/>
      <c r="W164" s="1"/>
      <c r="X164" s="1"/>
      <c r="Y164" s="1"/>
      <c r="Z164" s="2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2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3"/>
    </row>
    <row r="165" spans="2:58" x14ac:dyDescent="0.3">
      <c r="B165" t="s">
        <v>17</v>
      </c>
      <c r="C165" s="1">
        <f>IF(SUM(C163:C164,Table_5_From_paper!C129)&lt;3,Table_5_From_paper!C129, 3-SUM(C163:C164))</f>
        <v>0</v>
      </c>
      <c r="D165" s="1">
        <f>IF(SUM(D163:D164,Table_5_From_paper!D129)&lt;3,Table_5_From_paper!D129, 3-SUM(D163:D164))</f>
        <v>0</v>
      </c>
      <c r="E165" s="1">
        <f>IF(SUM(E163:E164,Table_5_From_paper!E129)&lt;3,Table_5_From_paper!E129, 3-SUM(E163:E164))</f>
        <v>0</v>
      </c>
      <c r="F165" s="1">
        <f>IF(SUM(F163:F164,Table_5_From_paper!F129)&lt;3,Table_5_From_paper!F129, 3-SUM(F163:F164))</f>
        <v>0</v>
      </c>
      <c r="G165" s="1">
        <f>IF(SUM(G163:G164,Table_5_From_paper!G129)&lt;3,Table_5_From_paper!G129, 3-SUM(G163:G164))</f>
        <v>0</v>
      </c>
      <c r="H165" s="1">
        <f>IF(SUM(H163:H164,Table_5_From_paper!H129)&lt;3,Table_5_From_paper!H129, 3-SUM(H163:H164))</f>
        <v>0</v>
      </c>
      <c r="I165" s="1">
        <f>IF(SUM(I163:I164,Table_5_From_paper!I129)&lt;3,Table_5_From_paper!I129, 3-SUM(I163:I164))</f>
        <v>0</v>
      </c>
      <c r="J165" s="1">
        <f>IF(SUM(J163:J164,Table_5_From_paper!J129)&lt;3,Table_5_From_paper!J129, 3-SUM(J163:J164))</f>
        <v>0</v>
      </c>
      <c r="K165" s="1">
        <f>IF(SUM(K163:K164,Table_5_From_paper!K129)&lt;3,Table_5_From_paper!K129, 3-SUM(K163:K164))</f>
        <v>0</v>
      </c>
      <c r="L165" s="1">
        <f>IF(SUM(L163:L164,Table_5_From_paper!L129)&lt;3,Table_5_From_paper!L129, 3-SUM(L163:L164))</f>
        <v>0</v>
      </c>
      <c r="M165" s="1">
        <f>IF(SUM(M163:M164,Table_5_From_paper!M129)&lt;3,Table_5_From_paper!M129, 3-SUM(M163:M164))</f>
        <v>0</v>
      </c>
      <c r="N165" s="1">
        <f>IF(SUM(N163:N164,Table_5_From_paper!N129)&lt;3,Table_5_From_paper!N129, 3-SUM(N163:N164))</f>
        <v>0</v>
      </c>
      <c r="O165" s="1">
        <f>IF(SUM(O163:O164,Table_5_From_paper!O129)&lt;3,Table_5_From_paper!O129, 3-SUM(O163:O164))</f>
        <v>0</v>
      </c>
      <c r="P165" s="1">
        <f>IF(SUM(P163:P164,Table_5_From_paper!P129)&lt;3,Table_5_From_paper!P129, 3-SUM(P163:P164))</f>
        <v>0</v>
      </c>
      <c r="Q165" s="1">
        <f>IF(SUM(Q163:Q164,Table_5_From_paper!Q129)&lt;3,Table_5_From_paper!Q129, 3-SUM(Q163:Q164))</f>
        <v>0</v>
      </c>
      <c r="R165" s="1">
        <f>IF(SUM(R163:R164,Table_5_From_paper!R129)&lt;3,Table_5_From_paper!R129, 3-SUM(R163:R164))</f>
        <v>0</v>
      </c>
      <c r="S165" s="1">
        <f>IF(SUM(S163:S164,Table_5_From_paper!S129)&lt;3,Table_5_From_paper!S129, 3-SUM(S163:S164))</f>
        <v>0</v>
      </c>
      <c r="T165" s="1"/>
      <c r="U165" s="1"/>
      <c r="V165" s="1"/>
      <c r="W165" s="1"/>
      <c r="X165" s="1"/>
      <c r="Y165" s="1"/>
      <c r="Z165" s="2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2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3"/>
    </row>
    <row r="166" spans="2:58" x14ac:dyDescent="0.3">
      <c r="B166" t="s">
        <v>20</v>
      </c>
      <c r="C166" s="1">
        <f t="shared" ref="C166:J166" si="298">SUM(C163:C165)</f>
        <v>3</v>
      </c>
      <c r="D166" s="1">
        <f t="shared" si="298"/>
        <v>3</v>
      </c>
      <c r="E166" s="1">
        <f t="shared" si="298"/>
        <v>3</v>
      </c>
      <c r="F166" s="1">
        <f t="shared" si="298"/>
        <v>3</v>
      </c>
      <c r="G166" s="1">
        <f t="shared" si="298"/>
        <v>3</v>
      </c>
      <c r="H166" s="1">
        <f t="shared" si="298"/>
        <v>3</v>
      </c>
      <c r="I166" s="1">
        <f t="shared" si="298"/>
        <v>3</v>
      </c>
      <c r="J166" s="1">
        <f t="shared" si="298"/>
        <v>3</v>
      </c>
      <c r="K166" s="1">
        <f t="shared" ref="K166" si="299">SUM(K163:K165)</f>
        <v>3</v>
      </c>
      <c r="L166" s="1">
        <f t="shared" ref="L166:S166" si="300">SUM(L163:L165)</f>
        <v>3</v>
      </c>
      <c r="M166" s="1">
        <f t="shared" si="300"/>
        <v>3</v>
      </c>
      <c r="N166" s="1">
        <f t="shared" si="300"/>
        <v>3</v>
      </c>
      <c r="O166" s="1">
        <f t="shared" si="300"/>
        <v>3</v>
      </c>
      <c r="P166" s="1">
        <f t="shared" si="300"/>
        <v>3</v>
      </c>
      <c r="Q166" s="1">
        <f t="shared" si="300"/>
        <v>3</v>
      </c>
      <c r="R166" s="1">
        <f t="shared" si="300"/>
        <v>3</v>
      </c>
      <c r="S166" s="1">
        <f t="shared" si="300"/>
        <v>3</v>
      </c>
      <c r="T166" s="1"/>
      <c r="U166" s="1"/>
      <c r="V166" s="1"/>
      <c r="W166" s="1"/>
      <c r="X166" s="1"/>
      <c r="Y166" s="1"/>
      <c r="Z166" s="2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2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3"/>
    </row>
    <row r="167" spans="2:58" x14ac:dyDescent="0.3">
      <c r="B167" t="s">
        <v>19</v>
      </c>
      <c r="C167" s="1">
        <f t="shared" ref="C167:J167" si="301">C130-(SUM(C163,C160))</f>
        <v>0</v>
      </c>
      <c r="D167" s="1">
        <f t="shared" si="301"/>
        <v>0</v>
      </c>
      <c r="E167" s="1">
        <f t="shared" si="301"/>
        <v>0</v>
      </c>
      <c r="F167" s="1">
        <f t="shared" si="301"/>
        <v>0</v>
      </c>
      <c r="G167" s="1">
        <f t="shared" si="301"/>
        <v>0</v>
      </c>
      <c r="H167" s="1">
        <f t="shared" si="301"/>
        <v>0</v>
      </c>
      <c r="I167" s="1">
        <f t="shared" si="301"/>
        <v>0</v>
      </c>
      <c r="J167" s="1">
        <f t="shared" si="301"/>
        <v>0</v>
      </c>
      <c r="K167" s="1">
        <f t="shared" ref="K167" si="302">K130-(SUM(K163,K160))</f>
        <v>0</v>
      </c>
      <c r="L167" s="1">
        <f t="shared" ref="L167:S167" si="303">L130-(SUM(L163,L160))</f>
        <v>0</v>
      </c>
      <c r="M167" s="1">
        <f t="shared" si="303"/>
        <v>0</v>
      </c>
      <c r="N167" s="1">
        <f t="shared" si="303"/>
        <v>0</v>
      </c>
      <c r="O167" s="1">
        <f t="shared" si="303"/>
        <v>0</v>
      </c>
      <c r="P167" s="1">
        <f t="shared" si="303"/>
        <v>0</v>
      </c>
      <c r="Q167" s="1">
        <f t="shared" si="303"/>
        <v>0</v>
      </c>
      <c r="R167" s="1">
        <f t="shared" si="303"/>
        <v>0</v>
      </c>
      <c r="S167" s="1">
        <f t="shared" si="303"/>
        <v>0</v>
      </c>
      <c r="T167" s="1"/>
      <c r="U167" s="1"/>
      <c r="V167" s="1"/>
      <c r="W167" s="1"/>
      <c r="X167" s="1"/>
      <c r="Y167" s="1"/>
      <c r="Z167" s="2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2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3"/>
    </row>
    <row r="168" spans="2:58" x14ac:dyDescent="0.3">
      <c r="B168" t="s">
        <v>18</v>
      </c>
      <c r="C168" s="1">
        <f>IF(C164=TRUE, 0, Table_5_From_paper!C150-C164)</f>
        <v>9.5317025527980492E-2</v>
      </c>
      <c r="D168" s="1">
        <f>IF(D164=TRUE, 0, Table_5_From_paper!D150-D164)</f>
        <v>9.5877283813181169E-2</v>
      </c>
      <c r="E168" s="1">
        <f>IF(E164=TRUE, 0, Table_5_From_paper!E150-E164)</f>
        <v>0.14905769420246595</v>
      </c>
      <c r="F168" s="1">
        <f>IF(F164=TRUE, 0, Table_5_From_paper!F150-F164)</f>
        <v>9.5921065758227009E-2</v>
      </c>
      <c r="G168" s="1">
        <f>IF(G164=TRUE, 0, Table_5_From_paper!G150-G164)</f>
        <v>0.16450619083235996</v>
      </c>
      <c r="H168" s="1">
        <f>IF(H164=TRUE, 0, Table_5_From_paper!H150-H164)</f>
        <v>0.1489660089736411</v>
      </c>
      <c r="I168" s="1">
        <f>IF(I164=TRUE, 0, Table_5_From_paper!I150-I164)</f>
        <v>0.13968030359857186</v>
      </c>
      <c r="J168" s="1">
        <f>IF(J164=TRUE, 0, Table_5_From_paper!J150-J164)</f>
        <v>5.8942966649473405E-2</v>
      </c>
      <c r="K168" s="1">
        <f>IF(K164=TRUE, 0, Table_5_From_paper!K150-K164)</f>
        <v>0.24603825537857738</v>
      </c>
      <c r="L168" s="1">
        <f>IF(L164=TRUE, 0, Table_5_From_paper!L150-L164)</f>
        <v>0.11790118422665863</v>
      </c>
      <c r="M168" s="1">
        <f>IF(M164=TRUE, 0, Table_5_From_paper!M150-M164)</f>
        <v>7.3600437723152279E-2</v>
      </c>
      <c r="N168" s="1">
        <f>IF(N164=TRUE, 0, Table_5_From_paper!N150-N164)</f>
        <v>0.14633533029182288</v>
      </c>
      <c r="O168" s="1">
        <f>IF(O164=TRUE, 0, Table_5_From_paper!O150-O164)</f>
        <v>0.15866926410134718</v>
      </c>
      <c r="P168" s="1">
        <f>IF(P164=TRUE, 0, Table_5_From_paper!P150-P164)</f>
        <v>0.46006682118281339</v>
      </c>
      <c r="Q168" s="1">
        <f>IF(Q164=TRUE, 0, Table_5_From_paper!Q150-Q164)</f>
        <v>9.4258840030416069E-2</v>
      </c>
      <c r="R168" s="1">
        <f>IF(R164=TRUE, 0, Table_5_From_paper!R150-R164)</f>
        <v>0.21855269102626562</v>
      </c>
      <c r="S168" s="1">
        <f>IF(S164=TRUE, 0, Table_5_From_paper!S150-S164)</f>
        <v>5.3306539717042134E-2</v>
      </c>
      <c r="T168" s="1"/>
      <c r="U168" s="1"/>
      <c r="V168" s="1"/>
      <c r="W168" s="1"/>
      <c r="X168" s="1"/>
      <c r="Y168" s="1"/>
      <c r="Z168" s="2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2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3"/>
    </row>
    <row r="169" spans="2:58" x14ac:dyDescent="0.3">
      <c r="B169" t="s">
        <v>17</v>
      </c>
      <c r="C169" s="1">
        <f>IF(C165=TRUE, 0, Table_5_From_paper!C129-C165)</f>
        <v>5.4746673053240526E-2</v>
      </c>
      <c r="D169" s="1">
        <f>IF(D165=TRUE, 0, Table_5_From_paper!D129-D165)</f>
        <v>4.7181793621099005E-2</v>
      </c>
      <c r="E169" s="1">
        <f>IF(E165=TRUE, 0, Table_5_From_paper!E129-E165)</f>
        <v>4.4537898119426558E-2</v>
      </c>
      <c r="F169" s="1">
        <f>IF(F165=TRUE, 0, Table_5_From_paper!F129-F165)</f>
        <v>3.9532520340130196E-2</v>
      </c>
      <c r="G169" s="1">
        <f>IF(G165=TRUE, 0, Table_5_From_paper!G129-G165)</f>
        <v>3.452982541342553E-2</v>
      </c>
      <c r="H169" s="1">
        <f>IF(H165=TRUE, 0, Table_5_From_paper!H129-H165)</f>
        <v>2.7961545241043467E-2</v>
      </c>
      <c r="I169" s="1">
        <f>IF(I165=TRUE, 0, Table_5_From_paper!I129-I165)</f>
        <v>4.994412208561113E-2</v>
      </c>
      <c r="J169" s="1">
        <f>IF(J165=TRUE, 0, Table_5_From_paper!J129-J165)</f>
        <v>6.3359181607521589E-2</v>
      </c>
      <c r="K169" s="1">
        <f>IF(K165=TRUE, 0, Table_5_From_paper!K129-K165)</f>
        <v>7.5417925276785175E-2</v>
      </c>
      <c r="L169" s="1">
        <f>IF(L165=TRUE, 0, Table_5_From_paper!L129-L165)</f>
        <v>8.3935475315949581E-2</v>
      </c>
      <c r="M169" s="1">
        <f>IF(M165=TRUE, 0, Table_5_From_paper!M129-M165)</f>
        <v>8.7810878635031162E-2</v>
      </c>
      <c r="N169" s="1">
        <f>IF(N165=TRUE, 0, Table_5_From_paper!N129-N165)</f>
        <v>4.845229797818619E-2</v>
      </c>
      <c r="O169" s="1">
        <f>IF(O165=TRUE, 0, Table_5_From_paper!O129-O165)</f>
        <v>4.4942619156725296E-2</v>
      </c>
      <c r="P169" s="1">
        <f>IF(P165=TRUE, 0, Table_5_From_paper!P129-P165)</f>
        <v>6.2693697888097241E-2</v>
      </c>
      <c r="Q169" s="1">
        <f>IF(Q165=TRUE, 0, Table_5_From_paper!Q129-Q165)</f>
        <v>9.9810868533984812E-2</v>
      </c>
      <c r="R169" s="1">
        <f>IF(R165=TRUE, 0, Table_5_From_paper!R129-R165)</f>
        <v>3.349917818470495E-2</v>
      </c>
      <c r="S169" s="1">
        <f>IF(S165=TRUE, 0, Table_5_From_paper!S129-S165)</f>
        <v>1.437093928153732E-2</v>
      </c>
      <c r="T169" s="1"/>
      <c r="U169" s="1"/>
      <c r="V169" s="1"/>
      <c r="W169" s="1"/>
      <c r="X169" s="1"/>
      <c r="Y169" s="1"/>
      <c r="Z169" s="2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2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3"/>
    </row>
    <row r="170" spans="2:58" x14ac:dyDescent="0.3">
      <c r="B170" t="s">
        <v>16</v>
      </c>
      <c r="C170" s="1">
        <f>Table_5_From_paper!C131</f>
        <v>1.7407972505225573</v>
      </c>
      <c r="D170" s="1">
        <f>Table_5_From_paper!D131</f>
        <v>1.7550505395469438</v>
      </c>
      <c r="E170" s="1">
        <f>Table_5_From_paper!E131</f>
        <v>1.6773257003745272</v>
      </c>
      <c r="F170" s="1">
        <f>Table_5_From_paper!F131</f>
        <v>1.6615677079023532</v>
      </c>
      <c r="G170" s="1">
        <f>Table_5_From_paper!G131</f>
        <v>1.6517502063354736</v>
      </c>
      <c r="H170" s="1">
        <f>Table_5_From_paper!H131</f>
        <v>1.6527973631668369</v>
      </c>
      <c r="I170" s="1">
        <f>Table_5_From_paper!I131</f>
        <v>1.6947752905630191</v>
      </c>
      <c r="J170" s="1">
        <f>Table_5_From_paper!J131</f>
        <v>1.7805628257380806</v>
      </c>
      <c r="K170" s="1">
        <f>Table_5_From_paper!K131</f>
        <v>1.5518907963333484</v>
      </c>
      <c r="L170" s="1">
        <f>Table_5_From_paper!L131</f>
        <v>1.6482055530521416</v>
      </c>
      <c r="M170" s="1">
        <f>Table_5_From_paper!M131</f>
        <v>1.7086735781884816</v>
      </c>
      <c r="N170" s="1">
        <f>Table_5_From_paper!N131</f>
        <v>1.6737376653021494</v>
      </c>
      <c r="O170" s="1">
        <f>Table_5_From_paper!O131</f>
        <v>1.6155467158378398</v>
      </c>
      <c r="P170" s="1">
        <f>Table_5_From_paper!P131</f>
        <v>1.6181692212518386</v>
      </c>
      <c r="Q170" s="1">
        <f>Table_5_From_paper!Q131</f>
        <v>1.6634757261632009</v>
      </c>
      <c r="R170" s="1">
        <f>Table_5_From_paper!R131</f>
        <v>1.5914622922710349</v>
      </c>
      <c r="S170" s="1">
        <f>Table_5_From_paper!S131</f>
        <v>1.8345774915548105</v>
      </c>
      <c r="T170" s="1"/>
      <c r="U170" s="1"/>
      <c r="V170" s="1"/>
      <c r="W170" s="1"/>
      <c r="X170" s="1"/>
      <c r="Y170" s="1"/>
      <c r="Z170" s="2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2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3"/>
    </row>
    <row r="171" spans="2:58" x14ac:dyDescent="0.3">
      <c r="B171" t="s">
        <v>14</v>
      </c>
      <c r="C171" s="1">
        <f>IF(SUM(C167:C170,Table_5_From_paper!C132)&lt;2, Table_5_From_paper!C132, 2-SUM(C167:C170))</f>
        <v>0.10913905089622178</v>
      </c>
      <c r="D171" s="1">
        <f>IF(SUM(D167:D170,Table_5_From_paper!D132)&lt;2, Table_5_From_paper!D132, 2-SUM(D167:D170))</f>
        <v>0.10189038301877607</v>
      </c>
      <c r="E171" s="1">
        <f>IF(SUM(E167:E170,Table_5_From_paper!E132)&lt;2, Table_5_From_paper!E132, 2-SUM(E167:E170))</f>
        <v>0.1290787073035804</v>
      </c>
      <c r="F171" s="1">
        <f>IF(SUM(F167:F170,Table_5_From_paper!F132)&lt;2, Table_5_From_paper!F132, 2-SUM(F167:F170))</f>
        <v>0.20297870599928958</v>
      </c>
      <c r="G171" s="1">
        <f>IF(SUM(G167:G170,Table_5_From_paper!G132)&lt;2, Table_5_From_paper!G132, 2-SUM(G167:G170))</f>
        <v>0.14921377741874098</v>
      </c>
      <c r="H171" s="1">
        <f>IF(SUM(H167:H170,Table_5_From_paper!H132)&lt;2, Table_5_From_paper!H132, 2-SUM(H167:H170))</f>
        <v>0.17027508261847846</v>
      </c>
      <c r="I171" s="1">
        <f>IF(SUM(I167:I170,Table_5_From_paper!I132)&lt;2, Table_5_From_paper!I132, 2-SUM(I167:I170))</f>
        <v>0.11560028375279785</v>
      </c>
      <c r="J171" s="1">
        <f>IF(SUM(J167:J170,Table_5_From_paper!J132)&lt;2, Table_5_From_paper!J132, 2-SUM(J167:J170))</f>
        <v>9.7135026004924407E-2</v>
      </c>
      <c r="K171" s="1">
        <f>IF(SUM(K167:K170,Table_5_From_paper!K132)&lt;2, Table_5_From_paper!K132, 2-SUM(K167:K170))</f>
        <v>0.126653023011289</v>
      </c>
      <c r="L171" s="1">
        <f>IF(SUM(L167:L170,Table_5_From_paper!L132)&lt;2, Table_5_From_paper!L132, 2-SUM(L167:L170))</f>
        <v>0.14995778740525023</v>
      </c>
      <c r="M171" s="1">
        <f>IF(SUM(M167:M170,Table_5_From_paper!M132)&lt;2, Table_5_From_paper!M132, 2-SUM(M167:M170))</f>
        <v>0.12991510545333496</v>
      </c>
      <c r="N171" s="1">
        <f>IF(SUM(N167:N170,Table_5_From_paper!N132)&lt;2, Table_5_From_paper!N132, 2-SUM(N167:N170))</f>
        <v>0.13147470642784143</v>
      </c>
      <c r="O171" s="1">
        <f>IF(SUM(O167:O170,Table_5_From_paper!O132)&lt;2, Table_5_From_paper!O132, 2-SUM(O167:O170))</f>
        <v>0.18084140090408773</v>
      </c>
      <c r="P171" s="1">
        <f>IF(SUM(P167:P170,Table_5_From_paper!P132)&lt;2, Table_5_From_paper!P132, 2-SUM(P167:P170))</f>
        <v>-0.14092974032274919</v>
      </c>
      <c r="Q171" s="1">
        <f>IF(SUM(Q167:Q170,Table_5_From_paper!Q132)&lt;2, Table_5_From_paper!Q132, 2-SUM(Q167:Q170))</f>
        <v>0.14245456527239808</v>
      </c>
      <c r="R171" s="1">
        <f>IF(SUM(R167:R170,Table_5_From_paper!R132)&lt;2, Table_5_From_paper!R132, 2-SUM(R167:R170))</f>
        <v>0.15648583851799458</v>
      </c>
      <c r="S171" s="1">
        <f>IF(SUM(S167:S170,Table_5_From_paper!S132)&lt;2, Table_5_From_paper!S132, 2-SUM(S167:S170))</f>
        <v>9.774502944661001E-2</v>
      </c>
      <c r="T171" s="1"/>
      <c r="U171" s="1"/>
      <c r="V171" s="1"/>
      <c r="W171" s="1"/>
      <c r="X171" s="1"/>
      <c r="Y171" s="1"/>
      <c r="Z171" s="2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2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3"/>
    </row>
    <row r="172" spans="2:58" x14ac:dyDescent="0.3">
      <c r="B172" t="s">
        <v>15</v>
      </c>
      <c r="C172" s="1">
        <f t="shared" ref="C172:J172" si="304">SUM(C167:C171)</f>
        <v>2</v>
      </c>
      <c r="D172" s="1">
        <f t="shared" si="304"/>
        <v>2</v>
      </c>
      <c r="E172" s="1">
        <f t="shared" si="304"/>
        <v>2</v>
      </c>
      <c r="F172" s="1">
        <f t="shared" si="304"/>
        <v>2</v>
      </c>
      <c r="G172" s="1">
        <f t="shared" si="304"/>
        <v>2</v>
      </c>
      <c r="H172" s="1">
        <f t="shared" si="304"/>
        <v>2</v>
      </c>
      <c r="I172" s="1">
        <f t="shared" si="304"/>
        <v>2</v>
      </c>
      <c r="J172" s="1">
        <f t="shared" si="304"/>
        <v>2</v>
      </c>
      <c r="K172" s="1">
        <f t="shared" ref="K172" si="305">SUM(K167:K171)</f>
        <v>2</v>
      </c>
      <c r="L172" s="1">
        <f t="shared" ref="L172:S172" si="306">SUM(L167:L171)</f>
        <v>2</v>
      </c>
      <c r="M172" s="1">
        <f t="shared" si="306"/>
        <v>2</v>
      </c>
      <c r="N172" s="1">
        <f t="shared" si="306"/>
        <v>2</v>
      </c>
      <c r="O172" s="1">
        <f t="shared" si="306"/>
        <v>2</v>
      </c>
      <c r="P172" s="1">
        <f t="shared" si="306"/>
        <v>2</v>
      </c>
      <c r="Q172" s="1">
        <f t="shared" si="306"/>
        <v>2</v>
      </c>
      <c r="R172" s="1">
        <f t="shared" si="306"/>
        <v>2</v>
      </c>
      <c r="S172" s="1">
        <f t="shared" si="306"/>
        <v>2</v>
      </c>
      <c r="T172" s="1"/>
      <c r="U172" s="1"/>
      <c r="V172" s="1"/>
      <c r="W172" s="1"/>
      <c r="X172" s="1"/>
      <c r="Y172" s="1"/>
      <c r="Z172" s="2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2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3"/>
    </row>
    <row r="173" spans="2:58" x14ac:dyDescent="0.3">
      <c r="B173" t="s">
        <v>14</v>
      </c>
      <c r="C173" s="1">
        <f>IF(C171=TRUE, 0, Table_5_From_paper!C132-C171)</f>
        <v>0.15289328812539466</v>
      </c>
      <c r="D173" s="1">
        <f>IF(D171=TRUE, 0, Table_5_From_paper!D132-D171)</f>
        <v>0.1958480543558479</v>
      </c>
      <c r="E173" s="1">
        <f>IF(E171=TRUE, 0, Table_5_From_paper!E132-E171)</f>
        <v>0.32824460038611114</v>
      </c>
      <c r="F173" s="1">
        <f>IF(F171=TRUE, 0, Table_5_From_paper!F132-F171)</f>
        <v>0.24364960671533598</v>
      </c>
      <c r="G173" s="1">
        <f>IF(G171=TRUE, 0, Table_5_From_paper!G132-G171)</f>
        <v>0.40993321859369025</v>
      </c>
      <c r="H173" s="1">
        <f>IF(H171=TRUE, 0, Table_5_From_paper!H132-H171)</f>
        <v>0.39996346138624528</v>
      </c>
      <c r="I173" s="1">
        <f>IF(I171=TRUE, 0, Table_5_From_paper!I132-I171)</f>
        <v>0.13305955932200614</v>
      </c>
      <c r="J173" s="1">
        <f>IF(J171=TRUE, 0, Table_5_From_paper!J132-J171)</f>
        <v>8.2025340717516687E-2</v>
      </c>
      <c r="K173" s="1">
        <f>IF(K171=TRUE, 0, Table_5_From_paper!K132-K171)</f>
        <v>0.10353108047433593</v>
      </c>
      <c r="L173" s="1">
        <f>IF(L171=TRUE, 0, Table_5_From_paper!L132-L171)</f>
        <v>0.1338115335443566</v>
      </c>
      <c r="M173" s="1">
        <f>IF(M171=TRUE, 0, Table_5_From_paper!M132-M171)</f>
        <v>0.16568284629611352</v>
      </c>
      <c r="N173" s="1">
        <f>IF(N171=TRUE, 0, Table_5_From_paper!N132-N171)</f>
        <v>0.24960566618440616</v>
      </c>
      <c r="O173" s="1">
        <f>IF(O171=TRUE, 0, Table_5_From_paper!O132-O171)</f>
        <v>0.26210337743237583</v>
      </c>
      <c r="P173" s="1">
        <f>IF(P171=TRUE, 0, Table_5_From_paper!P132-P171)</f>
        <v>0.20164603140457252</v>
      </c>
      <c r="Q173" s="1">
        <f>IF(Q171=TRUE, 0, Table_5_From_paper!Q132-Q171)</f>
        <v>8.6021044544153907E-2</v>
      </c>
      <c r="R173" s="1">
        <f>IF(R171=TRUE, 0, Table_5_From_paper!R132-R171)</f>
        <v>0.36609107819716391</v>
      </c>
      <c r="S173" s="1">
        <f>IF(S171=TRUE, 0, Table_5_From_paper!S132-S171)</f>
        <v>0.11059825727835626</v>
      </c>
      <c r="T173" s="1"/>
      <c r="U173" s="1"/>
      <c r="V173" s="1"/>
      <c r="W173" s="1"/>
      <c r="X173" s="1"/>
      <c r="Y173" s="1"/>
      <c r="Z173" s="2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2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3"/>
    </row>
    <row r="174" spans="2:58" x14ac:dyDescent="0.3">
      <c r="B174" t="s">
        <v>13</v>
      </c>
      <c r="C174" s="1">
        <f>Table_5_From_paper!C133</f>
        <v>7.3087494869911354E-2</v>
      </c>
      <c r="D174" s="1">
        <f>Table_5_From_paper!D133</f>
        <v>8.8349473903091474E-2</v>
      </c>
      <c r="E174" s="1">
        <f>Table_5_From_paper!E133</f>
        <v>0.19549482178823227</v>
      </c>
      <c r="F174" s="1">
        <f>Table_5_From_paper!F133</f>
        <v>0.17094493183389112</v>
      </c>
      <c r="G174" s="1">
        <f>Table_5_From_paper!G133</f>
        <v>0.18299011798500758</v>
      </c>
      <c r="H174" s="1">
        <f>Table_5_From_paper!H133</f>
        <v>0.19143083816882026</v>
      </c>
      <c r="I174" s="1">
        <f>Table_5_From_paper!I133</f>
        <v>6.9582420132796211E-2</v>
      </c>
      <c r="J174" s="1">
        <f>Table_5_From_paper!J133</f>
        <v>6.7362050272401663E-2</v>
      </c>
      <c r="K174" s="1">
        <f>Table_5_From_paper!K133</f>
        <v>7.9514445454697963E-2</v>
      </c>
      <c r="L174" s="1">
        <f>Table_5_From_paper!L133</f>
        <v>0.10891649022908363</v>
      </c>
      <c r="M174" s="1">
        <f>Table_5_From_paper!M133</f>
        <v>0.14781769159709282</v>
      </c>
      <c r="N174" s="1">
        <f>Table_5_From_paper!N133</f>
        <v>0.11601519529127489</v>
      </c>
      <c r="O174" s="1">
        <f>Table_5_From_paper!O133</f>
        <v>0.13350195944658197</v>
      </c>
      <c r="P174" s="1">
        <f>Table_5_From_paper!P133</f>
        <v>3.9949986552838983E-2</v>
      </c>
      <c r="Q174" s="1">
        <f>Table_5_From_paper!Q133</f>
        <v>6.0132774101911306E-2</v>
      </c>
      <c r="R174" s="1">
        <f>Table_5_From_paper!R133</f>
        <v>9.5304625325250011E-2</v>
      </c>
      <c r="S174" s="1">
        <f>Table_5_From_paper!S133</f>
        <v>8.2972686814490465E-2</v>
      </c>
      <c r="T174" s="1"/>
      <c r="U174" s="1"/>
      <c r="V174" s="1"/>
      <c r="W174" s="1"/>
      <c r="X174" s="1"/>
      <c r="Y174" s="1"/>
      <c r="Z174" s="2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2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3"/>
    </row>
    <row r="175" spans="2:58" x14ac:dyDescent="0.3">
      <c r="B175" t="s">
        <v>12</v>
      </c>
      <c r="C175" s="1">
        <f t="shared" ref="C175:J175" si="307">SUM(C173:C174)</f>
        <v>0.225980782995306</v>
      </c>
      <c r="D175" s="1">
        <f t="shared" si="307"/>
        <v>0.2841975282589394</v>
      </c>
      <c r="E175" s="1">
        <f t="shared" si="307"/>
        <v>0.52373942217434344</v>
      </c>
      <c r="F175" s="1">
        <f t="shared" si="307"/>
        <v>0.41459453854922712</v>
      </c>
      <c r="G175" s="1">
        <f t="shared" si="307"/>
        <v>0.59292333657869789</v>
      </c>
      <c r="H175" s="1">
        <f t="shared" si="307"/>
        <v>0.59139429955506551</v>
      </c>
      <c r="I175" s="1">
        <f t="shared" si="307"/>
        <v>0.20264197945480233</v>
      </c>
      <c r="J175" s="1">
        <f t="shared" si="307"/>
        <v>0.14938739098991835</v>
      </c>
      <c r="K175" s="1">
        <f t="shared" ref="K175" si="308">SUM(K173:K174)</f>
        <v>0.18304552592903389</v>
      </c>
      <c r="L175" s="1">
        <f t="shared" ref="L175:S175" si="309">SUM(L173:L174)</f>
        <v>0.24272802377344022</v>
      </c>
      <c r="M175" s="1">
        <f t="shared" si="309"/>
        <v>0.31350053789320631</v>
      </c>
      <c r="N175" s="1">
        <f t="shared" si="309"/>
        <v>0.36562086147568107</v>
      </c>
      <c r="O175" s="1">
        <f t="shared" si="309"/>
        <v>0.39560533687895783</v>
      </c>
      <c r="P175" s="1">
        <f t="shared" si="309"/>
        <v>0.24159601795741151</v>
      </c>
      <c r="Q175" s="1">
        <f t="shared" si="309"/>
        <v>0.14615381864606522</v>
      </c>
      <c r="R175" s="1">
        <f t="shared" si="309"/>
        <v>0.46139570352241394</v>
      </c>
      <c r="S175" s="1">
        <f t="shared" si="309"/>
        <v>0.19357094409284673</v>
      </c>
      <c r="T175" s="1"/>
      <c r="U175" s="1"/>
      <c r="V175" s="1"/>
      <c r="W175" s="1"/>
      <c r="X175" s="1"/>
      <c r="Y175" s="1"/>
      <c r="Z175" s="2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2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3"/>
    </row>
    <row r="176" spans="2:58" x14ac:dyDescent="0.3">
      <c r="B176" t="s">
        <v>11</v>
      </c>
      <c r="C176" s="1">
        <f t="shared" ref="C176:J176" si="310">SUM(C175,C172,C166,C155,C162)</f>
        <v>15.225980782995306</v>
      </c>
      <c r="D176" s="1">
        <f t="shared" si="310"/>
        <v>15.28419752825894</v>
      </c>
      <c r="E176" s="1">
        <f t="shared" si="310"/>
        <v>15.523739422174344</v>
      </c>
      <c r="F176" s="1">
        <f t="shared" si="310"/>
        <v>15.414594538549228</v>
      </c>
      <c r="G176" s="1">
        <f t="shared" si="310"/>
        <v>15.592923336578698</v>
      </c>
      <c r="H176" s="1">
        <f t="shared" si="310"/>
        <v>15.591394299555066</v>
      </c>
      <c r="I176" s="1">
        <f t="shared" si="310"/>
        <v>15.202641979454803</v>
      </c>
      <c r="J176" s="1">
        <f t="shared" si="310"/>
        <v>15.149387390989919</v>
      </c>
      <c r="K176" s="1">
        <f t="shared" ref="K176" si="311">SUM(K175,K172,K166,K155,K162)</f>
        <v>15.183045525929034</v>
      </c>
      <c r="L176" s="1">
        <f t="shared" ref="L176:S176" si="312">SUM(L175,L172,L166,L155,L162)</f>
        <v>15.24272802377344</v>
      </c>
      <c r="M176" s="1">
        <f t="shared" si="312"/>
        <v>15.313500537893207</v>
      </c>
      <c r="N176" s="1">
        <f t="shared" si="312"/>
        <v>15.36562086147568</v>
      </c>
      <c r="O176" s="1">
        <f t="shared" si="312"/>
        <v>15.395605336878958</v>
      </c>
      <c r="P176" s="1">
        <f t="shared" si="312"/>
        <v>15.1375026711701</v>
      </c>
      <c r="Q176" s="1">
        <f t="shared" si="312"/>
        <v>15.146153818646065</v>
      </c>
      <c r="R176" s="1">
        <f t="shared" si="312"/>
        <v>15.461395703522413</v>
      </c>
      <c r="S176" s="1">
        <f t="shared" si="312"/>
        <v>15.193570944092848</v>
      </c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3"/>
    </row>
    <row r="177" spans="2:58" ht="15" thickBot="1" x14ac:dyDescent="0.35">
      <c r="B177" s="18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3"/>
      <c r="U177" s="3"/>
      <c r="V177" s="3"/>
      <c r="W177" s="3"/>
      <c r="X177" s="3"/>
      <c r="Y177" s="3"/>
      <c r="Z177" s="5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5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</row>
    <row r="178" spans="2:58" ht="15" thickBot="1" x14ac:dyDescent="0.35">
      <c r="B178" s="20" t="s">
        <v>10</v>
      </c>
      <c r="C178" s="20">
        <f>C154+C156</f>
        <v>0.74619805772298031</v>
      </c>
      <c r="D178" s="20">
        <f t="shared" ref="D178:J178" si="313">D154+D156</f>
        <v>0.83572889498207759</v>
      </c>
      <c r="E178" s="20">
        <f t="shared" si="313"/>
        <v>1.6998268872736764</v>
      </c>
      <c r="F178" s="20">
        <f t="shared" si="313"/>
        <v>2.3298573086404923</v>
      </c>
      <c r="G178" s="20">
        <f t="shared" si="313"/>
        <v>2.1870277295825375</v>
      </c>
      <c r="H178" s="20">
        <f t="shared" si="313"/>
        <v>2.2990775886657886</v>
      </c>
      <c r="I178" s="20">
        <f t="shared" si="313"/>
        <v>0.66889339883509136</v>
      </c>
      <c r="J178" s="20">
        <f t="shared" si="313"/>
        <v>1.0614011218068986</v>
      </c>
      <c r="K178" s="20">
        <f t="shared" ref="K178" si="314">K154+K156</f>
        <v>0.78705962196162493</v>
      </c>
      <c r="L178" s="20">
        <f t="shared" ref="L178:S178" si="315">L154+L156</f>
        <v>1.7662716718870173</v>
      </c>
      <c r="M178" s="20">
        <f t="shared" si="315"/>
        <v>1.7914568691959516</v>
      </c>
      <c r="N178" s="20">
        <f t="shared" si="315"/>
        <v>1.4279125413943254</v>
      </c>
      <c r="O178" s="20">
        <f t="shared" si="315"/>
        <v>1.6502558135565399</v>
      </c>
      <c r="P178" s="20">
        <f t="shared" si="315"/>
        <v>0.27345126440189199</v>
      </c>
      <c r="Q178" s="20">
        <f t="shared" si="315"/>
        <v>0.88711625319183285</v>
      </c>
      <c r="R178" s="20">
        <f t="shared" si="315"/>
        <v>1.610733980466398</v>
      </c>
      <c r="S178" s="20">
        <f t="shared" si="315"/>
        <v>0.66655453574344026</v>
      </c>
      <c r="T178" s="15"/>
      <c r="U178" s="15"/>
      <c r="V178" s="15"/>
      <c r="W178" s="15"/>
      <c r="X178" s="15"/>
      <c r="Y178" s="15"/>
      <c r="Z178" s="16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6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</row>
    <row r="179" spans="2:58" x14ac:dyDescent="0.3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Z179" s="2"/>
      <c r="AM179" s="2"/>
      <c r="BF179" s="3"/>
    </row>
    <row r="180" spans="2:58" x14ac:dyDescent="0.3">
      <c r="B180" t="s">
        <v>9</v>
      </c>
      <c r="C180">
        <f t="shared" ref="C180:J180" si="316">(C163+C167+C160)/((C163+C167+C160)+(C161+C164))</f>
        <v>0.61140287053580133</v>
      </c>
      <c r="D180">
        <f t="shared" si="316"/>
        <v>0.55973270717029688</v>
      </c>
      <c r="E180">
        <f t="shared" si="316"/>
        <v>0.53724943206581732</v>
      </c>
      <c r="F180">
        <f t="shared" si="316"/>
        <v>0.4504147779138139</v>
      </c>
      <c r="G180">
        <f t="shared" si="316"/>
        <v>0.54992875637425254</v>
      </c>
      <c r="H180">
        <f t="shared" si="316"/>
        <v>0.57297597826513447</v>
      </c>
      <c r="I180">
        <f t="shared" si="316"/>
        <v>0.60617451669474731</v>
      </c>
      <c r="J180">
        <f t="shared" si="316"/>
        <v>0.60118623784105407</v>
      </c>
      <c r="K180">
        <f t="shared" ref="K180" si="317">(K163+K167+K160)/((K163+K167+K160)+(K161+K164))</f>
        <v>0.58783653550505599</v>
      </c>
      <c r="L180">
        <f t="shared" ref="L180:S180" si="318">(L163+L167+L160)/((L163+L167+L160)+(L161+L164))</f>
        <v>0.37959908012159471</v>
      </c>
      <c r="M180">
        <f t="shared" si="318"/>
        <v>0.35866122305665077</v>
      </c>
      <c r="N180">
        <f t="shared" si="318"/>
        <v>0.62840567947355874</v>
      </c>
      <c r="O180">
        <f t="shared" si="318"/>
        <v>0.63726547237225695</v>
      </c>
      <c r="P180">
        <f t="shared" si="318"/>
        <v>0.78324751794265535</v>
      </c>
      <c r="Q180">
        <f t="shared" si="318"/>
        <v>0.63574868341012503</v>
      </c>
      <c r="R180">
        <f t="shared" si="318"/>
        <v>0.73431148457378359</v>
      </c>
      <c r="S180">
        <f t="shared" si="318"/>
        <v>0.83820071099278315</v>
      </c>
      <c r="BF180" s="3"/>
    </row>
    <row r="181" spans="2:58" x14ac:dyDescent="0.3">
      <c r="Z181" s="2"/>
      <c r="AM181" s="2"/>
    </row>
    <row r="183" spans="2:58" x14ac:dyDescent="0.3">
      <c r="B183" s="8" t="s">
        <v>75</v>
      </c>
    </row>
    <row r="184" spans="2:58" x14ac:dyDescent="0.3">
      <c r="B184" s="1" t="s">
        <v>8</v>
      </c>
      <c r="C184">
        <f>C124+C126+C125+C149+C150+C130+C129-13</f>
        <v>0.15006369858122071</v>
      </c>
      <c r="D184">
        <f t="shared" ref="D184:J184" si="319">D124+D126+D125+D149+D150+D130+D129-13</f>
        <v>0.14186882205714824</v>
      </c>
      <c r="E184">
        <f t="shared" si="319"/>
        <v>0.19359559232189305</v>
      </c>
      <c r="F184">
        <f t="shared" si="319"/>
        <v>0.13545358609835567</v>
      </c>
      <c r="G184">
        <f t="shared" si="319"/>
        <v>0.1930674770221863</v>
      </c>
      <c r="H184">
        <f t="shared" si="319"/>
        <v>0.17692755421468398</v>
      </c>
      <c r="I184">
        <f t="shared" si="319"/>
        <v>0.18962442568418325</v>
      </c>
      <c r="J184">
        <f t="shared" si="319"/>
        <v>0.1223021482569937</v>
      </c>
      <c r="K184">
        <f t="shared" ref="K184" si="320">K124+K126+K125+K149+K150+K130+K129-13</f>
        <v>0.32145618065536219</v>
      </c>
      <c r="L184">
        <f t="shared" ref="L184:S184" si="321">L124+L126+L125+L149+L150+L130+L129-13</f>
        <v>0.20183665954260732</v>
      </c>
      <c r="M184">
        <f t="shared" si="321"/>
        <v>0.1565899866604159</v>
      </c>
      <c r="N184">
        <f t="shared" si="321"/>
        <v>0.19478762827000828</v>
      </c>
      <c r="O184">
        <f t="shared" si="321"/>
        <v>0.20361188325807511</v>
      </c>
      <c r="P184">
        <f t="shared" si="321"/>
        <v>0.41866717228360173</v>
      </c>
      <c r="Q184">
        <f t="shared" si="321"/>
        <v>0.18824699694130942</v>
      </c>
      <c r="R184">
        <f t="shared" si="321"/>
        <v>0.25205186921097322</v>
      </c>
      <c r="S184">
        <f t="shared" si="321"/>
        <v>6.6559660382651487E-2</v>
      </c>
    </row>
    <row r="185" spans="2:58" x14ac:dyDescent="0.3">
      <c r="B185" s="1" t="s">
        <v>7</v>
      </c>
      <c r="C185">
        <f>(C124-4)/4</f>
        <v>0.83771109990558967</v>
      </c>
      <c r="D185">
        <f t="shared" ref="D185:J185" si="322">(D124-4)/4</f>
        <v>0.82243643450704851</v>
      </c>
      <c r="E185">
        <f t="shared" si="322"/>
        <v>0.65786393338738458</v>
      </c>
      <c r="F185">
        <f t="shared" si="322"/>
        <v>0.62679359351672126</v>
      </c>
      <c r="G185">
        <f t="shared" si="322"/>
        <v>0.54839284587045811</v>
      </c>
      <c r="H185">
        <f t="shared" si="322"/>
        <v>0.54857790201258871</v>
      </c>
      <c r="I185">
        <f t="shared" si="322"/>
        <v>0.86147257597066162</v>
      </c>
      <c r="J185">
        <f t="shared" si="322"/>
        <v>0.78649392680257368</v>
      </c>
      <c r="K185">
        <f t="shared" ref="K185" si="323">(K124-4)/4</f>
        <v>0.8398072270655943</v>
      </c>
      <c r="L185">
        <f t="shared" ref="L185:S185" si="324">(L124-4)/4</f>
        <v>0.67512013371787249</v>
      </c>
      <c r="M185">
        <f t="shared" si="324"/>
        <v>0.69954146176743515</v>
      </c>
      <c r="N185">
        <f t="shared" si="324"/>
        <v>0.72639873156551138</v>
      </c>
      <c r="O185">
        <f t="shared" si="324"/>
        <v>0.69499566229573873</v>
      </c>
      <c r="P185">
        <f t="shared" si="324"/>
        <v>0.90561384720269955</v>
      </c>
      <c r="Q185">
        <f t="shared" si="324"/>
        <v>0.81363114104113521</v>
      </c>
      <c r="R185">
        <f t="shared" si="324"/>
        <v>0.64536285631056312</v>
      </c>
      <c r="S185">
        <f t="shared" si="324"/>
        <v>0.86705532369741722</v>
      </c>
      <c r="BF185" s="2"/>
    </row>
    <row r="186" spans="2:58" x14ac:dyDescent="0.3">
      <c r="B186" t="s">
        <v>6</v>
      </c>
      <c r="C186">
        <f t="shared" ref="C186:J186" si="325">(8-C124)/4</f>
        <v>0.16228890009441033</v>
      </c>
      <c r="D186">
        <f t="shared" si="325"/>
        <v>0.17756356549295149</v>
      </c>
      <c r="E186">
        <f t="shared" si="325"/>
        <v>0.34213606661261542</v>
      </c>
      <c r="F186">
        <f t="shared" si="325"/>
        <v>0.37320640648327874</v>
      </c>
      <c r="G186">
        <f t="shared" si="325"/>
        <v>0.45160715412954189</v>
      </c>
      <c r="H186">
        <f t="shared" si="325"/>
        <v>0.45142209798741129</v>
      </c>
      <c r="I186">
        <f t="shared" si="325"/>
        <v>0.13852742402933838</v>
      </c>
      <c r="J186">
        <f t="shared" si="325"/>
        <v>0.21350607319742632</v>
      </c>
      <c r="K186">
        <f t="shared" ref="K186" si="326">(8-K124)/4</f>
        <v>0.1601927729344057</v>
      </c>
      <c r="L186">
        <f t="shared" ref="L186:S186" si="327">(8-L124)/4</f>
        <v>0.32487986628212751</v>
      </c>
      <c r="M186">
        <f t="shared" si="327"/>
        <v>0.30045853823256485</v>
      </c>
      <c r="N186">
        <f t="shared" si="327"/>
        <v>0.27360126843448862</v>
      </c>
      <c r="O186">
        <f t="shared" si="327"/>
        <v>0.30500433770426127</v>
      </c>
      <c r="P186">
        <f t="shared" si="327"/>
        <v>9.4386152797300449E-2</v>
      </c>
      <c r="Q186">
        <f t="shared" si="327"/>
        <v>0.18636885895886479</v>
      </c>
      <c r="R186">
        <f t="shared" si="327"/>
        <v>0.35463714368943688</v>
      </c>
      <c r="S186">
        <f t="shared" si="327"/>
        <v>0.13294467630258278</v>
      </c>
      <c r="BF186" s="1"/>
    </row>
    <row r="187" spans="2:58" x14ac:dyDescent="0.3">
      <c r="B187" s="1" t="s">
        <v>5</v>
      </c>
      <c r="C187">
        <f t="shared" ref="C187:J187" si="328">(C124+C126-8)/2</f>
        <v>4.8521228672669281E-2</v>
      </c>
      <c r="D187">
        <f t="shared" si="328"/>
        <v>6.2737316505136143E-2</v>
      </c>
      <c r="E187">
        <f t="shared" si="328"/>
        <v>0.16564131041160746</v>
      </c>
      <c r="F187">
        <f t="shared" si="328"/>
        <v>0.41851584135368824</v>
      </c>
      <c r="G187">
        <f t="shared" si="328"/>
        <v>0.19029955653218522</v>
      </c>
      <c r="H187">
        <f t="shared" si="328"/>
        <v>0.24669459835807217</v>
      </c>
      <c r="I187">
        <f t="shared" si="328"/>
        <v>5.7391851358868706E-2</v>
      </c>
      <c r="J187">
        <f t="shared" si="328"/>
        <v>0.10368841450859634</v>
      </c>
      <c r="K187">
        <f t="shared" ref="K187" si="329">(K124+K126-8)/2</f>
        <v>7.3144265112000895E-2</v>
      </c>
      <c r="L187">
        <f t="shared" ref="L187:S187" si="330">(L124+L126-8)/2</f>
        <v>0.23337610337925341</v>
      </c>
      <c r="M187">
        <f t="shared" si="330"/>
        <v>0.2948113581328462</v>
      </c>
      <c r="N187">
        <f t="shared" si="330"/>
        <v>0.1667537338281857</v>
      </c>
      <c r="O187">
        <f t="shared" si="330"/>
        <v>0.21511923136974787</v>
      </c>
      <c r="P187">
        <f t="shared" si="330"/>
        <v>-5.2046673393654874E-2</v>
      </c>
      <c r="Q187">
        <f t="shared" si="330"/>
        <v>7.082040867818673E-2</v>
      </c>
      <c r="R187">
        <f t="shared" si="330"/>
        <v>9.6092702854325474E-2</v>
      </c>
      <c r="S187">
        <f t="shared" si="330"/>
        <v>6.7387915266554188E-2</v>
      </c>
      <c r="BF187" s="1"/>
    </row>
    <row r="188" spans="2:58" x14ac:dyDescent="0.3">
      <c r="B188" t="s">
        <v>4</v>
      </c>
      <c r="C188">
        <f t="shared" ref="C188:J188" si="331">C133</f>
        <v>7.3087494869911354E-2</v>
      </c>
      <c r="D188">
        <f t="shared" si="331"/>
        <v>8.8349473903091474E-2</v>
      </c>
      <c r="E188">
        <f t="shared" si="331"/>
        <v>0.19549482178823227</v>
      </c>
      <c r="F188">
        <f t="shared" si="331"/>
        <v>0.17094493183389112</v>
      </c>
      <c r="G188">
        <f t="shared" si="331"/>
        <v>0.18299011798500758</v>
      </c>
      <c r="H188">
        <f t="shared" si="331"/>
        <v>0.19143083816882026</v>
      </c>
      <c r="I188">
        <f t="shared" si="331"/>
        <v>6.9582420132796211E-2</v>
      </c>
      <c r="J188">
        <f t="shared" si="331"/>
        <v>6.7362050272401663E-2</v>
      </c>
      <c r="K188">
        <f t="shared" ref="K188" si="332">K133</f>
        <v>7.9514445454697963E-2</v>
      </c>
      <c r="L188">
        <f t="shared" ref="L188:S188" si="333">L133</f>
        <v>0.10891649022908363</v>
      </c>
      <c r="M188">
        <f t="shared" si="333"/>
        <v>0.14781769159709282</v>
      </c>
      <c r="N188">
        <f t="shared" si="333"/>
        <v>0.11601519529127489</v>
      </c>
      <c r="O188">
        <f t="shared" si="333"/>
        <v>0.13350195944658197</v>
      </c>
      <c r="P188">
        <f t="shared" si="333"/>
        <v>3.9949986552838983E-2</v>
      </c>
      <c r="Q188">
        <f t="shared" si="333"/>
        <v>6.0132774101911306E-2</v>
      </c>
      <c r="R188">
        <f t="shared" si="333"/>
        <v>9.5304625325250011E-2</v>
      </c>
      <c r="S188">
        <f t="shared" si="333"/>
        <v>8.2972686814490465E-2</v>
      </c>
      <c r="BF188" s="1"/>
    </row>
    <row r="189" spans="2:58" x14ac:dyDescent="0.3">
      <c r="B189" s="1" t="s">
        <v>3</v>
      </c>
      <c r="C189">
        <f t="shared" ref="C189:J189" si="334">3-C131-C132-C133-C184</f>
        <v>0.77401921700469423</v>
      </c>
      <c r="D189">
        <f t="shared" si="334"/>
        <v>0.71699272711819262</v>
      </c>
      <c r="E189">
        <f t="shared" si="334"/>
        <v>0.4762605778256559</v>
      </c>
      <c r="F189">
        <f t="shared" si="334"/>
        <v>0.58540546145077443</v>
      </c>
      <c r="G189">
        <f t="shared" si="334"/>
        <v>0.41304520264490119</v>
      </c>
      <c r="H189">
        <f t="shared" si="334"/>
        <v>0.40860570044493516</v>
      </c>
      <c r="I189">
        <f t="shared" si="334"/>
        <v>0.79735802054519744</v>
      </c>
      <c r="J189">
        <f t="shared" si="334"/>
        <v>0.85061260901008295</v>
      </c>
      <c r="K189">
        <f t="shared" ref="K189" si="335">3-K131-K132-K133-K184</f>
        <v>0.81695447407096666</v>
      </c>
      <c r="L189">
        <f t="shared" ref="L189:S189" si="336">3-L131-L132-L133-L184</f>
        <v>0.75727197622656062</v>
      </c>
      <c r="M189">
        <f t="shared" si="336"/>
        <v>0.69132079180456119</v>
      </c>
      <c r="N189">
        <f t="shared" si="336"/>
        <v>0.63437913852431982</v>
      </c>
      <c r="O189">
        <f t="shared" si="336"/>
        <v>0.60439466312103962</v>
      </c>
      <c r="P189">
        <f t="shared" si="336"/>
        <v>0.86249732882989738</v>
      </c>
      <c r="Q189">
        <f t="shared" si="336"/>
        <v>0.85966889297702642</v>
      </c>
      <c r="R189">
        <f t="shared" si="336"/>
        <v>0.53860429647758346</v>
      </c>
      <c r="S189">
        <f t="shared" si="336"/>
        <v>0.80754687452308127</v>
      </c>
      <c r="BF189" s="1"/>
    </row>
    <row r="190" spans="2:58" x14ac:dyDescent="0.3">
      <c r="B190" t="s">
        <v>2</v>
      </c>
      <c r="C190">
        <f t="shared" ref="C190:J190" si="337">C131+C132+C184-2</f>
        <v>0.15289328812539438</v>
      </c>
      <c r="D190">
        <f t="shared" si="337"/>
        <v>0.19465779897871593</v>
      </c>
      <c r="E190">
        <f t="shared" si="337"/>
        <v>0.3282446003861117</v>
      </c>
      <c r="F190">
        <f t="shared" si="337"/>
        <v>0.24364960671533442</v>
      </c>
      <c r="G190">
        <f t="shared" si="337"/>
        <v>0.40396467937009106</v>
      </c>
      <c r="H190">
        <f t="shared" si="337"/>
        <v>0.39996346138624439</v>
      </c>
      <c r="I190">
        <f t="shared" si="337"/>
        <v>0.1330595593220063</v>
      </c>
      <c r="J190">
        <f t="shared" si="337"/>
        <v>8.2025340717515327E-2</v>
      </c>
      <c r="K190">
        <f t="shared" ref="K190" si="338">K131+K132+K184-2</f>
        <v>0.10353108047433546</v>
      </c>
      <c r="L190">
        <f t="shared" ref="L190:S190" si="339">L131+L132+L184-2</f>
        <v>0.13381153354435593</v>
      </c>
      <c r="M190">
        <f t="shared" si="339"/>
        <v>0.16086151659834602</v>
      </c>
      <c r="N190">
        <f t="shared" si="339"/>
        <v>0.24960566618440527</v>
      </c>
      <c r="O190">
        <f t="shared" si="339"/>
        <v>0.26210337743237844</v>
      </c>
      <c r="P190">
        <f t="shared" si="339"/>
        <v>9.755268461726363E-2</v>
      </c>
      <c r="Q190">
        <f t="shared" si="339"/>
        <v>8.0198332921062487E-2</v>
      </c>
      <c r="R190">
        <f t="shared" si="339"/>
        <v>0.36609107819716646</v>
      </c>
      <c r="S190">
        <f t="shared" si="339"/>
        <v>0.10948043866242818</v>
      </c>
    </row>
    <row r="191" spans="2:58" x14ac:dyDescent="0.3">
      <c r="B191" s="1" t="s">
        <v>1</v>
      </c>
      <c r="C191">
        <f t="shared" ref="C191:J191" si="340">(2-C131-C184)/2</f>
        <v>5.4569525448111E-2</v>
      </c>
      <c r="D191">
        <f t="shared" si="340"/>
        <v>5.1540319197953988E-2</v>
      </c>
      <c r="E191">
        <f t="shared" si="340"/>
        <v>6.4539353651789866E-2</v>
      </c>
      <c r="F191">
        <f t="shared" si="340"/>
        <v>0.10148935299964557</v>
      </c>
      <c r="G191">
        <f t="shared" si="340"/>
        <v>7.7591158321170028E-2</v>
      </c>
      <c r="H191">
        <f t="shared" si="340"/>
        <v>8.5137541309239562E-2</v>
      </c>
      <c r="I191">
        <f t="shared" si="340"/>
        <v>5.7800141876398814E-2</v>
      </c>
      <c r="J191">
        <f t="shared" si="340"/>
        <v>4.856751300246287E-2</v>
      </c>
      <c r="K191">
        <f t="shared" ref="K191" si="341">(2-K131-K184)/2</f>
        <v>6.3326511505644723E-2</v>
      </c>
      <c r="L191">
        <f t="shared" ref="L191:S191" si="342">(2-L131-L184)/2</f>
        <v>7.497889370262556E-2</v>
      </c>
      <c r="M191">
        <f t="shared" si="342"/>
        <v>6.7368217575551226E-2</v>
      </c>
      <c r="N191">
        <f t="shared" si="342"/>
        <v>6.5737353213921157E-2</v>
      </c>
      <c r="O191">
        <f t="shared" si="342"/>
        <v>9.0420700452042535E-2</v>
      </c>
      <c r="P191">
        <f t="shared" si="342"/>
        <v>-1.8418196767720163E-2</v>
      </c>
      <c r="Q191">
        <f t="shared" si="342"/>
        <v>7.413863844774482E-2</v>
      </c>
      <c r="R191">
        <f t="shared" si="342"/>
        <v>7.8242919258995958E-2</v>
      </c>
      <c r="S191">
        <f t="shared" si="342"/>
        <v>4.9431424031268989E-2</v>
      </c>
    </row>
    <row r="192" spans="2:58" x14ac:dyDescent="0.3">
      <c r="B192" t="s">
        <v>0</v>
      </c>
      <c r="C192">
        <f t="shared" ref="C192:J192" si="343">C131/2</f>
        <v>0.87039862526127865</v>
      </c>
      <c r="D192">
        <f t="shared" si="343"/>
        <v>0.87752526977347189</v>
      </c>
      <c r="E192">
        <f t="shared" si="343"/>
        <v>0.83866285018726361</v>
      </c>
      <c r="F192">
        <f t="shared" si="343"/>
        <v>0.8307838539511766</v>
      </c>
      <c r="G192">
        <f t="shared" si="343"/>
        <v>0.82587510316773682</v>
      </c>
      <c r="H192">
        <f t="shared" si="343"/>
        <v>0.82639868158341845</v>
      </c>
      <c r="I192">
        <f t="shared" si="343"/>
        <v>0.84738764528150956</v>
      </c>
      <c r="J192">
        <f t="shared" si="343"/>
        <v>0.89028141286904028</v>
      </c>
      <c r="K192">
        <f t="shared" ref="K192" si="344">K131/2</f>
        <v>0.77594539816667418</v>
      </c>
      <c r="L192">
        <f t="shared" ref="L192:S192" si="345">L131/2</f>
        <v>0.82410277652607078</v>
      </c>
      <c r="M192">
        <f t="shared" si="345"/>
        <v>0.85433678909424082</v>
      </c>
      <c r="N192">
        <f t="shared" si="345"/>
        <v>0.8368688326510747</v>
      </c>
      <c r="O192">
        <f t="shared" si="345"/>
        <v>0.80777335791891991</v>
      </c>
      <c r="P192">
        <f t="shared" si="345"/>
        <v>0.8090846106259193</v>
      </c>
      <c r="Q192">
        <f t="shared" si="345"/>
        <v>0.83173786308160047</v>
      </c>
      <c r="R192">
        <f t="shared" si="345"/>
        <v>0.79573114613551743</v>
      </c>
      <c r="S192">
        <f t="shared" si="345"/>
        <v>0.91728874577740527</v>
      </c>
    </row>
  </sheetData>
  <conditionalFormatting sqref="C115:BE119">
    <cfRule type="cellIs" dxfId="25" priority="12" operator="greaterThan">
      <formula>1</formula>
    </cfRule>
  </conditionalFormatting>
  <conditionalFormatting sqref="A115:A116">
    <cfRule type="cellIs" dxfId="24" priority="5" operator="greaterThan">
      <formula>1</formula>
    </cfRule>
  </conditionalFormatting>
  <conditionalFormatting sqref="A108:A112">
    <cfRule type="top10" dxfId="23" priority="6" bottom="1" rank="1"/>
  </conditionalFormatting>
  <conditionalFormatting sqref="A115:A116">
    <cfRule type="top10" dxfId="22" priority="7" rank="1"/>
  </conditionalFormatting>
  <conditionalFormatting sqref="A117">
    <cfRule type="top10" dxfId="21" priority="4" rank="1"/>
  </conditionalFormatting>
  <conditionalFormatting sqref="A117">
    <cfRule type="cellIs" dxfId="20" priority="3" operator="greaterThan">
      <formula>1</formula>
    </cfRule>
  </conditionalFormatting>
  <conditionalFormatting sqref="A118:A119">
    <cfRule type="top10" dxfId="19" priority="2" rank="1"/>
  </conditionalFormatting>
  <conditionalFormatting sqref="A118:A119">
    <cfRule type="cellIs" dxfId="18" priority="1" operator="greaterThan">
      <formula>1</formula>
    </cfRule>
  </conditionalFormatting>
  <conditionalFormatting sqref="C108:BE112">
    <cfRule type="top10" dxfId="17" priority="18" bottom="1" rank="1"/>
  </conditionalFormatting>
  <conditionalFormatting sqref="C115:BE116">
    <cfRule type="top10" dxfId="16" priority="20" rank="1"/>
  </conditionalFormatting>
  <conditionalFormatting sqref="C117:BE117">
    <cfRule type="top10" dxfId="15" priority="22" rank="1"/>
  </conditionalFormatting>
  <conditionalFormatting sqref="C118:BE119">
    <cfRule type="top10" dxfId="14" priority="26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M192"/>
  <sheetViews>
    <sheetView zoomScale="90" zoomScaleNormal="90" workbookViewId="0">
      <selection activeCell="C13" sqref="C13:S13"/>
    </sheetView>
  </sheetViews>
  <sheetFormatPr defaultColWidth="8.88671875" defaultRowHeight="14.4" x14ac:dyDescent="0.3"/>
  <cols>
    <col min="1" max="1" width="12.77734375" customWidth="1"/>
    <col min="2" max="2" width="9.44140625" customWidth="1"/>
    <col min="3" max="10" width="10.44140625" bestFit="1" customWidth="1"/>
    <col min="11" max="11" width="10.44140625" style="40" bestFit="1" customWidth="1"/>
    <col min="12" max="12" width="12" bestFit="1" customWidth="1"/>
    <col min="17" max="17" width="12" bestFit="1" customWidth="1"/>
  </cols>
  <sheetData>
    <row r="2" spans="2:65" ht="15" thickBot="1" x14ac:dyDescent="0.35">
      <c r="B2" s="14"/>
      <c r="K2" s="40" t="s">
        <v>112</v>
      </c>
      <c r="L2" s="3"/>
      <c r="M2" s="3"/>
    </row>
    <row r="3" spans="2:65" ht="15" thickBot="1" x14ac:dyDescent="0.35">
      <c r="B3" t="s">
        <v>72</v>
      </c>
      <c r="C3" s="24">
        <v>40.57</v>
      </c>
      <c r="D3" s="24">
        <v>39.450000000000003</v>
      </c>
      <c r="E3" s="24">
        <v>42.88</v>
      </c>
      <c r="F3" s="24">
        <v>42.2</v>
      </c>
      <c r="G3" s="24">
        <v>40.369999999999997</v>
      </c>
      <c r="H3" s="24">
        <v>43.4</v>
      </c>
      <c r="I3" s="24">
        <v>42.27</v>
      </c>
      <c r="J3" s="24">
        <v>41.2</v>
      </c>
      <c r="K3" s="41">
        <v>49.17</v>
      </c>
      <c r="L3" s="24"/>
      <c r="M3" s="3"/>
      <c r="P3" s="25" t="s">
        <v>76</v>
      </c>
      <c r="Q3" s="24">
        <v>40.57</v>
      </c>
      <c r="R3" s="24">
        <v>39.450000000000003</v>
      </c>
      <c r="S3" s="24">
        <v>42.88</v>
      </c>
      <c r="T3" s="24">
        <v>42.2</v>
      </c>
      <c r="U3" s="24">
        <v>40.369999999999997</v>
      </c>
      <c r="V3" s="24">
        <v>43.4</v>
      </c>
      <c r="W3" s="24">
        <v>42.27</v>
      </c>
      <c r="X3" s="24">
        <v>41.2</v>
      </c>
      <c r="Y3" s="24">
        <v>43.33</v>
      </c>
      <c r="Z3" s="24">
        <v>39.65</v>
      </c>
      <c r="AA3" s="9"/>
      <c r="AB3" s="9"/>
      <c r="AC3" s="9"/>
      <c r="AD3" s="9"/>
      <c r="AE3" s="9"/>
      <c r="AF3" s="9"/>
      <c r="AG3" s="10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10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3"/>
    </row>
    <row r="4" spans="2:65" ht="15" thickBot="1" x14ac:dyDescent="0.35">
      <c r="B4" t="s">
        <v>71</v>
      </c>
      <c r="C4" s="24">
        <v>2.4500000000000002</v>
      </c>
      <c r="D4" s="24">
        <v>1.88</v>
      </c>
      <c r="E4" s="24">
        <v>3.46</v>
      </c>
      <c r="F4" s="24">
        <v>2.75</v>
      </c>
      <c r="G4" s="24">
        <v>2.2799999999999998</v>
      </c>
      <c r="H4" s="24">
        <v>3.39</v>
      </c>
      <c r="I4" s="24">
        <v>2.7</v>
      </c>
      <c r="J4" s="24">
        <v>2.02</v>
      </c>
      <c r="K4" s="41">
        <v>0.56999999999999995</v>
      </c>
      <c r="L4" s="24"/>
      <c r="M4" s="3"/>
      <c r="P4" s="25" t="s">
        <v>77</v>
      </c>
      <c r="Q4" s="24">
        <v>2.4500000000000002</v>
      </c>
      <c r="R4" s="24">
        <v>1.88</v>
      </c>
      <c r="S4" s="24">
        <v>3.46</v>
      </c>
      <c r="T4" s="24">
        <v>2.75</v>
      </c>
      <c r="U4" s="24">
        <v>2.2799999999999998</v>
      </c>
      <c r="V4" s="24">
        <v>3.39</v>
      </c>
      <c r="W4" s="24">
        <v>2.7</v>
      </c>
      <c r="X4" s="24">
        <v>2.02</v>
      </c>
      <c r="Y4" s="24">
        <v>3.28</v>
      </c>
      <c r="Z4" s="24">
        <v>2.02</v>
      </c>
      <c r="AA4" s="9"/>
      <c r="AB4" s="9"/>
      <c r="AC4" s="9"/>
      <c r="AD4" s="9"/>
      <c r="AE4" s="9"/>
      <c r="AF4" s="9"/>
      <c r="AG4" s="10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10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3"/>
    </row>
    <row r="5" spans="2:65" ht="15" thickBot="1" x14ac:dyDescent="0.35">
      <c r="B5" t="s">
        <v>70</v>
      </c>
      <c r="C5" s="24">
        <v>12.82</v>
      </c>
      <c r="D5" s="24">
        <v>10.8</v>
      </c>
      <c r="E5" s="24">
        <v>14.28</v>
      </c>
      <c r="F5" s="24">
        <v>11.1</v>
      </c>
      <c r="G5" s="24">
        <v>10.06</v>
      </c>
      <c r="H5" s="24">
        <v>12.15</v>
      </c>
      <c r="I5" s="24">
        <v>11.33</v>
      </c>
      <c r="J5" s="24">
        <v>10.91</v>
      </c>
      <c r="K5" s="41">
        <v>4.99</v>
      </c>
      <c r="L5" s="24"/>
      <c r="M5" s="3"/>
      <c r="P5" s="25" t="s">
        <v>78</v>
      </c>
      <c r="Q5" s="24">
        <v>12.82</v>
      </c>
      <c r="R5" s="24">
        <v>10.8</v>
      </c>
      <c r="S5" s="24">
        <v>14.28</v>
      </c>
      <c r="T5" s="24">
        <v>11.1</v>
      </c>
      <c r="U5" s="24">
        <v>10.06</v>
      </c>
      <c r="V5" s="24">
        <v>12.15</v>
      </c>
      <c r="W5" s="24">
        <v>11.33</v>
      </c>
      <c r="X5" s="24">
        <v>10.91</v>
      </c>
      <c r="Y5" s="24">
        <v>12.27</v>
      </c>
      <c r="Z5" s="24">
        <v>14.58</v>
      </c>
      <c r="AA5" s="9"/>
      <c r="AB5" s="9"/>
      <c r="AC5" s="9"/>
      <c r="AD5" s="9"/>
      <c r="AE5" s="9"/>
      <c r="AF5" s="9"/>
      <c r="AG5" s="10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10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"/>
    </row>
    <row r="6" spans="2:65" ht="15" thickBot="1" x14ac:dyDescent="0.35">
      <c r="B6" t="s">
        <v>69</v>
      </c>
      <c r="C6" s="24">
        <v>0</v>
      </c>
      <c r="D6" s="24">
        <v>0</v>
      </c>
      <c r="E6" s="24">
        <v>0.03</v>
      </c>
      <c r="F6" s="24">
        <v>0.01</v>
      </c>
      <c r="G6" s="24">
        <v>0</v>
      </c>
      <c r="H6" s="24">
        <v>0.22</v>
      </c>
      <c r="I6" s="24">
        <v>0.01</v>
      </c>
      <c r="J6" s="24">
        <v>0</v>
      </c>
      <c r="K6" s="41"/>
      <c r="L6" s="24"/>
      <c r="M6" s="3"/>
      <c r="P6" s="25" t="s">
        <v>85</v>
      </c>
      <c r="Q6" s="24">
        <v>0</v>
      </c>
      <c r="R6" s="24">
        <v>0</v>
      </c>
      <c r="S6" s="24">
        <v>0.03</v>
      </c>
      <c r="T6" s="24">
        <v>0.01</v>
      </c>
      <c r="U6" s="24">
        <v>0</v>
      </c>
      <c r="V6" s="24">
        <v>0.22</v>
      </c>
      <c r="W6" s="24">
        <v>0.01</v>
      </c>
      <c r="X6" s="24">
        <v>0</v>
      </c>
      <c r="Y6" s="24">
        <v>0.05</v>
      </c>
      <c r="Z6" s="24">
        <v>0.01</v>
      </c>
      <c r="AA6" s="9"/>
      <c r="AB6" s="9"/>
      <c r="AC6" s="9"/>
      <c r="AD6" s="9"/>
      <c r="AE6" s="9"/>
      <c r="AF6" s="9"/>
      <c r="AG6" s="10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10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3"/>
    </row>
    <row r="7" spans="2:65" ht="15" thickBot="1" x14ac:dyDescent="0.35">
      <c r="B7" t="s">
        <v>68</v>
      </c>
      <c r="C7" s="24">
        <v>13.11</v>
      </c>
      <c r="D7" s="24">
        <v>11.85</v>
      </c>
      <c r="E7" s="24">
        <v>15.99</v>
      </c>
      <c r="F7" s="24">
        <v>13.1</v>
      </c>
      <c r="G7" s="24">
        <v>11.76</v>
      </c>
      <c r="H7" s="24">
        <v>15.28</v>
      </c>
      <c r="I7" s="24">
        <v>13.3</v>
      </c>
      <c r="J7" s="24">
        <v>12.02</v>
      </c>
      <c r="K7" s="41">
        <v>13.27</v>
      </c>
      <c r="L7" s="24"/>
      <c r="M7" s="3"/>
      <c r="P7" s="26" t="s">
        <v>79</v>
      </c>
      <c r="Q7" s="24">
        <v>13.11</v>
      </c>
      <c r="R7" s="24">
        <v>11.85</v>
      </c>
      <c r="S7" s="24">
        <v>15.99</v>
      </c>
      <c r="T7" s="24">
        <v>13.1</v>
      </c>
      <c r="U7" s="24">
        <v>11.76</v>
      </c>
      <c r="V7" s="24">
        <v>15.28</v>
      </c>
      <c r="W7" s="24">
        <v>13.3</v>
      </c>
      <c r="X7" s="24">
        <v>12.02</v>
      </c>
      <c r="Y7" s="24">
        <v>14.63</v>
      </c>
      <c r="Z7" s="24">
        <v>12.26</v>
      </c>
      <c r="AA7" s="9"/>
      <c r="AB7" s="9"/>
      <c r="AC7" s="9"/>
      <c r="AD7" s="9"/>
      <c r="AE7" s="9"/>
      <c r="AF7" s="9"/>
      <c r="AG7" s="10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10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3"/>
    </row>
    <row r="8" spans="2:65" ht="15" thickBot="1" x14ac:dyDescent="0.35">
      <c r="B8" t="s">
        <v>67</v>
      </c>
      <c r="C8" s="24">
        <v>0.26</v>
      </c>
      <c r="D8" s="24">
        <v>0</v>
      </c>
      <c r="E8" s="24">
        <v>0.54</v>
      </c>
      <c r="F8" s="24">
        <v>0.39</v>
      </c>
      <c r="G8" s="24">
        <v>0.19</v>
      </c>
      <c r="H8" s="24">
        <v>0.67</v>
      </c>
      <c r="I8" s="24">
        <v>0.4</v>
      </c>
      <c r="J8" s="24">
        <v>0.22</v>
      </c>
      <c r="K8" s="41">
        <v>0.45</v>
      </c>
      <c r="L8" s="24"/>
      <c r="M8" s="3"/>
      <c r="P8" s="25" t="s">
        <v>80</v>
      </c>
      <c r="Q8" s="24">
        <v>0.26</v>
      </c>
      <c r="R8" s="24">
        <v>0</v>
      </c>
      <c r="S8" s="24">
        <v>0.54</v>
      </c>
      <c r="T8" s="24">
        <v>0.39</v>
      </c>
      <c r="U8" s="24">
        <v>0.19</v>
      </c>
      <c r="V8" s="24">
        <v>0.67</v>
      </c>
      <c r="W8" s="24">
        <v>0.4</v>
      </c>
      <c r="X8" s="24">
        <v>0.22</v>
      </c>
      <c r="Y8" s="24">
        <v>0.62</v>
      </c>
      <c r="Z8" s="24">
        <v>0.13</v>
      </c>
      <c r="AA8" s="9"/>
      <c r="AB8" s="9"/>
      <c r="AC8" s="9"/>
      <c r="AD8" s="9"/>
      <c r="AE8" s="9"/>
      <c r="AF8" s="9"/>
      <c r="AG8" s="10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10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3"/>
    </row>
    <row r="9" spans="2:65" ht="15" thickBot="1" x14ac:dyDescent="0.35">
      <c r="B9" t="s">
        <v>66</v>
      </c>
      <c r="C9" s="24">
        <v>13.02</v>
      </c>
      <c r="D9" s="24">
        <v>11.32</v>
      </c>
      <c r="E9" s="24">
        <v>14.25</v>
      </c>
      <c r="F9" s="24">
        <v>13.55</v>
      </c>
      <c r="G9" s="24">
        <v>12.41</v>
      </c>
      <c r="H9" s="24">
        <v>14.38</v>
      </c>
      <c r="I9" s="24">
        <v>13.22</v>
      </c>
      <c r="J9" s="24">
        <v>12.02</v>
      </c>
      <c r="K9" s="41">
        <v>14</v>
      </c>
      <c r="L9" s="24"/>
      <c r="M9" s="3"/>
      <c r="P9" s="25" t="s">
        <v>81</v>
      </c>
      <c r="Q9" s="24">
        <v>13.02</v>
      </c>
      <c r="R9" s="24">
        <v>11.32</v>
      </c>
      <c r="S9" s="24">
        <v>14.25</v>
      </c>
      <c r="T9" s="24">
        <v>13.55</v>
      </c>
      <c r="U9" s="24">
        <v>12.41</v>
      </c>
      <c r="V9" s="24">
        <v>14.38</v>
      </c>
      <c r="W9" s="24">
        <v>13.22</v>
      </c>
      <c r="X9" s="24">
        <v>12.02</v>
      </c>
      <c r="Y9" s="24">
        <v>13.86</v>
      </c>
      <c r="Z9" s="24">
        <v>13.09</v>
      </c>
      <c r="AA9" s="9"/>
      <c r="AB9" s="9"/>
      <c r="AC9" s="9"/>
      <c r="AD9" s="9"/>
      <c r="AE9" s="9"/>
      <c r="AF9" s="9"/>
      <c r="AG9" s="10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10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3"/>
    </row>
    <row r="10" spans="2:65" ht="15" thickBot="1" x14ac:dyDescent="0.35">
      <c r="B10" t="s">
        <v>65</v>
      </c>
      <c r="C10" s="24">
        <v>11.63</v>
      </c>
      <c r="D10" s="24">
        <v>10.94</v>
      </c>
      <c r="E10" s="24">
        <v>12.12</v>
      </c>
      <c r="F10" s="24">
        <v>11.07</v>
      </c>
      <c r="G10" s="24">
        <v>10.4</v>
      </c>
      <c r="H10" s="24">
        <v>11.55</v>
      </c>
      <c r="I10" s="24">
        <v>11.05</v>
      </c>
      <c r="J10" s="24">
        <v>10.58</v>
      </c>
      <c r="K10" s="41">
        <v>12.25</v>
      </c>
      <c r="L10" s="24"/>
      <c r="M10" s="3"/>
      <c r="P10" s="25" t="s">
        <v>82</v>
      </c>
      <c r="Q10" s="24">
        <v>11.63</v>
      </c>
      <c r="R10" s="24">
        <v>10.94</v>
      </c>
      <c r="S10" s="24">
        <v>12.12</v>
      </c>
      <c r="T10" s="24">
        <v>11.07</v>
      </c>
      <c r="U10" s="24">
        <v>10.4</v>
      </c>
      <c r="V10" s="24">
        <v>11.55</v>
      </c>
      <c r="W10" s="24">
        <v>11.05</v>
      </c>
      <c r="X10" s="24">
        <v>10.58</v>
      </c>
      <c r="Y10" s="24">
        <v>11.53</v>
      </c>
      <c r="Z10" s="24">
        <v>11.96</v>
      </c>
      <c r="AA10" s="9"/>
      <c r="AB10" s="9"/>
      <c r="AC10" s="9"/>
      <c r="AD10" s="9"/>
      <c r="AE10" s="9"/>
      <c r="AF10" s="9"/>
      <c r="AG10" s="10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10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3"/>
    </row>
    <row r="11" spans="2:65" ht="15" thickBot="1" x14ac:dyDescent="0.35">
      <c r="B11" t="s">
        <v>64</v>
      </c>
      <c r="C11" s="24">
        <v>2.2000000000000002</v>
      </c>
      <c r="D11" s="24">
        <v>2.04</v>
      </c>
      <c r="E11" s="24">
        <v>2.4300000000000002</v>
      </c>
      <c r="F11" s="24">
        <v>2.27</v>
      </c>
      <c r="G11" s="24">
        <v>2.09</v>
      </c>
      <c r="H11" s="24">
        <v>2.48</v>
      </c>
      <c r="I11" s="24">
        <v>2.2799999999999998</v>
      </c>
      <c r="J11" s="24">
        <v>2.15</v>
      </c>
      <c r="K11" s="41">
        <v>0.73</v>
      </c>
      <c r="L11" s="24"/>
      <c r="M11" s="3"/>
      <c r="P11" s="25" t="s">
        <v>83</v>
      </c>
      <c r="Q11" s="24">
        <v>2.2000000000000002</v>
      </c>
      <c r="R11" s="24">
        <v>2.04</v>
      </c>
      <c r="S11" s="24">
        <v>2.4300000000000002</v>
      </c>
      <c r="T11" s="24">
        <v>2.27</v>
      </c>
      <c r="U11" s="24">
        <v>2.09</v>
      </c>
      <c r="V11" s="24">
        <v>2.48</v>
      </c>
      <c r="W11" s="24">
        <v>2.2799999999999998</v>
      </c>
      <c r="X11" s="24">
        <v>2.15</v>
      </c>
      <c r="Y11" s="24">
        <v>2.46</v>
      </c>
      <c r="Z11" s="24">
        <v>2.13</v>
      </c>
      <c r="AA11" s="9"/>
      <c r="AB11" s="9"/>
      <c r="AC11" s="9"/>
      <c r="AD11" s="9"/>
      <c r="AE11" s="9"/>
      <c r="AF11" s="9"/>
      <c r="AG11" s="10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10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3"/>
    </row>
    <row r="12" spans="2:65" ht="15" thickBot="1" x14ac:dyDescent="0.35">
      <c r="B12" t="s">
        <v>63</v>
      </c>
      <c r="C12" s="24">
        <v>0.92</v>
      </c>
      <c r="D12" s="24">
        <v>0.75</v>
      </c>
      <c r="E12" s="24">
        <v>1.18</v>
      </c>
      <c r="F12" s="24">
        <v>0.95</v>
      </c>
      <c r="G12" s="24">
        <v>0.82</v>
      </c>
      <c r="H12" s="24">
        <v>1.1399999999999999</v>
      </c>
      <c r="I12" s="24">
        <v>0.99</v>
      </c>
      <c r="J12" s="24">
        <v>0.77</v>
      </c>
      <c r="K12" s="41">
        <v>0.45</v>
      </c>
      <c r="L12" s="24"/>
      <c r="M12" s="3"/>
      <c r="P12" s="25" t="s">
        <v>84</v>
      </c>
      <c r="Q12" s="24">
        <v>0.92</v>
      </c>
      <c r="R12" s="24">
        <v>0.75</v>
      </c>
      <c r="S12" s="24">
        <v>1.18</v>
      </c>
      <c r="T12" s="24">
        <v>0.95</v>
      </c>
      <c r="U12" s="24">
        <v>0.82</v>
      </c>
      <c r="V12" s="24">
        <v>1.1399999999999999</v>
      </c>
      <c r="W12" s="24">
        <v>0.99</v>
      </c>
      <c r="X12" s="24">
        <v>0.77</v>
      </c>
      <c r="Y12" s="24">
        <v>1.17</v>
      </c>
      <c r="Z12" s="24">
        <v>1.1599999999999999</v>
      </c>
      <c r="AA12" s="9"/>
      <c r="AB12" s="9"/>
      <c r="AC12" s="9"/>
      <c r="AD12" s="9"/>
      <c r="AE12" s="9"/>
      <c r="AF12" s="9"/>
      <c r="AG12" s="10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10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3"/>
    </row>
    <row r="13" spans="2:65" x14ac:dyDescent="0.3">
      <c r="B13" t="s">
        <v>62</v>
      </c>
      <c r="K13" s="40">
        <v>7.0000000000000007E-2</v>
      </c>
      <c r="L13" s="3"/>
      <c r="M13" s="3"/>
      <c r="AA13" s="9"/>
      <c r="AB13" s="9"/>
      <c r="AC13" s="9"/>
      <c r="AD13" s="9"/>
      <c r="AE13" s="9"/>
      <c r="AF13" s="9"/>
      <c r="AG13" s="10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10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3"/>
    </row>
    <row r="14" spans="2:65" x14ac:dyDescent="0.3">
      <c r="B14" t="s">
        <v>61</v>
      </c>
      <c r="C14">
        <v>97.748999999999995</v>
      </c>
      <c r="D14">
        <v>97.727900000000005</v>
      </c>
      <c r="E14">
        <v>97.452200000000005</v>
      </c>
      <c r="F14">
        <v>97.022099999999995</v>
      </c>
      <c r="G14">
        <v>97.6</v>
      </c>
      <c r="H14">
        <v>97.298400000000001</v>
      </c>
      <c r="I14">
        <v>97.265100000000004</v>
      </c>
      <c r="J14">
        <v>96.996200000000002</v>
      </c>
      <c r="K14" s="40">
        <f>SUM(K3:K13)</f>
        <v>95.95</v>
      </c>
      <c r="L14" s="3"/>
      <c r="M14" s="3"/>
      <c r="P14" s="11"/>
      <c r="Q14" s="12"/>
      <c r="R14" s="9"/>
      <c r="S14" s="11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0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10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3"/>
    </row>
    <row r="15" spans="2:65" ht="57.6" x14ac:dyDescent="0.3">
      <c r="B15" t="s">
        <v>73</v>
      </c>
      <c r="C15" s="13" t="s">
        <v>60</v>
      </c>
      <c r="D15" s="13" t="s">
        <v>59</v>
      </c>
      <c r="E15" s="13" t="s">
        <v>58</v>
      </c>
      <c r="F15" s="13" t="s">
        <v>57</v>
      </c>
      <c r="G15" s="13" t="s">
        <v>56</v>
      </c>
      <c r="H15" s="13" t="s">
        <v>55</v>
      </c>
      <c r="I15" s="13" t="s">
        <v>54</v>
      </c>
      <c r="J15" s="13" t="s">
        <v>53</v>
      </c>
      <c r="K15" s="42" t="s">
        <v>52</v>
      </c>
      <c r="L15" s="3"/>
      <c r="M15" s="3"/>
      <c r="P15" s="11"/>
      <c r="Q15" s="12"/>
      <c r="R15" s="9"/>
      <c r="S15" s="11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0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10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3"/>
    </row>
    <row r="16" spans="2:65" x14ac:dyDescent="0.3">
      <c r="C16">
        <v>1</v>
      </c>
      <c r="D16">
        <v>2</v>
      </c>
      <c r="E16">
        <v>3</v>
      </c>
      <c r="F16">
        <v>7</v>
      </c>
      <c r="G16">
        <v>8</v>
      </c>
      <c r="H16">
        <v>9</v>
      </c>
      <c r="I16">
        <v>12</v>
      </c>
      <c r="J16">
        <v>13</v>
      </c>
      <c r="K16" s="40">
        <v>14</v>
      </c>
      <c r="L16" s="3"/>
      <c r="M16" s="3"/>
      <c r="P16" s="11"/>
      <c r="Q16" s="12"/>
      <c r="R16" s="9"/>
      <c r="S16" s="11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0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10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3"/>
    </row>
    <row r="17" spans="2:65" x14ac:dyDescent="0.3">
      <c r="L17" s="3"/>
      <c r="M17" s="3"/>
      <c r="P17" s="5"/>
      <c r="Q17" s="4"/>
      <c r="S17" s="5"/>
      <c r="AG17" s="2"/>
      <c r="AT17" s="2"/>
      <c r="BM17" s="3"/>
    </row>
    <row r="18" spans="2:65" x14ac:dyDescent="0.3">
      <c r="B18" s="8" t="s">
        <v>51</v>
      </c>
      <c r="L18" s="3"/>
      <c r="M18" s="3"/>
      <c r="N18" s="8"/>
      <c r="O18" s="8"/>
      <c r="P18" s="5"/>
      <c r="Q18" s="4"/>
      <c r="S18" s="5"/>
      <c r="AG18" s="2"/>
      <c r="AT18" s="2"/>
      <c r="BM18" s="3"/>
    </row>
    <row r="19" spans="2:65" x14ac:dyDescent="0.3">
      <c r="B19" t="s">
        <v>28</v>
      </c>
      <c r="C19" s="3">
        <f>Amphibole_formula_calc!C3/60.0843</f>
        <v>0.6752179853971837</v>
      </c>
      <c r="D19" s="3">
        <f>Amphibole_formula_calc!D3/60.0843</f>
        <v>0.65657750860041653</v>
      </c>
      <c r="E19" s="3">
        <f>Amphibole_formula_calc!E3/60.0843</f>
        <v>0.71366396879051608</v>
      </c>
      <c r="F19" s="3">
        <f>Amphibole_formula_calc!F3/60.0843</f>
        <v>0.70234653644962164</v>
      </c>
      <c r="G19" s="3">
        <f>Amphibole_formula_calc!G3/60.0843</f>
        <v>0.67188932882633234</v>
      </c>
      <c r="H19" s="3">
        <f>Amphibole_formula_calc!H3/60.0843</f>
        <v>0.7223184758747293</v>
      </c>
      <c r="I19" s="3">
        <f>Amphibole_formula_calc!I3/60.0843</f>
        <v>0.70351156624941968</v>
      </c>
      <c r="J19" s="3">
        <f>Amphibole_formula_calc!J3/60.0843</f>
        <v>0.68570325359536521</v>
      </c>
      <c r="K19" s="40">
        <f>Amphibole_formula_calc!K3/60.0843</f>
        <v>0.81835021794378904</v>
      </c>
      <c r="L19" s="3"/>
      <c r="M19" s="3" t="s">
        <v>86</v>
      </c>
      <c r="P19" s="5"/>
      <c r="Q19" s="6"/>
      <c r="R19" s="3"/>
      <c r="S19" s="5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5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5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2:65" x14ac:dyDescent="0.3">
      <c r="B20" t="s">
        <v>24</v>
      </c>
      <c r="C20" s="3">
        <f>Amphibole_formula_calc!C4/(79.8788)</f>
        <v>3.0671467272918473E-2</v>
      </c>
      <c r="D20" s="3">
        <f>Amphibole_formula_calc!D4/(79.8788)</f>
        <v>2.3535656519627236E-2</v>
      </c>
      <c r="E20" s="3">
        <f>Amphibole_formula_calc!E4/(79.8788)</f>
        <v>4.3315623169101189E-2</v>
      </c>
      <c r="F20" s="3">
        <f>Amphibole_formula_calc!F4/(79.8788)</f>
        <v>3.4427157143071756E-2</v>
      </c>
      <c r="G20" s="3">
        <f>Amphibole_formula_calc!G4/(79.8788)</f>
        <v>2.8543243013164944E-2</v>
      </c>
      <c r="H20" s="3">
        <f>Amphibole_formula_calc!H4/(79.8788)</f>
        <v>4.2439295532732089E-2</v>
      </c>
      <c r="I20" s="3">
        <f>Amphibole_formula_calc!I4/(79.8788)</f>
        <v>3.3801208831379541E-2</v>
      </c>
      <c r="J20" s="3">
        <f>Amphibole_formula_calc!J4/(79.8788)</f>
        <v>2.5288311792365434E-2</v>
      </c>
      <c r="K20" s="40">
        <f>Amphibole_formula_calc!K4/(79.8788)</f>
        <v>7.1358107532912361E-3</v>
      </c>
      <c r="L20" s="3"/>
      <c r="M20" s="3"/>
      <c r="P20" s="5"/>
      <c r="Q20" s="6"/>
      <c r="R20" s="3"/>
      <c r="S20" s="5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5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5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2:65" x14ac:dyDescent="0.3">
      <c r="B21" t="s">
        <v>34</v>
      </c>
      <c r="C21" s="3">
        <f>Amphibole_formula_calc!C5/(101.961)</f>
        <v>0.12573434940810702</v>
      </c>
      <c r="D21" s="3">
        <f>Amphibole_formula_calc!D5/(101.961)</f>
        <v>0.10592285285550358</v>
      </c>
      <c r="E21" s="3">
        <f>Amphibole_formula_calc!E5/(101.961)</f>
        <v>0.14005354988672139</v>
      </c>
      <c r="F21" s="3">
        <f>Amphibole_formula_calc!F5/(101.961)</f>
        <v>0.10886515432371201</v>
      </c>
      <c r="G21" s="3">
        <f>Amphibole_formula_calc!G5/(101.961)</f>
        <v>9.8665175900589444E-2</v>
      </c>
      <c r="H21" s="3">
        <f>Amphibole_formula_calc!H5/(101.961)</f>
        <v>0.11916320946244152</v>
      </c>
      <c r="I21" s="3">
        <f>Amphibole_formula_calc!I5/(101.961)</f>
        <v>0.1111209187826718</v>
      </c>
      <c r="J21" s="3">
        <f>Amphibole_formula_calc!J5/(101.961)</f>
        <v>0.10700169672718</v>
      </c>
      <c r="K21" s="40">
        <f>Amphibole_formula_calc!K5/(101.961)</f>
        <v>4.8940281087866931E-2</v>
      </c>
      <c r="L21" s="3"/>
      <c r="M21" s="3"/>
      <c r="P21" s="5"/>
      <c r="Q21" s="6"/>
      <c r="R21" s="3"/>
      <c r="S21" s="5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5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5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2:65" x14ac:dyDescent="0.3">
      <c r="B22" t="s">
        <v>22</v>
      </c>
      <c r="C22" s="3">
        <f>Amphibole_formula_calc!C6/(151.9982)</f>
        <v>0</v>
      </c>
      <c r="D22" s="3">
        <f>Amphibole_formula_calc!D6/(151.9982)</f>
        <v>0</v>
      </c>
      <c r="E22" s="3">
        <f>Amphibole_formula_calc!E6/(151.9982)</f>
        <v>1.9737075833792768E-4</v>
      </c>
      <c r="F22" s="3">
        <f>Amphibole_formula_calc!F6/(151.9982)</f>
        <v>6.5790252779309236E-5</v>
      </c>
      <c r="G22" s="3">
        <f>Amphibole_formula_calc!G6/(151.9982)</f>
        <v>0</v>
      </c>
      <c r="H22" s="3">
        <f>Amphibole_formula_calc!H6/(151.9982)</f>
        <v>1.447385561144803E-3</v>
      </c>
      <c r="I22" s="3">
        <f>Amphibole_formula_calc!I6/(151.9982)</f>
        <v>6.5790252779309236E-5</v>
      </c>
      <c r="J22" s="3">
        <f>Amphibole_formula_calc!J6/(151.9982)</f>
        <v>0</v>
      </c>
      <c r="K22" s="40">
        <f>Amphibole_formula_calc!K6/(151.9982)</f>
        <v>0</v>
      </c>
      <c r="L22" s="3"/>
      <c r="M22" s="3"/>
      <c r="P22" s="5"/>
      <c r="Q22" s="6"/>
      <c r="R22" s="3"/>
      <c r="S22" s="5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5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5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2:65" x14ac:dyDescent="0.3">
      <c r="B23" t="s">
        <v>33</v>
      </c>
      <c r="C23" s="3">
        <f>Amphibole_formula_calc!C7/(71.8464)</f>
        <v>0.18247260823089256</v>
      </c>
      <c r="D23" s="3">
        <f>Amphibole_formula_calc!D7/(71.8464)</f>
        <v>0.16493519508284338</v>
      </c>
      <c r="E23" s="3">
        <f>Amphibole_formula_calc!E7/(71.8464)</f>
        <v>0.2225581239978621</v>
      </c>
      <c r="F23" s="3">
        <f>Amphibole_formula_calc!F7/(71.8464)</f>
        <v>0.18233342241225725</v>
      </c>
      <c r="G23" s="3">
        <f>Amphibole_formula_calc!G7/(71.8464)</f>
        <v>0.16368252271512559</v>
      </c>
      <c r="H23" s="3">
        <f>Amphibole_formula_calc!H7/(71.8464)</f>
        <v>0.212675930874755</v>
      </c>
      <c r="I23" s="3">
        <f>Amphibole_formula_calc!I7/(71.8464)</f>
        <v>0.18511713878496347</v>
      </c>
      <c r="J23" s="3">
        <f>Amphibole_formula_calc!J7/(71.8464)</f>
        <v>0.16730135399964366</v>
      </c>
      <c r="K23" s="40">
        <f>Amphibole_formula_calc!K7/(71.8464)</f>
        <v>0.18469958132905753</v>
      </c>
      <c r="L23" s="3"/>
      <c r="M23" s="3"/>
      <c r="P23" s="5"/>
      <c r="Q23" s="6"/>
      <c r="R23" s="3"/>
      <c r="S23" s="5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5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5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2:65" x14ac:dyDescent="0.3">
      <c r="B24" t="s">
        <v>17</v>
      </c>
      <c r="C24" s="3">
        <f>Amphibole_formula_calc!C8/(70.9375)</f>
        <v>3.6651982378854628E-3</v>
      </c>
      <c r="D24" s="3">
        <f>Amphibole_formula_calc!D8/(70.9375)</f>
        <v>0</v>
      </c>
      <c r="E24" s="3">
        <f>Amphibole_formula_calc!E8/(70.9375)</f>
        <v>7.6123348017621151E-3</v>
      </c>
      <c r="F24" s="3">
        <f>Amphibole_formula_calc!F8/(70.9375)</f>
        <v>5.4977973568281942E-3</v>
      </c>
      <c r="G24" s="3">
        <f>Amphibole_formula_calc!G8/(70.9375)</f>
        <v>2.6784140969162997E-3</v>
      </c>
      <c r="H24" s="3">
        <f>Amphibole_formula_calc!H8/(70.9375)</f>
        <v>9.4449339207048465E-3</v>
      </c>
      <c r="I24" s="3">
        <f>Amphibole_formula_calc!I8/(70.9375)</f>
        <v>5.638766519823789E-3</v>
      </c>
      <c r="J24" s="3">
        <f>Amphibole_formula_calc!J8/(70.9375)</f>
        <v>3.1013215859030836E-3</v>
      </c>
      <c r="K24" s="40">
        <f>Amphibole_formula_calc!K8/(70.9375)</f>
        <v>6.343612334801762E-3</v>
      </c>
      <c r="L24" s="3"/>
      <c r="M24" s="3"/>
      <c r="P24" s="5"/>
      <c r="Q24" s="6"/>
      <c r="R24" s="3"/>
      <c r="S24" s="5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5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5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2:65" x14ac:dyDescent="0.3">
      <c r="B25" t="s">
        <v>19</v>
      </c>
      <c r="C25" s="3">
        <f>Amphibole_formula_calc!C9/40.3044</f>
        <v>0.32304165302051385</v>
      </c>
      <c r="D25" s="3">
        <f>Amphibole_formula_calc!D9/40.3044</f>
        <v>0.28086263534502437</v>
      </c>
      <c r="E25" s="3">
        <f>Amphibole_formula_calc!E9/40.3044</f>
        <v>0.35355941286807396</v>
      </c>
      <c r="F25" s="3">
        <f>Amphibole_formula_calc!F9/40.3044</f>
        <v>0.33619158206051947</v>
      </c>
      <c r="G25" s="3">
        <f>Amphibole_formula_calc!G9/40.3044</f>
        <v>0.30790682903107353</v>
      </c>
      <c r="H25" s="3">
        <f>Amphibole_formula_calc!H9/40.3044</f>
        <v>0.35678486716090552</v>
      </c>
      <c r="I25" s="3">
        <f>Amphibole_formula_calc!I9/40.3044</f>
        <v>0.32800389039410088</v>
      </c>
      <c r="J25" s="3">
        <f>Amphibole_formula_calc!J9/40.3044</f>
        <v>0.29823046615257887</v>
      </c>
      <c r="K25" s="40">
        <f>Amphibole_formula_calc!K9/40.3044</f>
        <v>0.3473566161510902</v>
      </c>
      <c r="L25" s="3"/>
      <c r="M25" s="3"/>
      <c r="P25" s="5"/>
      <c r="Q25" s="6"/>
      <c r="R25" s="3"/>
      <c r="S25" s="5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5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5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2:65" x14ac:dyDescent="0.3">
      <c r="B26" t="s">
        <v>16</v>
      </c>
      <c r="C26" s="3">
        <f>Amphibole_formula_calc!C10/56.0774</f>
        <v>0.20739192615920141</v>
      </c>
      <c r="D26" s="3">
        <f>Amphibole_formula_calc!D10/56.0774</f>
        <v>0.19508750405689279</v>
      </c>
      <c r="E26" s="3">
        <f>Amphibole_formula_calc!E10/56.0774</f>
        <v>0.21612984910142052</v>
      </c>
      <c r="F26" s="3">
        <f>Amphibole_formula_calc!F10/56.0774</f>
        <v>0.19740572851095095</v>
      </c>
      <c r="G26" s="3">
        <f>Amphibole_formula_calc!G10/56.0774</f>
        <v>0.18545795632465131</v>
      </c>
      <c r="H26" s="3">
        <f>Amphibole_formula_calc!H10/56.0774</f>
        <v>0.20596532649516563</v>
      </c>
      <c r="I26" s="3">
        <f>Amphibole_formula_calc!I10/56.0774</f>
        <v>0.197049078594942</v>
      </c>
      <c r="J26" s="3">
        <f>Amphibole_formula_calc!J10/56.0774</f>
        <v>0.18866780556873181</v>
      </c>
      <c r="K26" s="40">
        <f>Amphibole_formula_calc!K10/56.0774</f>
        <v>0.21844807355547868</v>
      </c>
      <c r="L26" s="3"/>
      <c r="M26" s="3"/>
      <c r="P26" s="5"/>
      <c r="Q26" s="6"/>
      <c r="R26" s="3"/>
      <c r="S26" s="5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5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5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2:65" x14ac:dyDescent="0.3">
      <c r="B27" t="s">
        <v>14</v>
      </c>
      <c r="C27" s="3">
        <f>Amphibole_formula_calc!C11/61.9789</f>
        <v>3.5495951041402803E-2</v>
      </c>
      <c r="D27" s="3">
        <f>Amphibole_formula_calc!D11/61.9789</f>
        <v>3.2914427329300777E-2</v>
      </c>
      <c r="E27" s="3">
        <f>Amphibole_formula_calc!E11/61.9789</f>
        <v>3.9206891377549458E-2</v>
      </c>
      <c r="F27" s="3">
        <f>Amphibole_formula_calc!F11/61.9789</f>
        <v>3.6625367665447432E-2</v>
      </c>
      <c r="G27" s="3">
        <f>Amphibole_formula_calc!G11/61.9789</f>
        <v>3.3721153489332654E-2</v>
      </c>
      <c r="H27" s="3">
        <f>Amphibole_formula_calc!H11/61.9789</f>
        <v>4.0013617537581335E-2</v>
      </c>
      <c r="I27" s="3">
        <f>Amphibole_formula_calc!I11/61.9789</f>
        <v>3.6786712897453805E-2</v>
      </c>
      <c r="J27" s="3">
        <f>Amphibole_formula_calc!J11/61.9789</f>
        <v>3.4689224881370918E-2</v>
      </c>
      <c r="K27" s="40">
        <f>Amphibole_formula_calc!K11/61.9789</f>
        <v>1.1778201936465473E-2</v>
      </c>
      <c r="L27" s="3"/>
      <c r="M27" s="3"/>
      <c r="P27" s="5"/>
      <c r="Q27" s="6"/>
      <c r="R27" s="3"/>
      <c r="S27" s="5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5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5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2:65" x14ac:dyDescent="0.3">
      <c r="B28" t="s">
        <v>13</v>
      </c>
      <c r="C28" s="3">
        <f>Amphibole_formula_calc!C12/94.196</f>
        <v>9.7668690814896597E-3</v>
      </c>
      <c r="D28" s="3">
        <f>Amphibole_formula_calc!D12/94.196</f>
        <v>7.9621215338230925E-3</v>
      </c>
      <c r="E28" s="3">
        <f>Amphibole_formula_calc!E12/94.196</f>
        <v>1.2527071213214998E-2</v>
      </c>
      <c r="F28" s="3">
        <f>Amphibole_formula_calc!F12/94.196</f>
        <v>1.0085353942842584E-2</v>
      </c>
      <c r="G28" s="3">
        <f>Amphibole_formula_calc!G12/94.196</f>
        <v>8.7052528769799142E-3</v>
      </c>
      <c r="H28" s="3">
        <f>Amphibole_formula_calc!H12/94.196</f>
        <v>1.2102424731411099E-2</v>
      </c>
      <c r="I28" s="3">
        <f>Amphibole_formula_calc!I12/94.196</f>
        <v>1.0510000424646481E-2</v>
      </c>
      <c r="J28" s="3">
        <f>Amphibole_formula_calc!J12/94.196</f>
        <v>8.1744447747250423E-3</v>
      </c>
      <c r="K28" s="40">
        <f>Amphibole_formula_calc!K12/94.196</f>
        <v>4.7772729202938558E-3</v>
      </c>
      <c r="L28" s="3"/>
      <c r="M28" s="3"/>
      <c r="P28" s="5"/>
      <c r="Q28" s="6"/>
      <c r="R28" s="3"/>
      <c r="S28" s="5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5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5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2:65" x14ac:dyDescent="0.3">
      <c r="B29" s="8" t="s">
        <v>36</v>
      </c>
      <c r="C29" s="3"/>
      <c r="D29" s="3"/>
      <c r="E29" s="3"/>
      <c r="F29" s="3"/>
      <c r="G29" s="3"/>
      <c r="H29" s="3"/>
      <c r="I29" s="3"/>
      <c r="J29" s="3"/>
      <c r="L29" s="3"/>
      <c r="M29" s="3"/>
      <c r="N29" s="8"/>
      <c r="O29" s="8"/>
      <c r="P29" s="5"/>
      <c r="Q29" s="6"/>
      <c r="R29" s="3"/>
      <c r="S29" s="5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5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5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2:65" x14ac:dyDescent="0.3">
      <c r="B30" s="1" t="s">
        <v>28</v>
      </c>
      <c r="C30" s="3">
        <f t="shared" ref="C30:K30" si="0">C19*1</f>
        <v>0.6752179853971837</v>
      </c>
      <c r="D30" s="3">
        <f t="shared" si="0"/>
        <v>0.65657750860041653</v>
      </c>
      <c r="E30" s="3">
        <f t="shared" si="0"/>
        <v>0.71366396879051608</v>
      </c>
      <c r="F30" s="3">
        <f t="shared" si="0"/>
        <v>0.70234653644962164</v>
      </c>
      <c r="G30" s="3">
        <f t="shared" si="0"/>
        <v>0.67188932882633234</v>
      </c>
      <c r="H30" s="3">
        <f t="shared" si="0"/>
        <v>0.7223184758747293</v>
      </c>
      <c r="I30" s="3">
        <f t="shared" si="0"/>
        <v>0.70351156624941968</v>
      </c>
      <c r="J30" s="3">
        <f t="shared" si="0"/>
        <v>0.68570325359536521</v>
      </c>
      <c r="K30" s="40">
        <f t="shared" si="0"/>
        <v>0.81835021794378904</v>
      </c>
      <c r="L30" s="3"/>
      <c r="M30" s="3"/>
      <c r="N30" s="1"/>
      <c r="O30" s="1"/>
      <c r="P30" s="5"/>
      <c r="Q30" s="6"/>
      <c r="R30" s="3"/>
      <c r="S30" s="5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5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5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2:65" x14ac:dyDescent="0.3">
      <c r="B31" s="1" t="s">
        <v>24</v>
      </c>
      <c r="C31" s="3">
        <f t="shared" ref="C31:K31" si="1">C20*1</f>
        <v>3.0671467272918473E-2</v>
      </c>
      <c r="D31" s="3">
        <f t="shared" si="1"/>
        <v>2.3535656519627236E-2</v>
      </c>
      <c r="E31" s="3">
        <f t="shared" si="1"/>
        <v>4.3315623169101189E-2</v>
      </c>
      <c r="F31" s="3">
        <f t="shared" si="1"/>
        <v>3.4427157143071756E-2</v>
      </c>
      <c r="G31" s="3">
        <f t="shared" si="1"/>
        <v>2.8543243013164944E-2</v>
      </c>
      <c r="H31" s="3">
        <f t="shared" si="1"/>
        <v>4.2439295532732089E-2</v>
      </c>
      <c r="I31" s="3">
        <f t="shared" si="1"/>
        <v>3.3801208831379541E-2</v>
      </c>
      <c r="J31" s="3">
        <f t="shared" si="1"/>
        <v>2.5288311792365434E-2</v>
      </c>
      <c r="K31" s="40">
        <f t="shared" si="1"/>
        <v>7.1358107532912361E-3</v>
      </c>
      <c r="L31" s="3"/>
      <c r="M31" s="3"/>
      <c r="N31" s="1"/>
      <c r="O31" s="1"/>
      <c r="P31" s="5"/>
      <c r="Q31" s="6"/>
      <c r="R31" s="3"/>
      <c r="S31" s="5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5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5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2:65" x14ac:dyDescent="0.3">
      <c r="B32" s="1" t="s">
        <v>34</v>
      </c>
      <c r="C32" s="3">
        <f t="shared" ref="C32:K32" si="2">C21*2</f>
        <v>0.25146869881621403</v>
      </c>
      <c r="D32" s="3">
        <f t="shared" si="2"/>
        <v>0.21184570571100717</v>
      </c>
      <c r="E32" s="3">
        <f t="shared" si="2"/>
        <v>0.28010709977344278</v>
      </c>
      <c r="F32" s="3">
        <f t="shared" si="2"/>
        <v>0.21773030864742401</v>
      </c>
      <c r="G32" s="3">
        <f t="shared" si="2"/>
        <v>0.19733035180117889</v>
      </c>
      <c r="H32" s="3">
        <f t="shared" si="2"/>
        <v>0.23832641892488304</v>
      </c>
      <c r="I32" s="3">
        <f t="shared" si="2"/>
        <v>0.2222418375653436</v>
      </c>
      <c r="J32" s="3">
        <f t="shared" si="2"/>
        <v>0.21400339345436001</v>
      </c>
      <c r="K32" s="40">
        <f t="shared" si="2"/>
        <v>9.7880562175733862E-2</v>
      </c>
      <c r="L32" s="3"/>
      <c r="M32" s="3"/>
      <c r="N32" s="1"/>
      <c r="O32" s="1"/>
      <c r="P32" s="5"/>
      <c r="Q32" s="6"/>
      <c r="R32" s="3"/>
      <c r="S32" s="5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5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5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2:65" x14ac:dyDescent="0.3">
      <c r="B33" s="1" t="s">
        <v>22</v>
      </c>
      <c r="C33" s="3">
        <f t="shared" ref="C33:K33" si="3">C22*2</f>
        <v>0</v>
      </c>
      <c r="D33" s="3">
        <f t="shared" si="3"/>
        <v>0</v>
      </c>
      <c r="E33" s="3">
        <f t="shared" si="3"/>
        <v>3.9474151667585536E-4</v>
      </c>
      <c r="F33" s="3">
        <f t="shared" si="3"/>
        <v>1.3158050555861847E-4</v>
      </c>
      <c r="G33" s="3">
        <f t="shared" si="3"/>
        <v>0</v>
      </c>
      <c r="H33" s="3">
        <f t="shared" si="3"/>
        <v>2.8947711222896059E-3</v>
      </c>
      <c r="I33" s="3">
        <f t="shared" si="3"/>
        <v>1.3158050555861847E-4</v>
      </c>
      <c r="J33" s="3">
        <f t="shared" si="3"/>
        <v>0</v>
      </c>
      <c r="K33" s="40">
        <f t="shared" si="3"/>
        <v>0</v>
      </c>
      <c r="L33" s="3"/>
      <c r="M33" s="3"/>
      <c r="N33" s="1"/>
      <c r="O33" s="1"/>
      <c r="P33" s="5"/>
      <c r="Q33" s="6"/>
      <c r="R33" s="3"/>
      <c r="S33" s="5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5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5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2:65" x14ac:dyDescent="0.3">
      <c r="B34" s="1" t="s">
        <v>33</v>
      </c>
      <c r="C34" s="3">
        <f t="shared" ref="C34:K34" si="4">C23*1</f>
        <v>0.18247260823089256</v>
      </c>
      <c r="D34" s="3">
        <f t="shared" si="4"/>
        <v>0.16493519508284338</v>
      </c>
      <c r="E34" s="3">
        <f t="shared" si="4"/>
        <v>0.2225581239978621</v>
      </c>
      <c r="F34" s="3">
        <f t="shared" si="4"/>
        <v>0.18233342241225725</v>
      </c>
      <c r="G34" s="3">
        <f t="shared" si="4"/>
        <v>0.16368252271512559</v>
      </c>
      <c r="H34" s="3">
        <f t="shared" si="4"/>
        <v>0.212675930874755</v>
      </c>
      <c r="I34" s="3">
        <f t="shared" si="4"/>
        <v>0.18511713878496347</v>
      </c>
      <c r="J34" s="3">
        <f t="shared" si="4"/>
        <v>0.16730135399964366</v>
      </c>
      <c r="K34" s="40">
        <f t="shared" si="4"/>
        <v>0.18469958132905753</v>
      </c>
      <c r="L34" s="3"/>
      <c r="M34" s="3"/>
      <c r="N34" s="1"/>
      <c r="O34" s="1"/>
      <c r="P34" s="5"/>
      <c r="Q34" s="6"/>
      <c r="R34" s="3"/>
      <c r="S34" s="5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5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5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2:65" x14ac:dyDescent="0.3">
      <c r="B35" s="1" t="s">
        <v>17</v>
      </c>
      <c r="C35" s="3">
        <f t="shared" ref="C35:K35" si="5">C24*1</f>
        <v>3.6651982378854628E-3</v>
      </c>
      <c r="D35" s="3">
        <f t="shared" si="5"/>
        <v>0</v>
      </c>
      <c r="E35" s="3">
        <f t="shared" si="5"/>
        <v>7.6123348017621151E-3</v>
      </c>
      <c r="F35" s="3">
        <f t="shared" si="5"/>
        <v>5.4977973568281942E-3</v>
      </c>
      <c r="G35" s="3">
        <f t="shared" si="5"/>
        <v>2.6784140969162997E-3</v>
      </c>
      <c r="H35" s="3">
        <f t="shared" si="5"/>
        <v>9.4449339207048465E-3</v>
      </c>
      <c r="I35" s="3">
        <f t="shared" si="5"/>
        <v>5.638766519823789E-3</v>
      </c>
      <c r="J35" s="3">
        <f t="shared" si="5"/>
        <v>3.1013215859030836E-3</v>
      </c>
      <c r="K35" s="40">
        <f t="shared" si="5"/>
        <v>6.343612334801762E-3</v>
      </c>
      <c r="L35" s="3"/>
      <c r="M35" s="3"/>
      <c r="N35" s="1"/>
      <c r="O35" s="1"/>
      <c r="P35" s="5"/>
      <c r="Q35" s="6"/>
      <c r="R35" s="3"/>
      <c r="S35" s="5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5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5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2:65" x14ac:dyDescent="0.3">
      <c r="B36" s="1" t="s">
        <v>19</v>
      </c>
      <c r="C36" s="3">
        <f t="shared" ref="C36:K36" si="6">C25*1</f>
        <v>0.32304165302051385</v>
      </c>
      <c r="D36" s="3">
        <f t="shared" si="6"/>
        <v>0.28086263534502437</v>
      </c>
      <c r="E36" s="3">
        <f t="shared" si="6"/>
        <v>0.35355941286807396</v>
      </c>
      <c r="F36" s="3">
        <f t="shared" si="6"/>
        <v>0.33619158206051947</v>
      </c>
      <c r="G36" s="3">
        <f t="shared" si="6"/>
        <v>0.30790682903107353</v>
      </c>
      <c r="H36" s="3">
        <f t="shared" si="6"/>
        <v>0.35678486716090552</v>
      </c>
      <c r="I36" s="3">
        <f t="shared" si="6"/>
        <v>0.32800389039410088</v>
      </c>
      <c r="J36" s="3">
        <f t="shared" si="6"/>
        <v>0.29823046615257887</v>
      </c>
      <c r="K36" s="40">
        <f t="shared" si="6"/>
        <v>0.3473566161510902</v>
      </c>
      <c r="L36" s="3"/>
      <c r="M36" s="3"/>
      <c r="N36" s="1"/>
      <c r="O36" s="1"/>
      <c r="P36" s="5"/>
      <c r="Q36" s="6"/>
      <c r="R36" s="3"/>
      <c r="S36" s="5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5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5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2:65" x14ac:dyDescent="0.3">
      <c r="B37" s="1" t="s">
        <v>16</v>
      </c>
      <c r="C37" s="3">
        <f t="shared" ref="C37:K37" si="7">C26*1</f>
        <v>0.20739192615920141</v>
      </c>
      <c r="D37" s="3">
        <f t="shared" si="7"/>
        <v>0.19508750405689279</v>
      </c>
      <c r="E37" s="3">
        <f t="shared" si="7"/>
        <v>0.21612984910142052</v>
      </c>
      <c r="F37" s="3">
        <f t="shared" si="7"/>
        <v>0.19740572851095095</v>
      </c>
      <c r="G37" s="3">
        <f t="shared" si="7"/>
        <v>0.18545795632465131</v>
      </c>
      <c r="H37" s="3">
        <f t="shared" si="7"/>
        <v>0.20596532649516563</v>
      </c>
      <c r="I37" s="3">
        <f t="shared" si="7"/>
        <v>0.197049078594942</v>
      </c>
      <c r="J37" s="3">
        <f t="shared" si="7"/>
        <v>0.18866780556873181</v>
      </c>
      <c r="K37" s="40">
        <f t="shared" si="7"/>
        <v>0.21844807355547868</v>
      </c>
      <c r="L37" s="3"/>
      <c r="M37" s="3"/>
      <c r="N37" s="1"/>
      <c r="O37" s="1"/>
      <c r="P37" s="5"/>
      <c r="Q37" s="6"/>
      <c r="R37" s="3"/>
      <c r="S37" s="5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5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5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2:65" x14ac:dyDescent="0.3">
      <c r="B38" s="1" t="s">
        <v>14</v>
      </c>
      <c r="C38" s="3">
        <f t="shared" ref="C38:K38" si="8">C27*2</f>
        <v>7.0991902082805605E-2</v>
      </c>
      <c r="D38" s="3">
        <f t="shared" si="8"/>
        <v>6.5828854658601554E-2</v>
      </c>
      <c r="E38" s="3">
        <f t="shared" si="8"/>
        <v>7.8413782755098915E-2</v>
      </c>
      <c r="F38" s="3">
        <f t="shared" si="8"/>
        <v>7.3250735330894864E-2</v>
      </c>
      <c r="G38" s="3">
        <f t="shared" si="8"/>
        <v>6.7442306978665309E-2</v>
      </c>
      <c r="H38" s="3">
        <f t="shared" si="8"/>
        <v>8.002723507516267E-2</v>
      </c>
      <c r="I38" s="3">
        <f t="shared" si="8"/>
        <v>7.357342579490761E-2</v>
      </c>
      <c r="J38" s="3">
        <f t="shared" si="8"/>
        <v>6.9378449762741837E-2</v>
      </c>
      <c r="K38" s="40">
        <f t="shared" si="8"/>
        <v>2.3556403872930946E-2</v>
      </c>
      <c r="L38" s="3"/>
      <c r="M38" s="3"/>
      <c r="N38" s="1"/>
      <c r="O38" s="1"/>
      <c r="P38" s="5"/>
      <c r="Q38" s="6"/>
      <c r="R38" s="3"/>
      <c r="S38" s="5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5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5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spans="2:65" x14ac:dyDescent="0.3">
      <c r="B39" s="1" t="s">
        <v>13</v>
      </c>
      <c r="C39" s="3">
        <f t="shared" ref="C39:K39" si="9">C28*2</f>
        <v>1.9533738162979319E-2</v>
      </c>
      <c r="D39" s="3">
        <f t="shared" si="9"/>
        <v>1.5924243067646185E-2</v>
      </c>
      <c r="E39" s="3">
        <f t="shared" si="9"/>
        <v>2.5054142426429997E-2</v>
      </c>
      <c r="F39" s="3">
        <f t="shared" si="9"/>
        <v>2.0170707885685167E-2</v>
      </c>
      <c r="G39" s="3">
        <f t="shared" si="9"/>
        <v>1.7410505753959828E-2</v>
      </c>
      <c r="H39" s="3">
        <f t="shared" si="9"/>
        <v>2.4204849462822198E-2</v>
      </c>
      <c r="I39" s="3">
        <f t="shared" si="9"/>
        <v>2.1020000849292963E-2</v>
      </c>
      <c r="J39" s="3">
        <f t="shared" si="9"/>
        <v>1.6348889549450085E-2</v>
      </c>
      <c r="K39" s="40">
        <f t="shared" si="9"/>
        <v>9.5545458405877116E-3</v>
      </c>
      <c r="L39" s="3"/>
      <c r="M39" s="3"/>
      <c r="N39" s="1"/>
      <c r="O39" s="1"/>
      <c r="P39" s="5"/>
      <c r="Q39" s="6"/>
      <c r="R39" s="3"/>
      <c r="S39" s="5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5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5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2:65" x14ac:dyDescent="0.3">
      <c r="B40" s="1" t="s">
        <v>32</v>
      </c>
      <c r="C40" s="3">
        <f t="shared" ref="C40:K40" si="10">SUM(C30:C39)</f>
        <v>1.7644551773805945</v>
      </c>
      <c r="D40" s="3">
        <f t="shared" si="10"/>
        <v>1.6145973030420591</v>
      </c>
      <c r="E40" s="3">
        <f t="shared" si="10"/>
        <v>1.9408090792003831</v>
      </c>
      <c r="F40" s="3">
        <f t="shared" si="10"/>
        <v>1.769485556302812</v>
      </c>
      <c r="G40" s="3">
        <f t="shared" si="10"/>
        <v>1.6423414585410678</v>
      </c>
      <c r="H40" s="3">
        <f t="shared" si="10"/>
        <v>1.8950821044441499</v>
      </c>
      <c r="I40" s="3">
        <f t="shared" si="10"/>
        <v>1.7700884940897321</v>
      </c>
      <c r="J40" s="3">
        <f t="shared" si="10"/>
        <v>1.6680232454611401</v>
      </c>
      <c r="K40" s="40">
        <f t="shared" si="10"/>
        <v>1.713325423956761</v>
      </c>
      <c r="L40" s="3"/>
      <c r="M40" s="3"/>
      <c r="N40" s="1"/>
      <c r="O40" s="1"/>
      <c r="P40" s="5"/>
      <c r="Q40" s="6"/>
      <c r="R40" s="3"/>
      <c r="S40" s="5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5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5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spans="2:65" x14ac:dyDescent="0.3">
      <c r="B41" s="8" t="s">
        <v>35</v>
      </c>
      <c r="C41" s="3"/>
      <c r="D41" s="3"/>
      <c r="E41" s="3"/>
      <c r="F41" s="3"/>
      <c r="G41" s="3"/>
      <c r="H41" s="3"/>
      <c r="I41" s="3"/>
      <c r="J41" s="3"/>
      <c r="L41" s="3"/>
      <c r="M41" s="3"/>
      <c r="N41" s="8"/>
      <c r="O41" s="8"/>
      <c r="P41" s="5"/>
      <c r="Q41" s="6"/>
      <c r="R41" s="3"/>
      <c r="S41" s="5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5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5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spans="2:65" x14ac:dyDescent="0.3">
      <c r="B42" s="1" t="s">
        <v>28</v>
      </c>
      <c r="C42" s="3">
        <f t="shared" ref="C42:K42" si="11">C19*2</f>
        <v>1.3504359707943674</v>
      </c>
      <c r="D42" s="3">
        <f t="shared" si="11"/>
        <v>1.3131550172008331</v>
      </c>
      <c r="E42" s="3">
        <f t="shared" si="11"/>
        <v>1.4273279375810322</v>
      </c>
      <c r="F42" s="3">
        <f t="shared" si="11"/>
        <v>1.4046930728992433</v>
      </c>
      <c r="G42" s="3">
        <f t="shared" si="11"/>
        <v>1.3437786576526647</v>
      </c>
      <c r="H42" s="3">
        <f t="shared" si="11"/>
        <v>1.4446369517494586</v>
      </c>
      <c r="I42" s="3">
        <f t="shared" si="11"/>
        <v>1.4070231324988394</v>
      </c>
      <c r="J42" s="3">
        <f t="shared" si="11"/>
        <v>1.3714065071907304</v>
      </c>
      <c r="K42" s="40">
        <f t="shared" si="11"/>
        <v>1.6367004358875781</v>
      </c>
      <c r="L42" s="3"/>
      <c r="M42" s="3"/>
      <c r="N42" s="1"/>
      <c r="O42" s="1"/>
      <c r="P42" s="5"/>
      <c r="Q42" s="6"/>
      <c r="R42" s="3"/>
      <c r="S42" s="5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5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5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spans="2:65" x14ac:dyDescent="0.3">
      <c r="B43" s="1" t="s">
        <v>24</v>
      </c>
      <c r="C43" s="3">
        <f t="shared" ref="C43:K43" si="12">C20*2</f>
        <v>6.1342934545836947E-2</v>
      </c>
      <c r="D43" s="3">
        <f t="shared" si="12"/>
        <v>4.7071313039254471E-2</v>
      </c>
      <c r="E43" s="3">
        <f t="shared" si="12"/>
        <v>8.6631246338202378E-2</v>
      </c>
      <c r="F43" s="3">
        <f t="shared" si="12"/>
        <v>6.8854314286143511E-2</v>
      </c>
      <c r="G43" s="3">
        <f t="shared" si="12"/>
        <v>5.7086486026329888E-2</v>
      </c>
      <c r="H43" s="3">
        <f t="shared" si="12"/>
        <v>8.4878591065464179E-2</v>
      </c>
      <c r="I43" s="3">
        <f t="shared" si="12"/>
        <v>6.7602417662759082E-2</v>
      </c>
      <c r="J43" s="3">
        <f t="shared" si="12"/>
        <v>5.0576623584730869E-2</v>
      </c>
      <c r="K43" s="40">
        <f t="shared" si="12"/>
        <v>1.4271621506582472E-2</v>
      </c>
      <c r="L43" s="3"/>
      <c r="M43" s="3"/>
      <c r="N43" s="1"/>
      <c r="O43" s="1"/>
      <c r="P43" s="5"/>
      <c r="Q43" s="6"/>
      <c r="R43" s="3"/>
      <c r="S43" s="5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5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5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spans="2:65" x14ac:dyDescent="0.3">
      <c r="B44" t="s">
        <v>34</v>
      </c>
      <c r="C44" s="3">
        <f t="shared" ref="C44:K44" si="13">C21*3</f>
        <v>0.37720304822432105</v>
      </c>
      <c r="D44" s="3">
        <f t="shared" si="13"/>
        <v>0.31776855856651076</v>
      </c>
      <c r="E44" s="3">
        <f t="shared" si="13"/>
        <v>0.4201606496601642</v>
      </c>
      <c r="F44" s="3">
        <f t="shared" si="13"/>
        <v>0.32659546297113601</v>
      </c>
      <c r="G44" s="3">
        <f t="shared" si="13"/>
        <v>0.29599552770176835</v>
      </c>
      <c r="H44" s="3">
        <f t="shared" si="13"/>
        <v>0.35748962838732457</v>
      </c>
      <c r="I44" s="3">
        <f t="shared" si="13"/>
        <v>0.33336275634801538</v>
      </c>
      <c r="J44" s="3">
        <f t="shared" si="13"/>
        <v>0.32100509018154</v>
      </c>
      <c r="K44" s="40">
        <f t="shared" si="13"/>
        <v>0.14682084326360079</v>
      </c>
      <c r="L44" s="3"/>
      <c r="M44" s="3"/>
      <c r="P44" s="5"/>
      <c r="Q44" s="6"/>
      <c r="R44" s="3"/>
      <c r="S44" s="5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5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5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spans="2:65" x14ac:dyDescent="0.3">
      <c r="B45" t="s">
        <v>22</v>
      </c>
      <c r="C45" s="3">
        <f t="shared" ref="C45:K45" si="14">C22*3</f>
        <v>0</v>
      </c>
      <c r="D45" s="3">
        <f t="shared" si="14"/>
        <v>0</v>
      </c>
      <c r="E45" s="3">
        <f t="shared" si="14"/>
        <v>5.9211227501378301E-4</v>
      </c>
      <c r="F45" s="3">
        <f t="shared" si="14"/>
        <v>1.9737075833792771E-4</v>
      </c>
      <c r="G45" s="3">
        <f t="shared" si="14"/>
        <v>0</v>
      </c>
      <c r="H45" s="3">
        <f t="shared" si="14"/>
        <v>4.3421566834344087E-3</v>
      </c>
      <c r="I45" s="3">
        <f t="shared" si="14"/>
        <v>1.9737075833792771E-4</v>
      </c>
      <c r="J45" s="3">
        <f t="shared" si="14"/>
        <v>0</v>
      </c>
      <c r="K45" s="40">
        <f t="shared" si="14"/>
        <v>0</v>
      </c>
      <c r="L45" s="3"/>
      <c r="M45" s="3"/>
      <c r="P45" s="5"/>
      <c r="Q45" s="6"/>
      <c r="R45" s="3"/>
      <c r="S45" s="5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5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5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spans="2:65" x14ac:dyDescent="0.3">
      <c r="B46" t="s">
        <v>33</v>
      </c>
      <c r="C46" s="3">
        <f t="shared" ref="C46:K46" si="15">C23*1</f>
        <v>0.18247260823089256</v>
      </c>
      <c r="D46" s="3">
        <f t="shared" si="15"/>
        <v>0.16493519508284338</v>
      </c>
      <c r="E46" s="3">
        <f t="shared" si="15"/>
        <v>0.2225581239978621</v>
      </c>
      <c r="F46" s="3">
        <f t="shared" si="15"/>
        <v>0.18233342241225725</v>
      </c>
      <c r="G46" s="3">
        <f t="shared" si="15"/>
        <v>0.16368252271512559</v>
      </c>
      <c r="H46" s="3">
        <f t="shared" si="15"/>
        <v>0.212675930874755</v>
      </c>
      <c r="I46" s="3">
        <f t="shared" si="15"/>
        <v>0.18511713878496347</v>
      </c>
      <c r="J46" s="3">
        <f t="shared" si="15"/>
        <v>0.16730135399964366</v>
      </c>
      <c r="K46" s="40">
        <f t="shared" si="15"/>
        <v>0.18469958132905753</v>
      </c>
      <c r="L46" s="3"/>
      <c r="M46" s="3"/>
      <c r="P46" s="5"/>
      <c r="Q46" s="6"/>
      <c r="R46" s="3"/>
      <c r="S46" s="5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5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5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</row>
    <row r="47" spans="2:65" x14ac:dyDescent="0.3">
      <c r="B47" t="s">
        <v>17</v>
      </c>
      <c r="C47" s="3">
        <f t="shared" ref="C47:K47" si="16">C24*1</f>
        <v>3.6651982378854628E-3</v>
      </c>
      <c r="D47" s="3">
        <f t="shared" si="16"/>
        <v>0</v>
      </c>
      <c r="E47" s="3">
        <f t="shared" si="16"/>
        <v>7.6123348017621151E-3</v>
      </c>
      <c r="F47" s="3">
        <f t="shared" si="16"/>
        <v>5.4977973568281942E-3</v>
      </c>
      <c r="G47" s="3">
        <f t="shared" si="16"/>
        <v>2.6784140969162997E-3</v>
      </c>
      <c r="H47" s="3">
        <f t="shared" si="16"/>
        <v>9.4449339207048465E-3</v>
      </c>
      <c r="I47" s="3">
        <f t="shared" si="16"/>
        <v>5.638766519823789E-3</v>
      </c>
      <c r="J47" s="3">
        <f t="shared" si="16"/>
        <v>3.1013215859030836E-3</v>
      </c>
      <c r="K47" s="40">
        <f t="shared" si="16"/>
        <v>6.343612334801762E-3</v>
      </c>
      <c r="L47" s="3"/>
      <c r="M47" s="3"/>
      <c r="P47" s="5"/>
      <c r="Q47" s="6"/>
      <c r="R47" s="3"/>
      <c r="S47" s="5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5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5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</row>
    <row r="48" spans="2:65" x14ac:dyDescent="0.3">
      <c r="B48" t="s">
        <v>19</v>
      </c>
      <c r="C48" s="3">
        <f t="shared" ref="C48:K48" si="17">C25*1</f>
        <v>0.32304165302051385</v>
      </c>
      <c r="D48" s="3">
        <f t="shared" si="17"/>
        <v>0.28086263534502437</v>
      </c>
      <c r="E48" s="3">
        <f t="shared" si="17"/>
        <v>0.35355941286807396</v>
      </c>
      <c r="F48" s="3">
        <f t="shared" si="17"/>
        <v>0.33619158206051947</v>
      </c>
      <c r="G48" s="3">
        <f t="shared" si="17"/>
        <v>0.30790682903107353</v>
      </c>
      <c r="H48" s="3">
        <f t="shared" si="17"/>
        <v>0.35678486716090552</v>
      </c>
      <c r="I48" s="3">
        <f t="shared" si="17"/>
        <v>0.32800389039410088</v>
      </c>
      <c r="J48" s="3">
        <f t="shared" si="17"/>
        <v>0.29823046615257887</v>
      </c>
      <c r="K48" s="40">
        <f t="shared" si="17"/>
        <v>0.3473566161510902</v>
      </c>
      <c r="L48" s="3"/>
      <c r="M48" s="3"/>
      <c r="P48" s="5"/>
      <c r="Q48" s="6"/>
      <c r="R48" s="3"/>
      <c r="S48" s="5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5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5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</row>
    <row r="49" spans="2:65" x14ac:dyDescent="0.3">
      <c r="B49" t="s">
        <v>16</v>
      </c>
      <c r="C49" s="3">
        <f t="shared" ref="C49:K49" si="18">C26*1</f>
        <v>0.20739192615920141</v>
      </c>
      <c r="D49" s="3">
        <f t="shared" si="18"/>
        <v>0.19508750405689279</v>
      </c>
      <c r="E49" s="3">
        <f t="shared" si="18"/>
        <v>0.21612984910142052</v>
      </c>
      <c r="F49" s="3">
        <f t="shared" si="18"/>
        <v>0.19740572851095095</v>
      </c>
      <c r="G49" s="3">
        <f t="shared" si="18"/>
        <v>0.18545795632465131</v>
      </c>
      <c r="H49" s="3">
        <f t="shared" si="18"/>
        <v>0.20596532649516563</v>
      </c>
      <c r="I49" s="3">
        <f t="shared" si="18"/>
        <v>0.197049078594942</v>
      </c>
      <c r="J49" s="3">
        <f t="shared" si="18"/>
        <v>0.18866780556873181</v>
      </c>
      <c r="K49" s="40">
        <f t="shared" si="18"/>
        <v>0.21844807355547868</v>
      </c>
      <c r="L49" s="3"/>
      <c r="M49" s="3"/>
      <c r="P49" s="5"/>
      <c r="Q49" s="6"/>
      <c r="R49" s="3"/>
      <c r="S49" s="5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5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5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</row>
    <row r="50" spans="2:65" x14ac:dyDescent="0.3">
      <c r="B50" t="s">
        <v>14</v>
      </c>
      <c r="C50" s="3">
        <f t="shared" ref="C50:K50" si="19">C27*1</f>
        <v>3.5495951041402803E-2</v>
      </c>
      <c r="D50" s="3">
        <f t="shared" si="19"/>
        <v>3.2914427329300777E-2</v>
      </c>
      <c r="E50" s="3">
        <f t="shared" si="19"/>
        <v>3.9206891377549458E-2</v>
      </c>
      <c r="F50" s="3">
        <f t="shared" si="19"/>
        <v>3.6625367665447432E-2</v>
      </c>
      <c r="G50" s="3">
        <f t="shared" si="19"/>
        <v>3.3721153489332654E-2</v>
      </c>
      <c r="H50" s="3">
        <f t="shared" si="19"/>
        <v>4.0013617537581335E-2</v>
      </c>
      <c r="I50" s="3">
        <f t="shared" si="19"/>
        <v>3.6786712897453805E-2</v>
      </c>
      <c r="J50" s="3">
        <f t="shared" si="19"/>
        <v>3.4689224881370918E-2</v>
      </c>
      <c r="K50" s="40">
        <f t="shared" si="19"/>
        <v>1.1778201936465473E-2</v>
      </c>
      <c r="L50" s="3"/>
      <c r="M50" s="3"/>
      <c r="P50" s="5"/>
      <c r="Q50" s="6"/>
      <c r="R50" s="3"/>
      <c r="S50" s="5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5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5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</row>
    <row r="51" spans="2:65" x14ac:dyDescent="0.3">
      <c r="B51" t="s">
        <v>13</v>
      </c>
      <c r="C51" s="3">
        <f t="shared" ref="C51:K51" si="20">C28*1</f>
        <v>9.7668690814896597E-3</v>
      </c>
      <c r="D51" s="3">
        <f t="shared" si="20"/>
        <v>7.9621215338230925E-3</v>
      </c>
      <c r="E51" s="3">
        <f t="shared" si="20"/>
        <v>1.2527071213214998E-2</v>
      </c>
      <c r="F51" s="3">
        <f t="shared" si="20"/>
        <v>1.0085353942842584E-2</v>
      </c>
      <c r="G51" s="3">
        <f t="shared" si="20"/>
        <v>8.7052528769799142E-3</v>
      </c>
      <c r="H51" s="3">
        <f t="shared" si="20"/>
        <v>1.2102424731411099E-2</v>
      </c>
      <c r="I51" s="3">
        <f t="shared" si="20"/>
        <v>1.0510000424646481E-2</v>
      </c>
      <c r="J51" s="3">
        <f t="shared" si="20"/>
        <v>8.1744447747250423E-3</v>
      </c>
      <c r="K51" s="40">
        <f t="shared" si="20"/>
        <v>4.7772729202938558E-3</v>
      </c>
      <c r="L51" s="3"/>
      <c r="M51" s="3"/>
      <c r="P51" s="5"/>
      <c r="Q51" s="6"/>
      <c r="R51" s="3"/>
      <c r="S51" s="5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5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5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</row>
    <row r="52" spans="2:65" x14ac:dyDescent="0.3">
      <c r="B52" t="s">
        <v>32</v>
      </c>
      <c r="C52" s="3">
        <f t="shared" ref="C52:K52" si="21">SUM(C42:C51)</f>
        <v>2.5508161593359113</v>
      </c>
      <c r="D52" s="3">
        <f t="shared" si="21"/>
        <v>2.3597567721544825</v>
      </c>
      <c r="E52" s="3">
        <f t="shared" si="21"/>
        <v>2.7863056292142958</v>
      </c>
      <c r="F52" s="3">
        <f t="shared" si="21"/>
        <v>2.5684794728637068</v>
      </c>
      <c r="G52" s="3">
        <f t="shared" si="21"/>
        <v>2.3990127999148418</v>
      </c>
      <c r="H52" s="3">
        <f t="shared" si="21"/>
        <v>2.728334428606205</v>
      </c>
      <c r="I52" s="3">
        <f t="shared" si="21"/>
        <v>2.5712912648838819</v>
      </c>
      <c r="J52" s="3">
        <f t="shared" si="21"/>
        <v>2.4431528379199547</v>
      </c>
      <c r="K52" s="40">
        <f t="shared" si="21"/>
        <v>2.5711962588849486</v>
      </c>
      <c r="L52" s="3"/>
      <c r="M52" s="3"/>
      <c r="P52" s="5"/>
      <c r="Q52" s="6"/>
      <c r="R52" s="3"/>
      <c r="S52" s="5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5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5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</row>
    <row r="53" spans="2:65" x14ac:dyDescent="0.3">
      <c r="C53" s="3"/>
      <c r="D53" s="3"/>
      <c r="E53" s="3"/>
      <c r="F53" s="3"/>
      <c r="G53" s="3"/>
      <c r="H53" s="3"/>
      <c r="I53" s="3"/>
      <c r="J53" s="3"/>
      <c r="L53" s="3"/>
      <c r="M53" s="3"/>
      <c r="P53" s="5"/>
      <c r="Q53" s="6"/>
      <c r="R53" s="3"/>
      <c r="S53" s="5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5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5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</row>
    <row r="54" spans="2:65" x14ac:dyDescent="0.3">
      <c r="C54" s="3">
        <f>23/C52</f>
        <v>9.0167219287131619</v>
      </c>
      <c r="D54" s="3">
        <f t="shared" ref="D54:K54" si="22">23/D52</f>
        <v>9.7467672394900084</v>
      </c>
      <c r="E54" s="3">
        <f t="shared" si="22"/>
        <v>8.2546579811080232</v>
      </c>
      <c r="F54" s="3">
        <f t="shared" si="22"/>
        <v>8.9547143525956709</v>
      </c>
      <c r="G54" s="3">
        <f t="shared" si="22"/>
        <v>9.5872769002384786</v>
      </c>
      <c r="H54" s="3">
        <f t="shared" si="22"/>
        <v>8.4300515944263346</v>
      </c>
      <c r="I54" s="3">
        <f t="shared" si="22"/>
        <v>8.9449220763555424</v>
      </c>
      <c r="J54" s="3">
        <f t="shared" si="22"/>
        <v>9.4140651550812038</v>
      </c>
      <c r="K54" s="40">
        <f t="shared" si="22"/>
        <v>8.9452525922600774</v>
      </c>
      <c r="L54" s="3"/>
      <c r="M54" s="3"/>
      <c r="P54" s="5"/>
      <c r="Q54" s="6"/>
      <c r="R54" s="3"/>
      <c r="S54" s="5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5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5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</row>
    <row r="55" spans="2:65" x14ac:dyDescent="0.3">
      <c r="C55" s="3"/>
      <c r="D55" s="3"/>
      <c r="E55" s="3"/>
      <c r="F55" s="3"/>
      <c r="G55" s="3"/>
      <c r="H55" s="3"/>
      <c r="I55" s="3"/>
      <c r="J55" s="3"/>
      <c r="L55" s="3"/>
      <c r="M55" s="3"/>
      <c r="P55" s="5"/>
      <c r="Q55" s="6"/>
      <c r="R55" s="3"/>
      <c r="S55" s="5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5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5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</row>
    <row r="56" spans="2:65" x14ac:dyDescent="0.3">
      <c r="B56" s="8" t="s">
        <v>50</v>
      </c>
      <c r="C56" s="3"/>
      <c r="D56" s="3"/>
      <c r="E56" s="3"/>
      <c r="F56" s="3"/>
      <c r="G56" s="3"/>
      <c r="H56" s="3"/>
      <c r="I56" s="3"/>
      <c r="J56" s="3"/>
      <c r="L56" s="3"/>
      <c r="M56" s="3"/>
      <c r="N56" s="8"/>
      <c r="O56" s="8"/>
      <c r="P56" s="5"/>
      <c r="Q56" s="6"/>
      <c r="R56" s="3"/>
      <c r="S56" s="5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5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5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</row>
    <row r="57" spans="2:65" x14ac:dyDescent="0.3">
      <c r="B57" t="s">
        <v>28</v>
      </c>
      <c r="C57" s="3">
        <f t="shared" ref="C57:K57" si="23">C30*C54</f>
        <v>6.0882528155923099</v>
      </c>
      <c r="D57" s="3">
        <f t="shared" si="23"/>
        <v>6.3995081510125091</v>
      </c>
      <c r="E57" s="3">
        <f t="shared" si="23"/>
        <v>5.891051975805861</v>
      </c>
      <c r="F57" s="3">
        <f t="shared" si="23"/>
        <v>6.2893126104412858</v>
      </c>
      <c r="G57" s="3">
        <f t="shared" si="23"/>
        <v>6.4415890417734314</v>
      </c>
      <c r="H57" s="3">
        <f t="shared" si="23"/>
        <v>6.0891820192313615</v>
      </c>
      <c r="I57" s="3">
        <f t="shared" si="23"/>
        <v>6.2928561399158989</v>
      </c>
      <c r="J57" s="3">
        <f t="shared" si="23"/>
        <v>6.4552551063979378</v>
      </c>
      <c r="K57" s="40">
        <f t="shared" si="23"/>
        <v>7.3203494084382781</v>
      </c>
      <c r="L57" s="3"/>
      <c r="M57" s="3"/>
      <c r="P57" s="5"/>
      <c r="Q57" s="6"/>
      <c r="R57" s="3"/>
      <c r="S57" s="5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5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5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</row>
    <row r="58" spans="2:65" x14ac:dyDescent="0.3">
      <c r="B58" t="s">
        <v>24</v>
      </c>
      <c r="C58" s="3">
        <f t="shared" ref="C58:K58" si="24">C31*C54</f>
        <v>0.27655609154553207</v>
      </c>
      <c r="D58" s="3">
        <f t="shared" si="24"/>
        <v>0.22939656592539218</v>
      </c>
      <c r="E58" s="3">
        <f t="shared" si="24"/>
        <v>0.35755565449948873</v>
      </c>
      <c r="F58" s="3">
        <f t="shared" si="24"/>
        <v>0.30828535818813124</v>
      </c>
      <c r="G58" s="3">
        <f t="shared" si="24"/>
        <v>0.27365197439800959</v>
      </c>
      <c r="H58" s="3">
        <f t="shared" si="24"/>
        <v>0.35776545097203855</v>
      </c>
      <c r="I58" s="3">
        <f t="shared" si="24"/>
        <v>0.30234917908331077</v>
      </c>
      <c r="J58" s="3">
        <f t="shared" si="24"/>
        <v>0.23806581487533654</v>
      </c>
      <c r="K58" s="40">
        <f t="shared" si="24"/>
        <v>6.3831629638755771E-2</v>
      </c>
      <c r="L58" s="3"/>
      <c r="M58" s="3"/>
      <c r="P58" s="5"/>
      <c r="Q58" s="6"/>
      <c r="R58" s="3"/>
      <c r="S58" s="5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5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5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</row>
    <row r="59" spans="2:65" x14ac:dyDescent="0.3">
      <c r="B59" t="s">
        <v>34</v>
      </c>
      <c r="C59" s="3">
        <f t="shared" ref="C59:K59" si="25">C32*C54</f>
        <v>2.2674233310011225</v>
      </c>
      <c r="D59" s="3">
        <f t="shared" si="25"/>
        <v>2.0648107842506862</v>
      </c>
      <c r="E59" s="3">
        <f t="shared" si="25"/>
        <v>2.3121883067098707</v>
      </c>
      <c r="F59" s="3">
        <f t="shared" si="25"/>
        <v>1.9497127198401731</v>
      </c>
      <c r="G59" s="3">
        <f t="shared" si="25"/>
        <v>1.8918607235393747</v>
      </c>
      <c r="H59" s="3">
        <f t="shared" si="25"/>
        <v>2.0091040078516289</v>
      </c>
      <c r="I59" s="3">
        <f t="shared" si="25"/>
        <v>1.9879359191280646</v>
      </c>
      <c r="J59" s="3">
        <f t="shared" si="25"/>
        <v>2.0146418893878235</v>
      </c>
      <c r="K59" s="40">
        <f t="shared" si="25"/>
        <v>0.875566352534357</v>
      </c>
      <c r="L59" s="3"/>
      <c r="M59" s="3"/>
      <c r="P59" s="5"/>
      <c r="Q59" s="6"/>
      <c r="R59" s="3"/>
      <c r="S59" s="5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5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5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</row>
    <row r="60" spans="2:65" x14ac:dyDescent="0.3">
      <c r="B60" t="s">
        <v>22</v>
      </c>
      <c r="C60" s="3">
        <f t="shared" ref="C60:K60" si="26">C33*C54</f>
        <v>0</v>
      </c>
      <c r="D60" s="3">
        <f t="shared" si="26"/>
        <v>0</v>
      </c>
      <c r="E60" s="3">
        <f t="shared" si="26"/>
        <v>3.2584562111030351E-3</v>
      </c>
      <c r="F60" s="3">
        <f t="shared" si="26"/>
        <v>1.1782658416475552E-3</v>
      </c>
      <c r="G60" s="3">
        <f t="shared" si="26"/>
        <v>0</v>
      </c>
      <c r="H60" s="3">
        <f t="shared" si="26"/>
        <v>2.4403069914956801E-2</v>
      </c>
      <c r="I60" s="3">
        <f t="shared" si="26"/>
        <v>1.1769773689893094E-3</v>
      </c>
      <c r="J60" s="3">
        <f t="shared" si="26"/>
        <v>0</v>
      </c>
      <c r="K60" s="40">
        <f t="shared" si="26"/>
        <v>0</v>
      </c>
      <c r="L60" s="3"/>
      <c r="M60" s="3"/>
      <c r="P60" s="5"/>
      <c r="Q60" s="6"/>
      <c r="R60" s="3"/>
      <c r="S60" s="5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5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5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spans="2:65" x14ac:dyDescent="0.3">
      <c r="B61" t="s">
        <v>33</v>
      </c>
      <c r="C61" s="3">
        <f t="shared" ref="C61:K61" si="27">C34*C54</f>
        <v>1.6453047680249748</v>
      </c>
      <c r="D61" s="3">
        <f t="shared" si="27"/>
        <v>1.6075849560723514</v>
      </c>
      <c r="E61" s="3">
        <f t="shared" si="27"/>
        <v>1.8371411945193814</v>
      </c>
      <c r="F61" s="3">
        <f t="shared" si="27"/>
        <v>1.6327437146329291</v>
      </c>
      <c r="G61" s="3">
        <f t="shared" si="27"/>
        <v>1.5692696689994836</v>
      </c>
      <c r="H61" s="3">
        <f t="shared" si="27"/>
        <v>1.7928690701668333</v>
      </c>
      <c r="I61" s="3">
        <f t="shared" si="27"/>
        <v>1.6558583814293926</v>
      </c>
      <c r="J61" s="3">
        <f t="shared" si="27"/>
        <v>1.5749858470859508</v>
      </c>
      <c r="K61" s="40">
        <f t="shared" si="27"/>
        <v>1.6521844086731028</v>
      </c>
      <c r="L61" s="3"/>
      <c r="M61" s="3"/>
      <c r="P61" s="5"/>
      <c r="Q61" s="6"/>
      <c r="R61" s="3"/>
      <c r="S61" s="5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5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5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</row>
    <row r="62" spans="2:65" x14ac:dyDescent="0.3">
      <c r="B62" t="s">
        <v>17</v>
      </c>
      <c r="C62" s="3">
        <f t="shared" ref="C62:K62" si="28">C35*C54</f>
        <v>3.3048073324622694E-2</v>
      </c>
      <c r="D62" s="3">
        <f t="shared" si="28"/>
        <v>0</v>
      </c>
      <c r="E62" s="3">
        <f t="shared" si="28"/>
        <v>6.2837220226232005E-2</v>
      </c>
      <c r="F62" s="3">
        <f t="shared" si="28"/>
        <v>4.9231204898851973E-2</v>
      </c>
      <c r="G62" s="3">
        <f t="shared" si="28"/>
        <v>2.5678697600638744E-2</v>
      </c>
      <c r="H62" s="3">
        <f t="shared" si="28"/>
        <v>7.9621280257489269E-2</v>
      </c>
      <c r="I62" s="3">
        <f t="shared" si="28"/>
        <v>5.0438327126586323E-2</v>
      </c>
      <c r="J62" s="3">
        <f t="shared" si="28"/>
        <v>2.9196043476551397E-2</v>
      </c>
      <c r="K62" s="40">
        <f t="shared" si="28"/>
        <v>5.6745214682178462E-2</v>
      </c>
      <c r="L62" s="3"/>
      <c r="M62" s="3"/>
      <c r="P62" s="5"/>
      <c r="Q62" s="6"/>
      <c r="R62" s="3"/>
      <c r="S62" s="5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5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5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</row>
    <row r="63" spans="2:65" x14ac:dyDescent="0.3">
      <c r="B63" t="s">
        <v>19</v>
      </c>
      <c r="C63" s="3">
        <f>C36*C54</f>
        <v>2.9127767566778155</v>
      </c>
      <c r="D63" s="3">
        <f t="shared" ref="D63:K63" si="29">D36*D54</f>
        <v>2.737502732977712</v>
      </c>
      <c r="E63" s="3">
        <f t="shared" si="29"/>
        <v>2.9185120292273137</v>
      </c>
      <c r="F63" s="3">
        <f t="shared" si="29"/>
        <v>3.0104995850991791</v>
      </c>
      <c r="G63" s="3">
        <f t="shared" si="29"/>
        <v>2.9519880293952898</v>
      </c>
      <c r="H63" s="3">
        <f t="shared" si="29"/>
        <v>3.0077148382769794</v>
      </c>
      <c r="I63" s="3">
        <f t="shared" si="29"/>
        <v>2.9339692403166966</v>
      </c>
      <c r="J63" s="3">
        <f t="shared" si="29"/>
        <v>2.8075610395906172</v>
      </c>
      <c r="K63" s="40">
        <f t="shared" si="29"/>
        <v>3.1071926710642281</v>
      </c>
      <c r="L63" s="3"/>
      <c r="M63" s="3"/>
      <c r="P63" s="5"/>
      <c r="Q63" s="6"/>
      <c r="R63" s="3"/>
      <c r="S63" s="5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5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5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</row>
    <row r="64" spans="2:65" x14ac:dyDescent="0.3">
      <c r="B64" t="s">
        <v>16</v>
      </c>
      <c r="C64" s="3">
        <f t="shared" ref="C64:K64" si="30">C37*C54</f>
        <v>1.8699953284377322</v>
      </c>
      <c r="D64" s="3">
        <f t="shared" si="30"/>
        <v>1.9014724933755969</v>
      </c>
      <c r="E64" s="3">
        <f t="shared" si="30"/>
        <v>1.7840779838407137</v>
      </c>
      <c r="F64" s="3">
        <f t="shared" si="30"/>
        <v>1.767711910381617</v>
      </c>
      <c r="G64" s="3">
        <f t="shared" si="30"/>
        <v>1.7780367806367663</v>
      </c>
      <c r="H64" s="3">
        <f t="shared" si="30"/>
        <v>1.7362983290171117</v>
      </c>
      <c r="I64" s="3">
        <f t="shared" si="30"/>
        <v>1.762588653249415</v>
      </c>
      <c r="J64" s="3">
        <f t="shared" si="30"/>
        <v>1.7761310142902336</v>
      </c>
      <c r="K64" s="40">
        <f t="shared" si="30"/>
        <v>1.9540731962463658</v>
      </c>
      <c r="L64" s="3"/>
      <c r="M64" s="3"/>
      <c r="P64" s="5"/>
      <c r="Q64" s="6"/>
      <c r="R64" s="3"/>
      <c r="S64" s="5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5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5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</row>
    <row r="65" spans="2:65" x14ac:dyDescent="0.3">
      <c r="B65" t="s">
        <v>14</v>
      </c>
      <c r="C65" s="3">
        <f t="shared" ref="C65:K65" si="31">C38*C54</f>
        <v>0.64011424027109087</v>
      </c>
      <c r="D65" s="3">
        <f t="shared" si="31"/>
        <v>0.64161852399960684</v>
      </c>
      <c r="E65" s="3">
        <f t="shared" si="31"/>
        <v>0.64727895764824794</v>
      </c>
      <c r="F65" s="3">
        <f t="shared" si="31"/>
        <v>0.65593941100575104</v>
      </c>
      <c r="G65" s="3">
        <f t="shared" si="31"/>
        <v>0.64658807179535027</v>
      </c>
      <c r="H65" s="3">
        <f t="shared" si="31"/>
        <v>0.67463372064290617</v>
      </c>
      <c r="I65" s="3">
        <f t="shared" si="31"/>
        <v>0.65810856062597545</v>
      </c>
      <c r="J65" s="3">
        <f t="shared" si="31"/>
        <v>0.65313324642497972</v>
      </c>
      <c r="K65" s="40">
        <f t="shared" si="31"/>
        <v>0.21071798280866089</v>
      </c>
      <c r="L65" s="3"/>
      <c r="M65" s="3"/>
      <c r="P65" s="5"/>
      <c r="Q65" s="6"/>
      <c r="R65" s="3"/>
      <c r="S65" s="5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5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5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</row>
    <row r="66" spans="2:65" x14ac:dyDescent="0.3">
      <c r="B66" t="s">
        <v>13</v>
      </c>
      <c r="C66" s="3">
        <f t="shared" ref="C66:K66" si="32">C39*C54</f>
        <v>0.17613028524387678</v>
      </c>
      <c r="D66" s="3">
        <f t="shared" si="32"/>
        <v>0.15520989064540971</v>
      </c>
      <c r="E66" s="3">
        <f t="shared" si="32"/>
        <v>0.20681337674014752</v>
      </c>
      <c r="F66" s="3">
        <f t="shared" si="32"/>
        <v>0.18062292740595964</v>
      </c>
      <c r="G66" s="3">
        <f t="shared" si="32"/>
        <v>0.16691933963640818</v>
      </c>
      <c r="H66" s="3">
        <f t="shared" si="32"/>
        <v>0.20404812980691367</v>
      </c>
      <c r="I66" s="3">
        <f t="shared" si="32"/>
        <v>0.18802226964185287</v>
      </c>
      <c r="J66" s="3">
        <f t="shared" si="32"/>
        <v>0.15390951143174927</v>
      </c>
      <c r="K66" s="40">
        <f t="shared" si="32"/>
        <v>8.5467825948384965E-2</v>
      </c>
      <c r="L66" s="3"/>
      <c r="M66" s="3"/>
      <c r="P66" s="5"/>
      <c r="Q66" s="6"/>
      <c r="R66" s="3"/>
      <c r="S66" s="5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5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5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</row>
    <row r="67" spans="2:65" x14ac:dyDescent="0.3">
      <c r="B67" t="s">
        <v>32</v>
      </c>
      <c r="C67" s="3">
        <f t="shared" ref="C67:K67" si="33">SUM(C57:C66)</f>
        <v>15.909601690119075</v>
      </c>
      <c r="D67" s="3">
        <f t="shared" si="33"/>
        <v>15.737104098259264</v>
      </c>
      <c r="E67" s="3">
        <f t="shared" si="33"/>
        <v>16.020715155428363</v>
      </c>
      <c r="F67" s="3">
        <f t="shared" si="33"/>
        <v>15.845237707735524</v>
      </c>
      <c r="G67" s="3">
        <f t="shared" si="33"/>
        <v>15.745582327774752</v>
      </c>
      <c r="H67" s="3">
        <f t="shared" si="33"/>
        <v>15.975639916138219</v>
      </c>
      <c r="I67" s="3">
        <f t="shared" si="33"/>
        <v>15.833303647886181</v>
      </c>
      <c r="J67" s="3">
        <f t="shared" si="33"/>
        <v>15.70287951296118</v>
      </c>
      <c r="K67" s="40">
        <f t="shared" si="33"/>
        <v>15.326128690034311</v>
      </c>
      <c r="L67" s="3"/>
      <c r="M67" s="3"/>
      <c r="P67" s="5"/>
      <c r="Q67" s="6"/>
      <c r="R67" s="3"/>
      <c r="S67" s="5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5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5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</row>
    <row r="68" spans="2:65" x14ac:dyDescent="0.3">
      <c r="B68" s="8" t="s">
        <v>49</v>
      </c>
      <c r="C68" s="3"/>
      <c r="D68" s="3"/>
      <c r="E68" s="3"/>
      <c r="F68" s="3"/>
      <c r="G68" s="3"/>
      <c r="H68" s="3"/>
      <c r="I68" s="3"/>
      <c r="J68" s="3"/>
      <c r="L68" s="3"/>
      <c r="M68" s="3"/>
      <c r="N68" s="8"/>
      <c r="O68" s="8"/>
      <c r="P68" s="5"/>
      <c r="Q68" s="6"/>
      <c r="R68" s="3"/>
      <c r="S68" s="5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5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5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</row>
    <row r="69" spans="2:65" x14ac:dyDescent="0.3">
      <c r="B69" t="s">
        <v>28</v>
      </c>
      <c r="C69" s="3">
        <f>C42*C54</f>
        <v>12.17650563118462</v>
      </c>
      <c r="D69" s="3">
        <f t="shared" ref="D69:K69" si="34">D42*D54</f>
        <v>12.799016302025018</v>
      </c>
      <c r="E69" s="3">
        <f t="shared" si="34"/>
        <v>11.782103951611722</v>
      </c>
      <c r="F69" s="3">
        <f t="shared" si="34"/>
        <v>12.578625220882572</v>
      </c>
      <c r="G69" s="3">
        <f t="shared" si="34"/>
        <v>12.883178083546863</v>
      </c>
      <c r="H69" s="3">
        <f t="shared" si="34"/>
        <v>12.178364038462723</v>
      </c>
      <c r="I69" s="3">
        <f t="shared" si="34"/>
        <v>12.585712279831798</v>
      </c>
      <c r="J69" s="3">
        <f t="shared" si="34"/>
        <v>12.910510212795876</v>
      </c>
      <c r="K69" s="40">
        <f t="shared" si="34"/>
        <v>14.640698816876556</v>
      </c>
      <c r="L69" s="3"/>
      <c r="M69" s="3"/>
      <c r="P69" s="5"/>
      <c r="Q69" s="6"/>
      <c r="R69" s="3"/>
      <c r="S69" s="5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5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5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</row>
    <row r="70" spans="2:65" x14ac:dyDescent="0.3">
      <c r="B70" t="s">
        <v>24</v>
      </c>
      <c r="C70" s="3">
        <f t="shared" ref="C70:K70" si="35">C43*C54</f>
        <v>0.55311218309106414</v>
      </c>
      <c r="D70" s="3">
        <f t="shared" si="35"/>
        <v>0.45879313185078435</v>
      </c>
      <c r="E70" s="3">
        <f t="shared" si="35"/>
        <v>0.71511130899897746</v>
      </c>
      <c r="F70" s="3">
        <f t="shared" si="35"/>
        <v>0.61657071637626248</v>
      </c>
      <c r="G70" s="3">
        <f t="shared" si="35"/>
        <v>0.54730394879601918</v>
      </c>
      <c r="H70" s="3">
        <f t="shared" si="35"/>
        <v>0.71553090194407709</v>
      </c>
      <c r="I70" s="3">
        <f t="shared" si="35"/>
        <v>0.60469835816662154</v>
      </c>
      <c r="J70" s="3">
        <f t="shared" si="35"/>
        <v>0.47613162975067308</v>
      </c>
      <c r="K70" s="40">
        <f t="shared" si="35"/>
        <v>0.12766325927751154</v>
      </c>
      <c r="L70" s="3"/>
      <c r="M70" s="3"/>
      <c r="P70" s="5"/>
      <c r="Q70" s="6"/>
      <c r="R70" s="3"/>
      <c r="S70" s="5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5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5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</row>
    <row r="71" spans="2:65" x14ac:dyDescent="0.3">
      <c r="B71" t="s">
        <v>34</v>
      </c>
      <c r="C71" s="3">
        <f t="shared" ref="C71:K71" si="36">C44*C54</f>
        <v>3.4011349965016837</v>
      </c>
      <c r="D71" s="3">
        <f t="shared" si="36"/>
        <v>3.0972161763760293</v>
      </c>
      <c r="E71" s="3">
        <f t="shared" si="36"/>
        <v>3.4682824600648066</v>
      </c>
      <c r="F71" s="3">
        <f t="shared" si="36"/>
        <v>2.9245690797602597</v>
      </c>
      <c r="G71" s="3">
        <f t="shared" si="36"/>
        <v>2.8377910853090622</v>
      </c>
      <c r="H71" s="3">
        <f t="shared" si="36"/>
        <v>3.0136560117774431</v>
      </c>
      <c r="I71" s="3">
        <f t="shared" si="36"/>
        <v>2.9819038786920964</v>
      </c>
      <c r="J71" s="3">
        <f t="shared" si="36"/>
        <v>3.021962834081735</v>
      </c>
      <c r="K71" s="40">
        <f t="shared" si="36"/>
        <v>1.3133495288015355</v>
      </c>
      <c r="L71" s="3"/>
      <c r="M71" s="3"/>
      <c r="P71" s="5"/>
      <c r="Q71" s="6"/>
      <c r="R71" s="3"/>
      <c r="S71" s="5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5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5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</row>
    <row r="72" spans="2:65" x14ac:dyDescent="0.3">
      <c r="B72" t="s">
        <v>22</v>
      </c>
      <c r="C72" s="3">
        <f t="shared" ref="C72:K72" si="37">C45*C54</f>
        <v>0</v>
      </c>
      <c r="D72" s="3">
        <f t="shared" si="37"/>
        <v>0</v>
      </c>
      <c r="E72" s="3">
        <f t="shared" si="37"/>
        <v>4.8876843166545531E-3</v>
      </c>
      <c r="F72" s="3">
        <f t="shared" si="37"/>
        <v>1.7673987624713329E-3</v>
      </c>
      <c r="G72" s="3">
        <f t="shared" si="37"/>
        <v>0</v>
      </c>
      <c r="H72" s="3">
        <f t="shared" si="37"/>
        <v>3.6604604872435199E-2</v>
      </c>
      <c r="I72" s="3">
        <f t="shared" si="37"/>
        <v>1.7654660534839643E-3</v>
      </c>
      <c r="J72" s="3">
        <f t="shared" si="37"/>
        <v>0</v>
      </c>
      <c r="K72" s="40">
        <f t="shared" si="37"/>
        <v>0</v>
      </c>
      <c r="L72" s="3"/>
      <c r="M72" s="3"/>
      <c r="P72" s="5"/>
      <c r="Q72" s="6"/>
      <c r="R72" s="3"/>
      <c r="S72" s="5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5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5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</row>
    <row r="73" spans="2:65" x14ac:dyDescent="0.3">
      <c r="B73" t="s">
        <v>33</v>
      </c>
      <c r="C73" s="3">
        <f t="shared" ref="C73:K73" si="38">C46*C54</f>
        <v>1.6453047680249748</v>
      </c>
      <c r="D73" s="3">
        <f t="shared" si="38"/>
        <v>1.6075849560723514</v>
      </c>
      <c r="E73" s="3">
        <f t="shared" si="38"/>
        <v>1.8371411945193814</v>
      </c>
      <c r="F73" s="3">
        <f t="shared" si="38"/>
        <v>1.6327437146329291</v>
      </c>
      <c r="G73" s="3">
        <f t="shared" si="38"/>
        <v>1.5692696689994836</v>
      </c>
      <c r="H73" s="3">
        <f t="shared" si="38"/>
        <v>1.7928690701668333</v>
      </c>
      <c r="I73" s="3">
        <f t="shared" si="38"/>
        <v>1.6558583814293926</v>
      </c>
      <c r="J73" s="3">
        <f t="shared" si="38"/>
        <v>1.5749858470859508</v>
      </c>
      <c r="K73" s="40">
        <f t="shared" si="38"/>
        <v>1.6521844086731028</v>
      </c>
      <c r="L73" s="3"/>
      <c r="M73" s="3"/>
      <c r="P73" s="5"/>
      <c r="Q73" s="6"/>
      <c r="R73" s="3"/>
      <c r="S73" s="5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5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5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</row>
    <row r="74" spans="2:65" x14ac:dyDescent="0.3">
      <c r="B74" t="s">
        <v>17</v>
      </c>
      <c r="C74" s="3">
        <f t="shared" ref="C74:K74" si="39">C47*C54</f>
        <v>3.3048073324622694E-2</v>
      </c>
      <c r="D74" s="3">
        <f t="shared" si="39"/>
        <v>0</v>
      </c>
      <c r="E74" s="3">
        <f t="shared" si="39"/>
        <v>6.2837220226232005E-2</v>
      </c>
      <c r="F74" s="3">
        <f t="shared" si="39"/>
        <v>4.9231204898851973E-2</v>
      </c>
      <c r="G74" s="3">
        <f t="shared" si="39"/>
        <v>2.5678697600638744E-2</v>
      </c>
      <c r="H74" s="3">
        <f t="shared" si="39"/>
        <v>7.9621280257489269E-2</v>
      </c>
      <c r="I74" s="3">
        <f t="shared" si="39"/>
        <v>5.0438327126586323E-2</v>
      </c>
      <c r="J74" s="3">
        <f t="shared" si="39"/>
        <v>2.9196043476551397E-2</v>
      </c>
      <c r="K74" s="40">
        <f t="shared" si="39"/>
        <v>5.6745214682178462E-2</v>
      </c>
      <c r="L74" s="3"/>
      <c r="M74" s="3"/>
      <c r="P74" s="5"/>
      <c r="Q74" s="6"/>
      <c r="R74" s="3"/>
      <c r="S74" s="5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5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5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</row>
    <row r="75" spans="2:65" x14ac:dyDescent="0.3">
      <c r="B75" t="s">
        <v>19</v>
      </c>
      <c r="C75" s="3">
        <f t="shared" ref="C75:K75" si="40">C48*C54</f>
        <v>2.9127767566778155</v>
      </c>
      <c r="D75" s="3">
        <f t="shared" si="40"/>
        <v>2.737502732977712</v>
      </c>
      <c r="E75" s="3">
        <f t="shared" si="40"/>
        <v>2.9185120292273137</v>
      </c>
      <c r="F75" s="3">
        <f t="shared" si="40"/>
        <v>3.0104995850991791</v>
      </c>
      <c r="G75" s="3">
        <f t="shared" si="40"/>
        <v>2.9519880293952898</v>
      </c>
      <c r="H75" s="3">
        <f t="shared" si="40"/>
        <v>3.0077148382769794</v>
      </c>
      <c r="I75" s="3">
        <f t="shared" si="40"/>
        <v>2.9339692403166966</v>
      </c>
      <c r="J75" s="3">
        <f t="shared" si="40"/>
        <v>2.8075610395906172</v>
      </c>
      <c r="K75" s="40">
        <f t="shared" si="40"/>
        <v>3.1071926710642281</v>
      </c>
      <c r="L75" s="3"/>
      <c r="M75" s="3"/>
      <c r="P75" s="5"/>
      <c r="Q75" s="6"/>
      <c r="R75" s="3"/>
      <c r="S75" s="5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5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5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</row>
    <row r="76" spans="2:65" x14ac:dyDescent="0.3">
      <c r="B76" t="s">
        <v>16</v>
      </c>
      <c r="C76" s="3">
        <f t="shared" ref="C76:K76" si="41">C49*C54</f>
        <v>1.8699953284377322</v>
      </c>
      <c r="D76" s="3">
        <f t="shared" si="41"/>
        <v>1.9014724933755969</v>
      </c>
      <c r="E76" s="3">
        <f t="shared" si="41"/>
        <v>1.7840779838407137</v>
      </c>
      <c r="F76" s="3">
        <f t="shared" si="41"/>
        <v>1.767711910381617</v>
      </c>
      <c r="G76" s="3">
        <f t="shared" si="41"/>
        <v>1.7780367806367663</v>
      </c>
      <c r="H76" s="3">
        <f t="shared" si="41"/>
        <v>1.7362983290171117</v>
      </c>
      <c r="I76" s="3">
        <f t="shared" si="41"/>
        <v>1.762588653249415</v>
      </c>
      <c r="J76" s="3">
        <f t="shared" si="41"/>
        <v>1.7761310142902336</v>
      </c>
      <c r="K76" s="40">
        <f t="shared" si="41"/>
        <v>1.9540731962463658</v>
      </c>
      <c r="L76" s="3"/>
      <c r="M76" s="3"/>
      <c r="P76" s="5"/>
      <c r="Q76" s="6"/>
      <c r="R76" s="3"/>
      <c r="S76" s="5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5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5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</row>
    <row r="77" spans="2:65" x14ac:dyDescent="0.3">
      <c r="B77" t="s">
        <v>14</v>
      </c>
      <c r="C77" s="3">
        <f t="shared" ref="C77:K77" si="42">C50*C54</f>
        <v>0.32005712013554544</v>
      </c>
      <c r="D77" s="3">
        <f t="shared" si="42"/>
        <v>0.32080926199980342</v>
      </c>
      <c r="E77" s="3">
        <f t="shared" si="42"/>
        <v>0.32363947882412397</v>
      </c>
      <c r="F77" s="3">
        <f t="shared" si="42"/>
        <v>0.32796970550287552</v>
      </c>
      <c r="G77" s="3">
        <f t="shared" si="42"/>
        <v>0.32329403589767514</v>
      </c>
      <c r="H77" s="3">
        <f t="shared" si="42"/>
        <v>0.33731686032145308</v>
      </c>
      <c r="I77" s="3">
        <f t="shared" si="42"/>
        <v>0.32905428031298772</v>
      </c>
      <c r="J77" s="3">
        <f t="shared" si="42"/>
        <v>0.32656662321248986</v>
      </c>
      <c r="K77" s="40">
        <f t="shared" si="42"/>
        <v>0.10535899140433044</v>
      </c>
      <c r="L77" s="3"/>
      <c r="M77" s="3"/>
      <c r="P77" s="5"/>
      <c r="Q77" s="6"/>
      <c r="R77" s="3"/>
      <c r="S77" s="5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5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5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</row>
    <row r="78" spans="2:65" x14ac:dyDescent="0.3">
      <c r="B78" t="s">
        <v>13</v>
      </c>
      <c r="C78" s="3">
        <f t="shared" ref="C78:K78" si="43">C51*C54</f>
        <v>8.8065142621938389E-2</v>
      </c>
      <c r="D78" s="3">
        <f t="shared" si="43"/>
        <v>7.7604945322704857E-2</v>
      </c>
      <c r="E78" s="3">
        <f t="shared" si="43"/>
        <v>0.10340668837007376</v>
      </c>
      <c r="F78" s="3">
        <f t="shared" si="43"/>
        <v>9.0311463702979822E-2</v>
      </c>
      <c r="G78" s="3">
        <f t="shared" si="43"/>
        <v>8.3459669818204088E-2</v>
      </c>
      <c r="H78" s="3">
        <f t="shared" si="43"/>
        <v>0.10202406490345683</v>
      </c>
      <c r="I78" s="3">
        <f t="shared" si="43"/>
        <v>9.4011134820926434E-2</v>
      </c>
      <c r="J78" s="3">
        <f t="shared" si="43"/>
        <v>7.6954755715874637E-2</v>
      </c>
      <c r="K78" s="40">
        <f t="shared" si="43"/>
        <v>4.2733912974192483E-2</v>
      </c>
      <c r="L78" s="3"/>
      <c r="M78" s="3"/>
      <c r="P78" s="5"/>
      <c r="Q78" s="6"/>
      <c r="R78" s="3"/>
      <c r="S78" s="5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5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5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</row>
    <row r="79" spans="2:65" x14ac:dyDescent="0.3">
      <c r="B79" t="s">
        <v>32</v>
      </c>
      <c r="C79" s="3">
        <f t="shared" ref="C79:K79" si="44">SUM(C69:C78)</f>
        <v>22.999999999999993</v>
      </c>
      <c r="D79" s="3">
        <f t="shared" si="44"/>
        <v>23</v>
      </c>
      <c r="E79" s="3">
        <f t="shared" si="44"/>
        <v>23.000000000000004</v>
      </c>
      <c r="F79" s="3">
        <f t="shared" si="44"/>
        <v>23</v>
      </c>
      <c r="G79" s="3">
        <f t="shared" si="44"/>
        <v>23</v>
      </c>
      <c r="H79" s="3">
        <f t="shared" si="44"/>
        <v>23</v>
      </c>
      <c r="I79" s="3">
        <f t="shared" si="44"/>
        <v>23.000000000000007</v>
      </c>
      <c r="J79" s="3">
        <f t="shared" si="44"/>
        <v>23</v>
      </c>
      <c r="K79" s="40">
        <f t="shared" si="44"/>
        <v>23.000000000000004</v>
      </c>
      <c r="L79" s="3"/>
      <c r="M79" s="3"/>
      <c r="P79" s="5"/>
      <c r="Q79" s="6"/>
      <c r="R79" s="3"/>
      <c r="S79" s="5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5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5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</row>
    <row r="80" spans="2:65" x14ac:dyDescent="0.3">
      <c r="B80" s="7" t="s">
        <v>29</v>
      </c>
      <c r="C80" s="3"/>
      <c r="D80" s="3"/>
      <c r="E80" s="3"/>
      <c r="F80" s="3"/>
      <c r="G80" s="3"/>
      <c r="H80" s="3"/>
      <c r="I80" s="3"/>
      <c r="J80" s="3"/>
      <c r="L80" s="3"/>
      <c r="M80" s="3"/>
      <c r="N80" s="7" t="s">
        <v>104</v>
      </c>
      <c r="O80" s="7" t="s">
        <v>105</v>
      </c>
      <c r="P80" s="5"/>
      <c r="Q80" s="6"/>
      <c r="R80" s="3"/>
      <c r="S80" s="5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5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5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</row>
    <row r="81" spans="1:65" x14ac:dyDescent="0.3">
      <c r="A81" s="29">
        <v>6.0882528155923099</v>
      </c>
      <c r="B81" t="s">
        <v>28</v>
      </c>
      <c r="C81" s="29">
        <f>C57</f>
        <v>6.0882528155923099</v>
      </c>
      <c r="D81" s="29">
        <f t="shared" ref="D81:K81" si="45">D57</f>
        <v>6.3995081510125091</v>
      </c>
      <c r="E81" s="29">
        <f t="shared" si="45"/>
        <v>5.891051975805861</v>
      </c>
      <c r="F81" s="29">
        <f t="shared" si="45"/>
        <v>6.2893126104412858</v>
      </c>
      <c r="G81" s="29">
        <f t="shared" si="45"/>
        <v>6.4415890417734314</v>
      </c>
      <c r="H81" s="29">
        <f t="shared" si="45"/>
        <v>6.0891820192313615</v>
      </c>
      <c r="I81" s="29">
        <f t="shared" si="45"/>
        <v>6.2928561399158989</v>
      </c>
      <c r="J81" s="29">
        <f t="shared" si="45"/>
        <v>6.4552551063979378</v>
      </c>
      <c r="K81" s="43">
        <f t="shared" si="45"/>
        <v>7.3203494084382781</v>
      </c>
      <c r="L81" s="3" t="s">
        <v>87</v>
      </c>
      <c r="M81" s="3"/>
      <c r="N81" s="31">
        <v>6.0882529999999999</v>
      </c>
      <c r="O81" s="33">
        <f>C81/N81</f>
        <v>0.99999996971090233</v>
      </c>
      <c r="P81" s="31" t="s">
        <v>89</v>
      </c>
      <c r="Q81" s="31">
        <v>6.0882529999999999</v>
      </c>
      <c r="R81" s="3"/>
      <c r="S81" s="5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5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5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</row>
    <row r="82" spans="1:65" x14ac:dyDescent="0.3">
      <c r="A82" s="29">
        <v>1.9117471844076901</v>
      </c>
      <c r="B82" t="s">
        <v>27</v>
      </c>
      <c r="C82" s="29">
        <f>IF(C57= 8, 0, IF(C57+C59&gt;8, 8-C57, C59))</f>
        <v>1.9117471844076901</v>
      </c>
      <c r="D82" s="29">
        <f t="shared" ref="D82:K82" si="46">IF(D57= 8, 0, IF(D57+D59&gt;8, 8-D57, D59))</f>
        <v>1.6004918489874909</v>
      </c>
      <c r="E82" s="29">
        <f t="shared" si="46"/>
        <v>2.108948024194139</v>
      </c>
      <c r="F82" s="29">
        <f t="shared" si="46"/>
        <v>1.7106873895587142</v>
      </c>
      <c r="G82" s="29">
        <f t="shared" si="46"/>
        <v>1.5584109582265686</v>
      </c>
      <c r="H82" s="29">
        <f t="shared" si="46"/>
        <v>1.9108179807686385</v>
      </c>
      <c r="I82" s="29">
        <f t="shared" si="46"/>
        <v>1.7071438600841011</v>
      </c>
      <c r="J82" s="29">
        <f t="shared" si="46"/>
        <v>1.5447448936020622</v>
      </c>
      <c r="K82" s="43">
        <f t="shared" si="46"/>
        <v>0.67965059156172192</v>
      </c>
      <c r="L82" s="3" t="s">
        <v>87</v>
      </c>
      <c r="M82" s="3"/>
      <c r="N82" s="31">
        <v>1.9117470000000001</v>
      </c>
      <c r="O82" s="33">
        <f t="shared" ref="O82:O99" si="47">C82/N82</f>
        <v>1.0000000964603004</v>
      </c>
      <c r="P82" s="31" t="s">
        <v>90</v>
      </c>
      <c r="Q82" s="31">
        <v>1.9117470000000001</v>
      </c>
      <c r="R82" s="3"/>
      <c r="S82" s="5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5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5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</row>
    <row r="83" spans="1:65" s="34" customFormat="1" x14ac:dyDescent="0.3">
      <c r="A83" s="35">
        <v>8</v>
      </c>
      <c r="B83" s="34" t="s">
        <v>26</v>
      </c>
      <c r="C83" s="35">
        <f t="shared" ref="C83:J83" si="48">SUM(C81:C82)</f>
        <v>8</v>
      </c>
      <c r="D83" s="35">
        <f t="shared" si="48"/>
        <v>8</v>
      </c>
      <c r="E83" s="35">
        <f t="shared" si="48"/>
        <v>8</v>
      </c>
      <c r="F83" s="35">
        <f t="shared" si="48"/>
        <v>8</v>
      </c>
      <c r="G83" s="35">
        <f t="shared" si="48"/>
        <v>8</v>
      </c>
      <c r="H83" s="35">
        <f t="shared" si="48"/>
        <v>8</v>
      </c>
      <c r="I83" s="35">
        <f t="shared" si="48"/>
        <v>8</v>
      </c>
      <c r="J83" s="35">
        <f t="shared" si="48"/>
        <v>8</v>
      </c>
      <c r="K83" s="44">
        <f>SUM(K81:K82)</f>
        <v>8</v>
      </c>
      <c r="L83" s="36"/>
      <c r="M83" s="36"/>
      <c r="O83" s="37" t="e">
        <f t="shared" si="47"/>
        <v>#DIV/0!</v>
      </c>
      <c r="P83" s="36" t="s">
        <v>91</v>
      </c>
      <c r="Q83" s="36">
        <v>0.35567599999999999</v>
      </c>
      <c r="R83" s="36"/>
      <c r="S83" s="38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8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8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</row>
    <row r="84" spans="1:65" x14ac:dyDescent="0.3">
      <c r="A84" s="29">
        <v>0.35567614659343239</v>
      </c>
      <c r="B84" t="s">
        <v>25</v>
      </c>
      <c r="C84" s="29">
        <f t="shared" ref="C84:K84" si="49">IF(SUM(C81,C59)&gt;8,C59-C82, 0)</f>
        <v>0.35567614659343239</v>
      </c>
      <c r="D84" s="29">
        <f t="shared" si="49"/>
        <v>0.46431893526319534</v>
      </c>
      <c r="E84" s="29">
        <f t="shared" si="49"/>
        <v>0.20324028251573178</v>
      </c>
      <c r="F84" s="29">
        <f t="shared" si="49"/>
        <v>0.23902533028145889</v>
      </c>
      <c r="G84" s="29">
        <f t="shared" si="49"/>
        <v>0.33344976531280612</v>
      </c>
      <c r="H84" s="29">
        <f t="shared" si="49"/>
        <v>9.828602708299039E-2</v>
      </c>
      <c r="I84" s="29">
        <f t="shared" si="49"/>
        <v>0.28079205904396343</v>
      </c>
      <c r="J84" s="29">
        <f t="shared" si="49"/>
        <v>0.46989699578576127</v>
      </c>
      <c r="K84" s="43">
        <f t="shared" si="49"/>
        <v>0.19591576097263508</v>
      </c>
      <c r="L84" s="3" t="s">
        <v>87</v>
      </c>
      <c r="M84" s="3"/>
      <c r="N84" s="31">
        <v>0.35567599999999999</v>
      </c>
      <c r="O84" s="33">
        <f t="shared" si="47"/>
        <v>1.0000004121544113</v>
      </c>
      <c r="P84" s="31" t="s">
        <v>92</v>
      </c>
      <c r="Q84" s="31">
        <v>0.27655600000000002</v>
      </c>
      <c r="R84" s="3"/>
      <c r="S84" s="5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5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5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</row>
    <row r="85" spans="1:65" x14ac:dyDescent="0.3">
      <c r="A85" s="29">
        <v>0.27655609154553207</v>
      </c>
      <c r="B85" t="s">
        <v>24</v>
      </c>
      <c r="C85" s="29">
        <f t="shared" ref="C85:K85" si="50">C58</f>
        <v>0.27655609154553207</v>
      </c>
      <c r="D85" s="29">
        <f t="shared" si="50"/>
        <v>0.22939656592539218</v>
      </c>
      <c r="E85" s="29">
        <f t="shared" si="50"/>
        <v>0.35755565449948873</v>
      </c>
      <c r="F85" s="29">
        <f t="shared" si="50"/>
        <v>0.30828535818813124</v>
      </c>
      <c r="G85" s="29">
        <f t="shared" si="50"/>
        <v>0.27365197439800959</v>
      </c>
      <c r="H85" s="29">
        <f t="shared" si="50"/>
        <v>0.35776545097203855</v>
      </c>
      <c r="I85" s="29">
        <f t="shared" si="50"/>
        <v>0.30234917908331077</v>
      </c>
      <c r="J85" s="29">
        <f t="shared" si="50"/>
        <v>0.23806581487533654</v>
      </c>
      <c r="K85" s="43">
        <f t="shared" si="50"/>
        <v>6.3831629638755771E-2</v>
      </c>
      <c r="L85" s="3"/>
      <c r="M85" s="3"/>
      <c r="N85" s="31">
        <v>0.27655600000000002</v>
      </c>
      <c r="O85" s="33">
        <f t="shared" si="47"/>
        <v>1.0000003310198731</v>
      </c>
      <c r="P85" s="31" t="s">
        <v>93</v>
      </c>
      <c r="Q85" s="31">
        <v>2.9127770000000002</v>
      </c>
      <c r="R85" s="3"/>
      <c r="S85" s="5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5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5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</row>
    <row r="86" spans="1:65" x14ac:dyDescent="0.3">
      <c r="A86" s="30">
        <v>0</v>
      </c>
      <c r="B86" t="s">
        <v>23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45">
        <v>0</v>
      </c>
      <c r="L86" s="3"/>
      <c r="M86" s="3"/>
      <c r="N86" s="32"/>
      <c r="O86" s="33" t="e">
        <f t="shared" si="47"/>
        <v>#DIV/0!</v>
      </c>
      <c r="P86" s="31" t="s">
        <v>94</v>
      </c>
      <c r="Q86" s="31">
        <v>1.4549909999999999</v>
      </c>
      <c r="R86" s="5"/>
      <c r="S86" s="5"/>
      <c r="T86" s="31">
        <f>IF(T85=TRUE, 0, 5)</f>
        <v>5</v>
      </c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3"/>
    </row>
    <row r="87" spans="1:65" x14ac:dyDescent="0.3">
      <c r="A87" s="29">
        <v>0</v>
      </c>
      <c r="B87" t="s">
        <v>22</v>
      </c>
      <c r="C87" s="29">
        <f t="shared" ref="C87:K87" si="51">C60</f>
        <v>0</v>
      </c>
      <c r="D87" s="29">
        <f t="shared" si="51"/>
        <v>0</v>
      </c>
      <c r="E87" s="29">
        <f t="shared" si="51"/>
        <v>3.2584562111030351E-3</v>
      </c>
      <c r="F87" s="29">
        <f t="shared" si="51"/>
        <v>1.1782658416475552E-3</v>
      </c>
      <c r="G87" s="29">
        <f t="shared" si="51"/>
        <v>0</v>
      </c>
      <c r="H87" s="29">
        <f t="shared" si="51"/>
        <v>2.4403069914956801E-2</v>
      </c>
      <c r="I87" s="29">
        <f t="shared" si="51"/>
        <v>1.1769773689893094E-3</v>
      </c>
      <c r="J87" s="29">
        <f t="shared" si="51"/>
        <v>0</v>
      </c>
      <c r="K87" s="43">
        <f t="shared" si="51"/>
        <v>0</v>
      </c>
      <c r="L87" s="3"/>
      <c r="M87" s="3"/>
      <c r="N87" s="32"/>
      <c r="O87" s="33" t="e">
        <f t="shared" si="47"/>
        <v>#DIV/0!</v>
      </c>
      <c r="P87" s="31" t="s">
        <v>95</v>
      </c>
      <c r="Q87" s="31">
        <v>0</v>
      </c>
      <c r="R87" s="3"/>
      <c r="S87" s="5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5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5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</row>
    <row r="88" spans="1:65" x14ac:dyDescent="0.3">
      <c r="A88" s="29">
        <v>2.9127767566778155</v>
      </c>
      <c r="B88" t="s">
        <v>19</v>
      </c>
      <c r="C88" s="29">
        <f t="shared" ref="C88:K88" si="52">IF(SUM(C84:C87,C63)&lt;5, C63, 5-SUM(C84:C87))</f>
        <v>2.9127767566778155</v>
      </c>
      <c r="D88" s="29">
        <f t="shared" si="52"/>
        <v>2.737502732977712</v>
      </c>
      <c r="E88" s="29">
        <f t="shared" si="52"/>
        <v>2.9185120292273137</v>
      </c>
      <c r="F88" s="29">
        <f t="shared" si="52"/>
        <v>3.0104995850991791</v>
      </c>
      <c r="G88" s="29">
        <f t="shared" si="52"/>
        <v>2.9519880293952898</v>
      </c>
      <c r="H88" s="29">
        <f t="shared" si="52"/>
        <v>3.0077148382769794</v>
      </c>
      <c r="I88" s="29">
        <f t="shared" si="52"/>
        <v>2.9339692403166966</v>
      </c>
      <c r="J88" s="29">
        <f t="shared" si="52"/>
        <v>2.8075610395906172</v>
      </c>
      <c r="K88" s="43">
        <f t="shared" si="52"/>
        <v>3.1071926710642281</v>
      </c>
      <c r="L88" s="3"/>
      <c r="M88" s="3"/>
      <c r="N88" s="32"/>
      <c r="O88" s="33" t="e">
        <f t="shared" si="47"/>
        <v>#DIV/0!</v>
      </c>
      <c r="P88" s="31" t="s">
        <v>96</v>
      </c>
      <c r="Q88" s="31">
        <v>0</v>
      </c>
      <c r="R88" s="3"/>
      <c r="S88" s="5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5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5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</row>
    <row r="89" spans="1:65" x14ac:dyDescent="0.3">
      <c r="A89" s="29">
        <v>1.4549910051832198</v>
      </c>
      <c r="B89" t="s">
        <v>18</v>
      </c>
      <c r="C89" s="29">
        <f t="shared" ref="C89:K89" si="53">IF(SUM(C84:C88,C61)&lt;5,C61, 5-SUM(C84:C88))</f>
        <v>1.4549910051832198</v>
      </c>
      <c r="D89" s="29">
        <f t="shared" si="53"/>
        <v>1.5687817658337004</v>
      </c>
      <c r="E89" s="29">
        <f t="shared" si="53"/>
        <v>1.5174335775463628</v>
      </c>
      <c r="F89" s="29">
        <f t="shared" si="53"/>
        <v>1.441011460589583</v>
      </c>
      <c r="G89" s="29">
        <f t="shared" si="53"/>
        <v>1.4409102308938944</v>
      </c>
      <c r="H89" s="29">
        <f t="shared" si="53"/>
        <v>1.5118306137530348</v>
      </c>
      <c r="I89" s="29">
        <f t="shared" si="53"/>
        <v>1.4817125441870398</v>
      </c>
      <c r="J89" s="29">
        <f t="shared" si="53"/>
        <v>1.4844761497482848</v>
      </c>
      <c r="K89" s="43">
        <f t="shared" si="53"/>
        <v>1.6330599383243811</v>
      </c>
      <c r="L89" s="3"/>
      <c r="M89" s="3"/>
      <c r="N89" s="31">
        <v>1.4549909999999999</v>
      </c>
      <c r="O89" s="33">
        <f t="shared" si="47"/>
        <v>1.0000000035623724</v>
      </c>
      <c r="P89" s="31" t="s">
        <v>97</v>
      </c>
      <c r="Q89" s="31">
        <v>0</v>
      </c>
      <c r="R89" s="3"/>
      <c r="S89" s="5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5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5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</row>
    <row r="90" spans="1:65" x14ac:dyDescent="0.3">
      <c r="A90" s="29">
        <v>0</v>
      </c>
      <c r="B90" t="s">
        <v>17</v>
      </c>
      <c r="C90" s="29">
        <f t="shared" ref="C90:K90" si="54">IF(SUM(C84:C89,C62)&lt;5,C62, 5-SUM(C84:C89))</f>
        <v>0</v>
      </c>
      <c r="D90" s="29">
        <f t="shared" si="54"/>
        <v>0</v>
      </c>
      <c r="E90" s="29">
        <f t="shared" si="54"/>
        <v>0</v>
      </c>
      <c r="F90" s="29">
        <f t="shared" si="54"/>
        <v>0</v>
      </c>
      <c r="G90" s="29">
        <f t="shared" si="54"/>
        <v>0</v>
      </c>
      <c r="H90" s="29">
        <f t="shared" si="54"/>
        <v>0</v>
      </c>
      <c r="I90" s="29">
        <f t="shared" si="54"/>
        <v>0</v>
      </c>
      <c r="J90" s="29">
        <f t="shared" si="54"/>
        <v>0</v>
      </c>
      <c r="K90" s="43">
        <f t="shared" si="54"/>
        <v>0</v>
      </c>
      <c r="L90" s="3"/>
      <c r="M90" s="3"/>
      <c r="N90" s="32"/>
      <c r="O90" s="33" t="e">
        <f t="shared" si="47"/>
        <v>#DIV/0!</v>
      </c>
      <c r="P90" s="31" t="s">
        <v>98</v>
      </c>
      <c r="Q90" s="31">
        <v>0.19031400000000001</v>
      </c>
      <c r="R90" s="3"/>
      <c r="S90" s="5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5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5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</row>
    <row r="91" spans="1:65" s="34" customFormat="1" x14ac:dyDescent="0.3">
      <c r="A91" s="35">
        <v>5</v>
      </c>
      <c r="B91" s="34" t="s">
        <v>20</v>
      </c>
      <c r="C91" s="35">
        <f t="shared" ref="C91:K91" si="55">SUM(C84:C90)</f>
        <v>5</v>
      </c>
      <c r="D91" s="35">
        <f t="shared" si="55"/>
        <v>5</v>
      </c>
      <c r="E91" s="35">
        <f t="shared" si="55"/>
        <v>5</v>
      </c>
      <c r="F91" s="35">
        <f t="shared" si="55"/>
        <v>5</v>
      </c>
      <c r="G91" s="35">
        <f t="shared" si="55"/>
        <v>5</v>
      </c>
      <c r="H91" s="35">
        <f t="shared" si="55"/>
        <v>5</v>
      </c>
      <c r="I91" s="35">
        <f t="shared" si="55"/>
        <v>5</v>
      </c>
      <c r="J91" s="35">
        <f t="shared" si="55"/>
        <v>5</v>
      </c>
      <c r="K91" s="44">
        <f t="shared" si="55"/>
        <v>5</v>
      </c>
      <c r="L91" s="36"/>
      <c r="M91" s="36"/>
      <c r="O91" s="37" t="e">
        <f t="shared" si="47"/>
        <v>#DIV/0!</v>
      </c>
      <c r="P91" s="36" t="s">
        <v>99</v>
      </c>
      <c r="Q91" s="36">
        <v>3.3048000000000001E-2</v>
      </c>
      <c r="R91" s="36"/>
      <c r="S91" s="38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8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8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</row>
    <row r="92" spans="1:65" x14ac:dyDescent="0.3">
      <c r="A92" s="29">
        <v>0</v>
      </c>
      <c r="B92" t="s">
        <v>19</v>
      </c>
      <c r="C92" s="29">
        <f t="shared" ref="C92:K92" si="56">IF(C88=TRUE, 0, C63-C88)</f>
        <v>0</v>
      </c>
      <c r="D92" s="29">
        <f t="shared" si="56"/>
        <v>0</v>
      </c>
      <c r="E92" s="29">
        <f t="shared" si="56"/>
        <v>0</v>
      </c>
      <c r="F92" s="29">
        <f t="shared" si="56"/>
        <v>0</v>
      </c>
      <c r="G92" s="29">
        <f t="shared" si="56"/>
        <v>0</v>
      </c>
      <c r="H92" s="29">
        <f t="shared" si="56"/>
        <v>0</v>
      </c>
      <c r="I92" s="29">
        <f t="shared" si="56"/>
        <v>0</v>
      </c>
      <c r="J92" s="29">
        <f t="shared" si="56"/>
        <v>0</v>
      </c>
      <c r="K92" s="43">
        <f t="shared" si="56"/>
        <v>0</v>
      </c>
      <c r="L92" s="3"/>
      <c r="M92" s="3"/>
      <c r="N92" s="32"/>
      <c r="O92" s="33" t="e">
        <f t="shared" si="47"/>
        <v>#DIV/0!</v>
      </c>
      <c r="P92" s="31" t="s">
        <v>100</v>
      </c>
      <c r="Q92" s="31">
        <v>0</v>
      </c>
      <c r="R92" s="3"/>
      <c r="S92" s="5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5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5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</row>
    <row r="93" spans="1:65" x14ac:dyDescent="0.3">
      <c r="A93" s="29">
        <v>0.19031376284175505</v>
      </c>
      <c r="B93" t="s">
        <v>18</v>
      </c>
      <c r="C93" s="29">
        <f t="shared" ref="C93:K93" si="57">IF(C89=TRUE, 0, C61-C89)</f>
        <v>0.19031376284175505</v>
      </c>
      <c r="D93" s="29">
        <f t="shared" si="57"/>
        <v>3.8803190238650975E-2</v>
      </c>
      <c r="E93" s="29">
        <f t="shared" si="57"/>
        <v>0.31970761697301864</v>
      </c>
      <c r="F93" s="29">
        <f t="shared" si="57"/>
        <v>0.19173225404334615</v>
      </c>
      <c r="G93" s="29">
        <f t="shared" si="57"/>
        <v>0.12835943810558925</v>
      </c>
      <c r="H93" s="29">
        <f t="shared" si="57"/>
        <v>0.28103845641379843</v>
      </c>
      <c r="I93" s="29">
        <f t="shared" si="57"/>
        <v>0.17414583724235277</v>
      </c>
      <c r="J93" s="29">
        <f t="shared" si="57"/>
        <v>9.0509697337666006E-2</v>
      </c>
      <c r="K93" s="43">
        <f t="shared" si="57"/>
        <v>1.9124470348721667E-2</v>
      </c>
      <c r="L93" s="3"/>
      <c r="M93" s="3"/>
      <c r="N93" s="31">
        <v>0.19031400000000001</v>
      </c>
      <c r="O93" s="33">
        <f t="shared" si="47"/>
        <v>0.9999987538581242</v>
      </c>
      <c r="P93" s="31" t="s">
        <v>101</v>
      </c>
      <c r="Q93" s="31">
        <v>1.8699950000000001</v>
      </c>
      <c r="R93" s="3"/>
      <c r="S93" s="5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5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5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</row>
    <row r="94" spans="1:65" x14ac:dyDescent="0.3">
      <c r="A94" s="29">
        <v>3.3048073324622694E-2</v>
      </c>
      <c r="B94" t="s">
        <v>17</v>
      </c>
      <c r="C94" s="29">
        <f>IF(C90=TRUE, 0, C62-C90)</f>
        <v>3.3048073324622694E-2</v>
      </c>
      <c r="D94" s="29">
        <f t="shared" ref="D94:K94" si="58">IF(D90=TRUE, 0, D62-D90)</f>
        <v>0</v>
      </c>
      <c r="E94" s="29">
        <f t="shared" si="58"/>
        <v>6.2837220226232005E-2</v>
      </c>
      <c r="F94" s="29">
        <f t="shared" si="58"/>
        <v>4.9231204898851973E-2</v>
      </c>
      <c r="G94" s="29">
        <f t="shared" si="58"/>
        <v>2.5678697600638744E-2</v>
      </c>
      <c r="H94" s="29">
        <f t="shared" si="58"/>
        <v>7.9621280257489269E-2</v>
      </c>
      <c r="I94" s="29">
        <f t="shared" si="58"/>
        <v>5.0438327126586323E-2</v>
      </c>
      <c r="J94" s="29">
        <f t="shared" si="58"/>
        <v>2.9196043476551397E-2</v>
      </c>
      <c r="K94" s="43">
        <f t="shared" si="58"/>
        <v>5.6745214682178462E-2</v>
      </c>
      <c r="M94" s="3"/>
      <c r="N94" s="31">
        <v>3.3048000000000001E-2</v>
      </c>
      <c r="O94" s="33">
        <f t="shared" si="47"/>
        <v>1.0000022187310182</v>
      </c>
      <c r="P94" s="31" t="s">
        <v>102</v>
      </c>
      <c r="Q94" s="31">
        <v>0.64011399999999996</v>
      </c>
      <c r="R94" s="3"/>
      <c r="S94" s="5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5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5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</row>
    <row r="95" spans="1:65" x14ac:dyDescent="0.3">
      <c r="A95" s="29">
        <v>1.8699953284377322</v>
      </c>
      <c r="B95" t="s">
        <v>16</v>
      </c>
      <c r="C95" s="29">
        <f t="shared" ref="C95:K95" si="59">C64</f>
        <v>1.8699953284377322</v>
      </c>
      <c r="D95" s="29">
        <f t="shared" si="59"/>
        <v>1.9014724933755969</v>
      </c>
      <c r="E95" s="29">
        <f t="shared" si="59"/>
        <v>1.7840779838407137</v>
      </c>
      <c r="F95" s="29">
        <f t="shared" si="59"/>
        <v>1.767711910381617</v>
      </c>
      <c r="G95" s="29">
        <f t="shared" si="59"/>
        <v>1.7780367806367663</v>
      </c>
      <c r="H95" s="29">
        <f t="shared" si="59"/>
        <v>1.7362983290171117</v>
      </c>
      <c r="I95" s="29">
        <f t="shared" si="59"/>
        <v>1.762588653249415</v>
      </c>
      <c r="J95" s="29">
        <f t="shared" si="59"/>
        <v>1.7761310142902336</v>
      </c>
      <c r="K95" s="43">
        <f t="shared" si="59"/>
        <v>1.9540731962463658</v>
      </c>
      <c r="M95" s="3"/>
      <c r="N95" s="31">
        <v>1.8699950000000001</v>
      </c>
      <c r="O95" s="33">
        <f t="shared" si="47"/>
        <v>1.0000001756356205</v>
      </c>
      <c r="P95" s="31" t="s">
        <v>103</v>
      </c>
      <c r="Q95" s="31">
        <v>0.17613000000000001</v>
      </c>
      <c r="R95" s="3"/>
      <c r="S95" s="5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5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5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spans="1:65" x14ac:dyDescent="0.3">
      <c r="A96" s="29">
        <v>0</v>
      </c>
      <c r="B96" t="s">
        <v>14</v>
      </c>
      <c r="C96" s="29">
        <f>IF(SUM(C92:C95,C65)&lt;2, C65, 2-SUM(C92:C95))</f>
        <v>-9.3357164604110032E-2</v>
      </c>
      <c r="D96" s="29">
        <f t="shared" ref="D96:K96" si="60">IF(SUM(D92:D95,D65)&lt;2, D65, 2-SUM(D92:D95))</f>
        <v>5.9724316385752152E-2</v>
      </c>
      <c r="E96" s="29">
        <f t="shared" si="60"/>
        <v>-0.16662282103996429</v>
      </c>
      <c r="F96" s="29">
        <f t="shared" si="60"/>
        <v>-8.6753693238152962E-3</v>
      </c>
      <c r="G96" s="29">
        <f t="shared" si="60"/>
        <v>6.792508365700578E-2</v>
      </c>
      <c r="H96" s="29">
        <f t="shared" si="60"/>
        <v>-9.6958065688399486E-2</v>
      </c>
      <c r="I96" s="29">
        <f t="shared" si="60"/>
        <v>1.282718238164593E-2</v>
      </c>
      <c r="J96" s="29">
        <f t="shared" si="60"/>
        <v>0.10416324489554896</v>
      </c>
      <c r="K96" s="43">
        <f t="shared" si="60"/>
        <v>-2.9942881277265965E-2</v>
      </c>
      <c r="L96" s="29">
        <f>IF(SUM(C92:C95,C65)&lt;2, C65, 2-SUM(C92:C95, C65))</f>
        <v>-0.73347140487520068</v>
      </c>
      <c r="M96" s="3"/>
      <c r="N96" s="3"/>
      <c r="O96" s="33" t="e">
        <f t="shared" si="47"/>
        <v>#DIV/0!</v>
      </c>
      <c r="P96" s="5"/>
      <c r="Q96" s="6"/>
      <c r="R96" s="3"/>
      <c r="S96" s="5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5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5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</row>
    <row r="97" spans="1:65" s="34" customFormat="1" x14ac:dyDescent="0.3">
      <c r="A97" s="35">
        <v>2</v>
      </c>
      <c r="B97" s="34" t="s">
        <v>15</v>
      </c>
      <c r="C97" s="35">
        <f t="shared" ref="C97:K97" si="61">SUM(C92:C96)</f>
        <v>2</v>
      </c>
      <c r="D97" s="35">
        <f t="shared" si="61"/>
        <v>2</v>
      </c>
      <c r="E97" s="35">
        <f t="shared" si="61"/>
        <v>2</v>
      </c>
      <c r="F97" s="35">
        <f t="shared" si="61"/>
        <v>2</v>
      </c>
      <c r="G97" s="35">
        <f t="shared" si="61"/>
        <v>2</v>
      </c>
      <c r="H97" s="35">
        <f t="shared" si="61"/>
        <v>2</v>
      </c>
      <c r="I97" s="35">
        <f t="shared" si="61"/>
        <v>2</v>
      </c>
      <c r="J97" s="35">
        <f t="shared" si="61"/>
        <v>2</v>
      </c>
      <c r="K97" s="44">
        <f t="shared" si="61"/>
        <v>2</v>
      </c>
      <c r="M97" s="36"/>
      <c r="N97" s="36"/>
      <c r="O97" s="37" t="e">
        <f t="shared" si="47"/>
        <v>#DIV/0!</v>
      </c>
      <c r="P97" s="38"/>
      <c r="Q97" s="39"/>
      <c r="R97" s="36"/>
      <c r="S97" s="38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8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8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</row>
    <row r="98" spans="1:65" x14ac:dyDescent="0.3">
      <c r="A98" s="31">
        <v>0.64011399999999996</v>
      </c>
      <c r="B98" t="s">
        <v>14</v>
      </c>
      <c r="C98" s="29">
        <f>IF(C96=TRUE, 0, C65-C96)</f>
        <v>0.73347140487520091</v>
      </c>
      <c r="D98" s="29">
        <f t="shared" ref="D98:K98" si="62">IF(D96=TRUE, 0, D65-D96)</f>
        <v>0.58189420761385469</v>
      </c>
      <c r="E98" s="29">
        <f t="shared" si="62"/>
        <v>0.81390177868821223</v>
      </c>
      <c r="F98" s="29">
        <f t="shared" si="62"/>
        <v>0.66461478032956633</v>
      </c>
      <c r="G98" s="29">
        <f t="shared" si="62"/>
        <v>0.57866298813834449</v>
      </c>
      <c r="H98" s="29">
        <f t="shared" si="62"/>
        <v>0.77159178633130565</v>
      </c>
      <c r="I98" s="29">
        <f t="shared" si="62"/>
        <v>0.64528137824432952</v>
      </c>
      <c r="J98" s="29">
        <f t="shared" si="62"/>
        <v>0.54897000152943076</v>
      </c>
      <c r="K98" s="43">
        <f t="shared" si="62"/>
        <v>0.24066086408592685</v>
      </c>
      <c r="M98" s="3"/>
      <c r="N98" s="31">
        <v>0.64011399999999996</v>
      </c>
      <c r="O98" s="33">
        <f t="shared" si="47"/>
        <v>1.1458449664828467</v>
      </c>
      <c r="P98" s="31" t="s">
        <v>106</v>
      </c>
      <c r="Q98" s="6"/>
      <c r="R98" s="3"/>
      <c r="S98" s="5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5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5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</row>
    <row r="99" spans="1:65" x14ac:dyDescent="0.3">
      <c r="A99" s="29">
        <v>0.17613028524387678</v>
      </c>
      <c r="B99" t="s">
        <v>13</v>
      </c>
      <c r="C99" s="29">
        <f t="shared" ref="C99:K99" si="63">C66</f>
        <v>0.17613028524387678</v>
      </c>
      <c r="D99" s="29">
        <f t="shared" si="63"/>
        <v>0.15520989064540971</v>
      </c>
      <c r="E99" s="29">
        <f t="shared" si="63"/>
        <v>0.20681337674014752</v>
      </c>
      <c r="F99" s="29">
        <f t="shared" si="63"/>
        <v>0.18062292740595964</v>
      </c>
      <c r="G99" s="29">
        <f t="shared" si="63"/>
        <v>0.16691933963640818</v>
      </c>
      <c r="H99" s="29">
        <f t="shared" si="63"/>
        <v>0.20404812980691367</v>
      </c>
      <c r="I99" s="29">
        <f t="shared" si="63"/>
        <v>0.18802226964185287</v>
      </c>
      <c r="J99" s="29">
        <f t="shared" si="63"/>
        <v>0.15390951143174927</v>
      </c>
      <c r="K99" s="43">
        <f t="shared" si="63"/>
        <v>8.5467825948384965E-2</v>
      </c>
      <c r="M99" s="3"/>
      <c r="N99" s="31">
        <v>0.17613000000000001</v>
      </c>
      <c r="O99" s="33">
        <f t="shared" si="47"/>
        <v>1.000001619507618</v>
      </c>
      <c r="P99" s="5"/>
      <c r="Q99" s="6"/>
      <c r="R99" s="3"/>
      <c r="S99" s="5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5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5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</row>
    <row r="100" spans="1:65" s="34" customFormat="1" x14ac:dyDescent="0.3">
      <c r="A100" s="35">
        <v>0.90960169011907765</v>
      </c>
      <c r="B100" s="34" t="s">
        <v>12</v>
      </c>
      <c r="C100" s="35">
        <f>SUM(C98:C99)</f>
        <v>0.90960169011907765</v>
      </c>
      <c r="D100" s="35">
        <f t="shared" ref="D100:K100" si="64">SUM(D98:D99)</f>
        <v>0.73710409825926437</v>
      </c>
      <c r="E100" s="35">
        <f t="shared" si="64"/>
        <v>1.0207151554283598</v>
      </c>
      <c r="F100" s="35">
        <f t="shared" si="64"/>
        <v>0.84523770773552598</v>
      </c>
      <c r="G100" s="35">
        <f t="shared" si="64"/>
        <v>0.74558232777475264</v>
      </c>
      <c r="H100" s="35">
        <f t="shared" si="64"/>
        <v>0.97563991613821932</v>
      </c>
      <c r="I100" s="35">
        <f t="shared" si="64"/>
        <v>0.83330364788618239</v>
      </c>
      <c r="J100" s="35">
        <f t="shared" si="64"/>
        <v>0.70287951296118001</v>
      </c>
      <c r="K100" s="44">
        <f t="shared" si="64"/>
        <v>0.32612869003431183</v>
      </c>
      <c r="L100" s="36"/>
      <c r="M100" s="36"/>
      <c r="P100" s="38"/>
      <c r="Q100" s="39"/>
      <c r="R100" s="36"/>
      <c r="S100" s="38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8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8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</row>
    <row r="101" spans="1:65" x14ac:dyDescent="0.3">
      <c r="A101" s="29">
        <v>15.909601690119077</v>
      </c>
      <c r="B101" t="s">
        <v>11</v>
      </c>
      <c r="C101" s="29">
        <f t="shared" ref="C101:K101" si="65">SUM(C83,C91,C97,C100)</f>
        <v>15.909601690119077</v>
      </c>
      <c r="D101" s="29">
        <f t="shared" si="65"/>
        <v>15.737104098259264</v>
      </c>
      <c r="E101" s="29">
        <f t="shared" si="65"/>
        <v>16.020715155428359</v>
      </c>
      <c r="F101" s="29">
        <f t="shared" si="65"/>
        <v>15.845237707735526</v>
      </c>
      <c r="G101" s="29">
        <f t="shared" si="65"/>
        <v>15.745582327774752</v>
      </c>
      <c r="H101" s="29">
        <f t="shared" si="65"/>
        <v>15.975639916138219</v>
      </c>
      <c r="I101" s="29">
        <f t="shared" si="65"/>
        <v>15.833303647886183</v>
      </c>
      <c r="J101" s="29">
        <f t="shared" si="65"/>
        <v>15.70287951296118</v>
      </c>
      <c r="K101" s="43">
        <f t="shared" si="65"/>
        <v>15.326128690034311</v>
      </c>
      <c r="L101" s="3"/>
      <c r="M101" s="3"/>
      <c r="N101" t="s">
        <v>107</v>
      </c>
      <c r="P101" s="5"/>
      <c r="Q101" s="6"/>
      <c r="R101" s="3"/>
      <c r="S101" s="5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5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5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</row>
    <row r="102" spans="1:65" x14ac:dyDescent="0.3">
      <c r="C102" s="29"/>
      <c r="D102" s="3"/>
      <c r="E102" s="3"/>
      <c r="F102" s="3"/>
      <c r="G102" s="3"/>
      <c r="H102" s="3"/>
      <c r="I102" s="3"/>
      <c r="J102" s="3"/>
      <c r="L102" s="3"/>
      <c r="M102" s="3"/>
      <c r="P102" s="5"/>
      <c r="Q102" s="6"/>
      <c r="R102" s="3"/>
      <c r="S102" s="5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5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5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</row>
    <row r="103" spans="1:65" x14ac:dyDescent="0.3">
      <c r="C103" s="3"/>
      <c r="D103" s="3"/>
      <c r="E103" s="3"/>
      <c r="F103" s="3"/>
      <c r="G103" s="3"/>
      <c r="H103" s="3"/>
      <c r="I103" s="3"/>
      <c r="J103" s="3"/>
      <c r="L103" s="3"/>
      <c r="M103" s="3"/>
      <c r="P103" s="5"/>
      <c r="Q103" s="6"/>
      <c r="R103" s="3"/>
      <c r="S103" s="5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5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5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</row>
    <row r="104" spans="1:65" x14ac:dyDescent="0.3">
      <c r="C104" s="3"/>
      <c r="D104" s="3"/>
      <c r="E104" s="3"/>
      <c r="F104" s="3"/>
      <c r="G104" s="3"/>
      <c r="H104" s="3"/>
      <c r="I104" s="3"/>
      <c r="J104" s="3"/>
      <c r="L104" s="3"/>
      <c r="M104" s="3"/>
      <c r="P104" s="5"/>
      <c r="Q104" s="6"/>
      <c r="R104" s="3"/>
      <c r="S104" s="5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5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5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</row>
    <row r="105" spans="1:65" x14ac:dyDescent="0.3">
      <c r="B105" s="8" t="s">
        <v>74</v>
      </c>
      <c r="C105" s="3"/>
      <c r="D105" s="3"/>
      <c r="E105" s="3"/>
      <c r="F105" s="3"/>
      <c r="G105" s="3"/>
      <c r="H105" s="3"/>
      <c r="I105" s="3"/>
      <c r="J105" s="3"/>
      <c r="L105" s="3"/>
      <c r="M105" s="3"/>
      <c r="N105" s="8"/>
      <c r="O105" s="8"/>
      <c r="P105" s="5"/>
      <c r="Q105" s="6"/>
      <c r="R105" s="3"/>
      <c r="S105" s="5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5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5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</row>
    <row r="106" spans="1:65" x14ac:dyDescent="0.3">
      <c r="C106" s="3"/>
      <c r="D106" s="3"/>
      <c r="E106" s="3"/>
      <c r="F106" s="3"/>
      <c r="G106" s="3"/>
      <c r="H106" s="3"/>
      <c r="I106" s="3"/>
      <c r="J106" s="3"/>
      <c r="L106" s="3"/>
      <c r="M106" s="3"/>
      <c r="P106" s="5"/>
      <c r="Q106" s="6"/>
      <c r="R106" s="3"/>
      <c r="S106" s="5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5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5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</row>
    <row r="107" spans="1:65" x14ac:dyDescent="0.3">
      <c r="B107" s="8" t="s">
        <v>48</v>
      </c>
      <c r="C107" s="3"/>
      <c r="D107" s="3"/>
      <c r="E107" s="3"/>
      <c r="F107" s="3"/>
      <c r="G107" s="3"/>
      <c r="H107" s="3"/>
      <c r="I107" s="3"/>
      <c r="J107" s="3"/>
      <c r="L107" s="3"/>
      <c r="M107" s="3"/>
      <c r="N107" s="8"/>
      <c r="O107" s="8"/>
      <c r="P107" s="5"/>
      <c r="Q107" s="6"/>
      <c r="R107" s="3"/>
      <c r="S107" s="5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5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5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</row>
    <row r="108" spans="1:65" x14ac:dyDescent="0.3">
      <c r="A108" s="3">
        <f>16/A101</f>
        <v>1.0056819970506909</v>
      </c>
      <c r="B108" t="s">
        <v>47</v>
      </c>
      <c r="C108" s="3">
        <f>16/C101</f>
        <v>1.0056819970506909</v>
      </c>
      <c r="D108" s="3">
        <f t="shared" ref="D108:K108" si="66">16/D101</f>
        <v>1.0167054815231105</v>
      </c>
      <c r="E108" s="3">
        <f t="shared" si="66"/>
        <v>0.99870697685918597</v>
      </c>
      <c r="F108" s="3">
        <f t="shared" si="66"/>
        <v>1.0097671171060387</v>
      </c>
      <c r="G108" s="3">
        <f t="shared" si="66"/>
        <v>1.0161580351192514</v>
      </c>
      <c r="H108" s="3">
        <f t="shared" si="66"/>
        <v>1.0015248267981536</v>
      </c>
      <c r="I108" s="3">
        <f t="shared" si="66"/>
        <v>1.0105282103988495</v>
      </c>
      <c r="J108" s="3">
        <f t="shared" si="66"/>
        <v>1.0189214014406451</v>
      </c>
      <c r="K108" s="40">
        <f t="shared" si="66"/>
        <v>1.0439687884393054</v>
      </c>
      <c r="L108" s="3"/>
      <c r="M108" s="3"/>
      <c r="P108" s="5"/>
      <c r="Q108" s="6"/>
      <c r="R108" s="3"/>
      <c r="S108" s="5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5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5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</row>
    <row r="109" spans="1:65" x14ac:dyDescent="0.3">
      <c r="A109" s="3">
        <f>8/A81</f>
        <v>1.3140058802275119</v>
      </c>
      <c r="B109" t="s">
        <v>46</v>
      </c>
      <c r="C109" s="3">
        <f>8/C81</f>
        <v>1.3140058802275119</v>
      </c>
      <c r="D109" s="3">
        <f t="shared" ref="D109:K109" si="67">8/D81</f>
        <v>1.2500960716386096</v>
      </c>
      <c r="E109" s="3">
        <f t="shared" si="67"/>
        <v>1.3579917530613277</v>
      </c>
      <c r="F109" s="3">
        <f t="shared" si="67"/>
        <v>1.2719991031641031</v>
      </c>
      <c r="G109" s="3">
        <f t="shared" si="67"/>
        <v>1.241929584163215</v>
      </c>
      <c r="H109" s="3">
        <f t="shared" si="67"/>
        <v>1.3138053641250556</v>
      </c>
      <c r="I109" s="3">
        <f t="shared" si="67"/>
        <v>1.2712828359853332</v>
      </c>
      <c r="J109" s="3">
        <f t="shared" si="67"/>
        <v>1.239300363524136</v>
      </c>
      <c r="K109" s="40">
        <f t="shared" si="67"/>
        <v>1.0928440097105581</v>
      </c>
      <c r="L109" s="3"/>
      <c r="M109" s="3"/>
      <c r="P109" s="5"/>
      <c r="Q109" s="6"/>
      <c r="R109" s="3"/>
      <c r="S109" s="5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5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5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</row>
    <row r="110" spans="1:65" x14ac:dyDescent="0.3">
      <c r="A110" s="3">
        <f>15/(A101-A99-(A98+A96)+A94)</f>
        <v>0.99164338954274389</v>
      </c>
      <c r="B110" t="s">
        <v>45</v>
      </c>
      <c r="C110" s="3">
        <f>15/(C101-C99-(C98+C96)+C94)</f>
        <v>0.99164340529422179</v>
      </c>
      <c r="D110" s="3">
        <f t="shared" ref="D110:K110" si="68">15/(D101-D99-(D98+D96)+D94)</f>
        <v>1.0039975377730985</v>
      </c>
      <c r="E110" s="3">
        <f t="shared" si="68"/>
        <v>0.98493314663524223</v>
      </c>
      <c r="F110" s="3">
        <f t="shared" si="68"/>
        <v>0.99615440739141004</v>
      </c>
      <c r="G110" s="3">
        <f t="shared" si="68"/>
        <v>1.0028243803947261</v>
      </c>
      <c r="H110" s="3">
        <f t="shared" si="68"/>
        <v>0.98836501019624967</v>
      </c>
      <c r="I110" s="3">
        <f t="shared" si="68"/>
        <v>0.99749886172857416</v>
      </c>
      <c r="J110" s="3">
        <f t="shared" si="68"/>
        <v>1.0050229170301137</v>
      </c>
      <c r="K110" s="40">
        <f t="shared" si="68"/>
        <v>0.99425400091736094</v>
      </c>
      <c r="L110" s="3" t="s">
        <v>108</v>
      </c>
      <c r="M110" s="3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3"/>
    </row>
    <row r="111" spans="1:65" x14ac:dyDescent="0.3">
      <c r="A111" s="3">
        <f>2/A95</f>
        <v>1.0695213884148465</v>
      </c>
      <c r="B111" t="s">
        <v>44</v>
      </c>
      <c r="C111" s="3">
        <f>2/C95</f>
        <v>1.0695213884148465</v>
      </c>
      <c r="D111" s="3">
        <f t="shared" ref="D111:K111" si="69">2/D95</f>
        <v>1.0518164248852697</v>
      </c>
      <c r="E111" s="3">
        <f t="shared" si="69"/>
        <v>1.1210272298156245</v>
      </c>
      <c r="F111" s="3">
        <f t="shared" si="69"/>
        <v>1.1314060782496149</v>
      </c>
      <c r="G111" s="3">
        <f t="shared" si="69"/>
        <v>1.1248361236282989</v>
      </c>
      <c r="H111" s="3">
        <f t="shared" si="69"/>
        <v>1.1518757845791197</v>
      </c>
      <c r="I111" s="3">
        <f t="shared" si="69"/>
        <v>1.1346946982286004</v>
      </c>
      <c r="J111" s="3">
        <f t="shared" si="69"/>
        <v>1.1260430587093979</v>
      </c>
      <c r="K111" s="40">
        <f t="shared" si="69"/>
        <v>1.0235031133131842</v>
      </c>
      <c r="L111" s="3"/>
      <c r="M111" s="3"/>
      <c r="P111" s="5"/>
      <c r="Q111" s="6"/>
      <c r="R111" s="3"/>
      <c r="S111" s="5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5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5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</row>
    <row r="112" spans="1:65" x14ac:dyDescent="0.3">
      <c r="A112" s="3">
        <v>1</v>
      </c>
      <c r="B112" t="s">
        <v>43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  <c r="H112" s="3">
        <v>1</v>
      </c>
      <c r="I112" s="3">
        <v>1</v>
      </c>
      <c r="J112" s="3">
        <v>1</v>
      </c>
      <c r="K112" s="40">
        <v>1</v>
      </c>
      <c r="L112" s="3"/>
      <c r="M112" s="3"/>
      <c r="P112" s="5"/>
      <c r="Q112" s="6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3"/>
    </row>
    <row r="113" spans="1:65" x14ac:dyDescent="0.3">
      <c r="A113" s="3"/>
      <c r="C113" s="3"/>
      <c r="D113" s="3"/>
      <c r="E113" s="3"/>
      <c r="F113" s="3"/>
      <c r="G113" s="3"/>
      <c r="H113" s="3"/>
      <c r="I113" s="3"/>
      <c r="J113" s="3"/>
      <c r="L113" s="3"/>
      <c r="M113" s="3"/>
      <c r="P113" s="5"/>
      <c r="Q113" s="6"/>
      <c r="R113" s="3"/>
      <c r="S113" s="5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5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5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</row>
    <row r="114" spans="1:65" x14ac:dyDescent="0.3">
      <c r="A114" s="3"/>
      <c r="B114" s="8" t="s">
        <v>42</v>
      </c>
      <c r="C114" s="3"/>
      <c r="D114" s="3"/>
      <c r="E114" s="3"/>
      <c r="F114" s="3"/>
      <c r="G114" s="3"/>
      <c r="H114" s="3"/>
      <c r="I114" s="3"/>
      <c r="J114" s="3"/>
      <c r="L114" s="3"/>
      <c r="M114" s="3"/>
      <c r="N114" s="8"/>
      <c r="O114" s="8"/>
      <c r="P114" s="5"/>
      <c r="Q114" s="6"/>
      <c r="R114" s="3"/>
      <c r="S114" s="5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5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5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</row>
    <row r="115" spans="1:65" x14ac:dyDescent="0.3">
      <c r="A115" s="3">
        <f>8/(A83+A84)</f>
        <v>0.95743299041832308</v>
      </c>
      <c r="B115" t="s">
        <v>41</v>
      </c>
      <c r="C115" s="3">
        <f>8/(C83+C84)</f>
        <v>0.95743299041832308</v>
      </c>
      <c r="D115" s="3">
        <f t="shared" ref="D115:K115" si="70">8/(D83+D84)</f>
        <v>0.9451439697848818</v>
      </c>
      <c r="E115" s="3">
        <f t="shared" si="70"/>
        <v>0.97522438993419269</v>
      </c>
      <c r="F115" s="3">
        <f t="shared" si="70"/>
        <v>0.97098863995441886</v>
      </c>
      <c r="G115" s="3">
        <f t="shared" si="70"/>
        <v>0.95998658722336583</v>
      </c>
      <c r="H115" s="3">
        <f t="shared" si="70"/>
        <v>0.98786335444879403</v>
      </c>
      <c r="I115" s="3">
        <f t="shared" si="70"/>
        <v>0.96609115927053213</v>
      </c>
      <c r="J115" s="3">
        <f t="shared" si="70"/>
        <v>0.9445215218060431</v>
      </c>
      <c r="K115" s="40">
        <f t="shared" si="70"/>
        <v>0.97609592793699174</v>
      </c>
      <c r="L115" s="3" t="s">
        <v>109</v>
      </c>
      <c r="M115" s="3"/>
      <c r="P115" s="5"/>
      <c r="Q115" s="6"/>
      <c r="R115" s="3"/>
      <c r="S115" s="5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5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5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</row>
    <row r="116" spans="1:65" x14ac:dyDescent="0.3">
      <c r="A116" s="3">
        <f>15/(A101-A99)</f>
        <v>0.95338146388673484</v>
      </c>
      <c r="B116" t="s">
        <v>40</v>
      </c>
      <c r="C116" s="3">
        <f>15/(C101-C99)</f>
        <v>0.95338146388673484</v>
      </c>
      <c r="D116" s="3">
        <f t="shared" ref="D116:K116" si="71">15/(D101-D99)</f>
        <v>0.96265574647981367</v>
      </c>
      <c r="E116" s="3">
        <f t="shared" si="71"/>
        <v>0.94853251334942046</v>
      </c>
      <c r="F116" s="3">
        <f t="shared" si="71"/>
        <v>0.95757222315073209</v>
      </c>
      <c r="G116" s="3">
        <f t="shared" si="71"/>
        <v>0.96285541393514062</v>
      </c>
      <c r="H116" s="3">
        <f t="shared" si="71"/>
        <v>0.95107711404247619</v>
      </c>
      <c r="I116" s="3">
        <f t="shared" si="71"/>
        <v>0.95875552745624426</v>
      </c>
      <c r="J116" s="3">
        <f t="shared" si="71"/>
        <v>0.9646941243390762</v>
      </c>
      <c r="K116" s="40">
        <f t="shared" si="71"/>
        <v>0.98420928946375053</v>
      </c>
      <c r="L116" s="3" t="s">
        <v>109</v>
      </c>
      <c r="M116" s="3"/>
      <c r="P116" s="5"/>
      <c r="Q116" s="6"/>
      <c r="R116" s="3"/>
      <c r="S116" s="5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5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5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</row>
    <row r="117" spans="1:65" x14ac:dyDescent="0.3">
      <c r="A117" s="3">
        <f>13/(A101-(A100+A96)-(A94+A90)-A95)</f>
        <v>0.99259701309152282</v>
      </c>
      <c r="B117" t="s">
        <v>39</v>
      </c>
      <c r="C117" s="3">
        <f>13/(C101-(C100+C96)-(C94+C90)-C95)</f>
        <v>0.98557170312522169</v>
      </c>
      <c r="D117" s="3">
        <f t="shared" ref="D117:K117" si="72">13/(D101-(D100+D96)-(D94+D90)-D95)</f>
        <v>0.99702402209217322</v>
      </c>
      <c r="E117" s="3">
        <f t="shared" si="72"/>
        <v>0.97599739978033595</v>
      </c>
      <c r="F117" s="3">
        <f t="shared" si="72"/>
        <v>0.98546572577800928</v>
      </c>
      <c r="G117" s="3">
        <f t="shared" si="72"/>
        <v>0.99022273584824161</v>
      </c>
      <c r="H117" s="3">
        <f t="shared" si="72"/>
        <v>0.97883912034920162</v>
      </c>
      <c r="I117" s="3">
        <f t="shared" si="72"/>
        <v>0.98678124264041045</v>
      </c>
      <c r="J117" s="3">
        <f t="shared" si="72"/>
        <v>0.99308585384142267</v>
      </c>
      <c r="K117" s="40">
        <f t="shared" si="72"/>
        <v>0.99853104789094871</v>
      </c>
      <c r="L117" s="3"/>
      <c r="M117" s="3" t="s">
        <v>110</v>
      </c>
      <c r="N117" s="3"/>
      <c r="O117" t="s">
        <v>111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</row>
    <row r="118" spans="1:65" x14ac:dyDescent="0.3">
      <c r="A118" s="3">
        <f t="shared" ref="A118" si="73">36/(46-(A82+A84)-A81-A85)</f>
        <v>0.96339712421203205</v>
      </c>
      <c r="B118" t="s">
        <v>38</v>
      </c>
      <c r="C118" s="3">
        <f>36/(46-(C82+C84)-C81-C85)</f>
        <v>0.96339712421203205</v>
      </c>
      <c r="D118" s="3">
        <f t="shared" ref="D118:K118" si="74">36/(46-(D82+D84)-D81-D85)</f>
        <v>0.96498486739270362</v>
      </c>
      <c r="E118" s="3">
        <f t="shared" si="74"/>
        <v>0.96155890332060534</v>
      </c>
      <c r="F118" s="3">
        <f t="shared" si="74"/>
        <v>0.96121268356867551</v>
      </c>
      <c r="G118" s="3">
        <f t="shared" si="74"/>
        <v>0.96274965768651244</v>
      </c>
      <c r="H118" s="3">
        <f t="shared" si="74"/>
        <v>0.95887623484667528</v>
      </c>
      <c r="I118" s="3">
        <f t="shared" si="74"/>
        <v>0.96213314509136472</v>
      </c>
      <c r="J118" s="3">
        <f t="shared" si="74"/>
        <v>0.96535353692856785</v>
      </c>
      <c r="K118" s="40">
        <f t="shared" si="74"/>
        <v>0.95388868677164895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</row>
    <row r="119" spans="1:65" x14ac:dyDescent="0.3">
      <c r="A119" s="3">
        <f t="shared" ref="A119" si="75">46/((A89+A93)+46)</f>
        <v>0.96546764101865601</v>
      </c>
      <c r="B119" t="s">
        <v>37</v>
      </c>
      <c r="C119" s="3">
        <f t="shared" ref="C119:K119" si="76">46/((C89+C93)+46)</f>
        <v>0.96546764101865601</v>
      </c>
      <c r="D119" s="3">
        <f t="shared" si="76"/>
        <v>0.96623258756864738</v>
      </c>
      <c r="E119" s="3">
        <f t="shared" si="76"/>
        <v>0.96159592424118645</v>
      </c>
      <c r="F119" s="3">
        <f t="shared" si="76"/>
        <v>0.96572224089347714</v>
      </c>
      <c r="G119" s="3">
        <f t="shared" si="76"/>
        <v>0.96701085217580784</v>
      </c>
      <c r="H119" s="3">
        <f t="shared" si="76"/>
        <v>0.96248668253134917</v>
      </c>
      <c r="I119" s="3">
        <f t="shared" si="76"/>
        <v>0.96525383368029638</v>
      </c>
      <c r="J119" s="3">
        <f t="shared" si="76"/>
        <v>0.96689466493698562</v>
      </c>
      <c r="K119" s="40">
        <f t="shared" si="76"/>
        <v>0.96532825453490878</v>
      </c>
      <c r="L119" s="3" t="s">
        <v>109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</row>
    <row r="120" spans="1:65" x14ac:dyDescent="0.3">
      <c r="C120" s="3"/>
      <c r="D120" s="3"/>
      <c r="E120" s="3"/>
      <c r="F120" s="3"/>
      <c r="G120" s="3"/>
      <c r="H120" s="3"/>
      <c r="I120" s="3"/>
      <c r="J120" s="3"/>
      <c r="L120" s="3"/>
      <c r="M120" s="3"/>
      <c r="P120" s="5"/>
      <c r="Q120" s="6"/>
      <c r="R120" s="3"/>
      <c r="S120" s="5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5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5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</row>
    <row r="121" spans="1:65" s="27" customFormat="1" x14ac:dyDescent="0.3">
      <c r="A121" s="27">
        <f>((2/3)*MIN(A108:A112)+(1/3)*MAX(A115:A119))</f>
        <v>0.99196126405900342</v>
      </c>
      <c r="C121" s="27">
        <f>((2/3)*MIN(C108:C112)+(1/3)*MAX(C115:C119))</f>
        <v>0.98961950457122172</v>
      </c>
      <c r="D121" s="27">
        <f t="shared" ref="D121:K121" si="77">((2/3)*MIN(D108:D112)+(1/3)*MAX(D115:D119))</f>
        <v>0.9990080073640577</v>
      </c>
      <c r="E121" s="27">
        <f t="shared" si="77"/>
        <v>0.9819545643502734</v>
      </c>
      <c r="F121" s="27">
        <f t="shared" si="77"/>
        <v>0.99259151352027641</v>
      </c>
      <c r="G121" s="27">
        <f t="shared" si="77"/>
        <v>0.99674091194941383</v>
      </c>
      <c r="H121" s="27">
        <f t="shared" si="77"/>
        <v>0.98819779161376442</v>
      </c>
      <c r="I121" s="27">
        <f t="shared" si="77"/>
        <v>0.99392632203251952</v>
      </c>
      <c r="J121" s="27">
        <f t="shared" si="77"/>
        <v>0.99769528461380752</v>
      </c>
      <c r="K121" s="40">
        <f t="shared" si="77"/>
        <v>0.99567968324189016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</row>
    <row r="122" spans="1:65" x14ac:dyDescent="0.3">
      <c r="C122" s="3"/>
      <c r="D122" s="3"/>
      <c r="E122" s="3"/>
      <c r="F122" s="3"/>
      <c r="G122" s="3"/>
      <c r="H122" s="3"/>
      <c r="I122" s="3"/>
      <c r="J122" s="3"/>
      <c r="L122" s="3"/>
      <c r="M122" s="3"/>
      <c r="P122" s="5"/>
      <c r="Q122" s="6"/>
      <c r="R122" s="3"/>
      <c r="S122" s="5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5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5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</row>
    <row r="123" spans="1:65" x14ac:dyDescent="0.3">
      <c r="B123" s="8" t="s">
        <v>36</v>
      </c>
      <c r="C123" s="3"/>
      <c r="D123" s="3"/>
      <c r="E123" s="3"/>
      <c r="F123" s="3"/>
      <c r="G123" s="3"/>
      <c r="H123" s="3"/>
      <c r="I123" s="3"/>
      <c r="J123" s="3"/>
      <c r="L123" s="3"/>
      <c r="M123" s="3"/>
      <c r="N123" s="8"/>
      <c r="O123" s="8"/>
      <c r="P123" s="5"/>
      <c r="Q123" s="6"/>
      <c r="R123" s="3"/>
      <c r="S123" s="5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5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5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</row>
    <row r="124" spans="1:65" x14ac:dyDescent="0.3">
      <c r="A124" s="3">
        <f>A57*A121</f>
        <v>0</v>
      </c>
      <c r="B124" s="1" t="s">
        <v>28</v>
      </c>
      <c r="C124" s="3">
        <f>C57*C121</f>
        <v>6.0250537350708075</v>
      </c>
      <c r="D124" s="3">
        <f t="shared" ref="D124:K124" si="78">D57*D121</f>
        <v>6.3931598860530521</v>
      </c>
      <c r="E124" s="3">
        <f t="shared" si="78"/>
        <v>5.7847453764672618</v>
      </c>
      <c r="F124" s="3">
        <f t="shared" si="78"/>
        <v>6.2427183230000765</v>
      </c>
      <c r="G124" s="3">
        <f t="shared" si="78"/>
        <v>6.4205953359006012</v>
      </c>
      <c r="H124" s="3">
        <f t="shared" si="78"/>
        <v>6.017316224138674</v>
      </c>
      <c r="I124" s="3">
        <f t="shared" si="78"/>
        <v>6.2546353582263672</v>
      </c>
      <c r="J124" s="3">
        <f t="shared" si="78"/>
        <v>6.4403775806324246</v>
      </c>
      <c r="K124" s="40">
        <f t="shared" si="78"/>
        <v>7.2887231802137826</v>
      </c>
      <c r="L124" s="3"/>
      <c r="M124" s="3"/>
      <c r="N124" s="1"/>
      <c r="O124" s="1"/>
      <c r="P124" s="6"/>
      <c r="Q124" s="6"/>
      <c r="R124" s="3"/>
      <c r="S124" s="6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6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6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</row>
    <row r="125" spans="1:65" x14ac:dyDescent="0.3">
      <c r="B125" s="1" t="s">
        <v>24</v>
      </c>
      <c r="C125" s="3">
        <f>C58*C121</f>
        <v>0.27368530230144289</v>
      </c>
      <c r="D125" s="3">
        <f t="shared" ref="D125:K125" si="79">D58*D121</f>
        <v>0.22916900622128372</v>
      </c>
      <c r="E125" s="3">
        <f t="shared" si="79"/>
        <v>0.35110340694502234</v>
      </c>
      <c r="F125" s="3">
        <f t="shared" si="79"/>
        <v>0.30600143028009774</v>
      </c>
      <c r="G125" s="3">
        <f t="shared" si="79"/>
        <v>0.27276011851822973</v>
      </c>
      <c r="H125" s="3">
        <f t="shared" si="79"/>
        <v>0.35354302856627101</v>
      </c>
      <c r="I125" s="3">
        <f t="shared" si="79"/>
        <v>0.30051280753582665</v>
      </c>
      <c r="J125" s="3">
        <f t="shared" si="79"/>
        <v>0.23751714092886689</v>
      </c>
      <c r="K125" s="40">
        <f t="shared" si="79"/>
        <v>6.355585677952999E-2</v>
      </c>
      <c r="L125" s="3"/>
      <c r="M125" s="3"/>
      <c r="N125" s="1"/>
      <c r="O125" s="1"/>
      <c r="P125" s="6"/>
      <c r="Q125" s="6"/>
      <c r="R125" s="3"/>
      <c r="S125" s="6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6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6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</row>
    <row r="126" spans="1:65" x14ac:dyDescent="0.3">
      <c r="B126" s="1" t="s">
        <v>34</v>
      </c>
      <c r="C126" s="3">
        <f>C59*C121</f>
        <v>2.24388635347856</v>
      </c>
      <c r="D126" s="3">
        <f t="shared" ref="D126:K126" si="80">D59*D121</f>
        <v>2.0627625071580953</v>
      </c>
      <c r="E126" s="3">
        <f t="shared" si="80"/>
        <v>2.2704638614110872</v>
      </c>
      <c r="F126" s="3">
        <f t="shared" si="80"/>
        <v>1.9352682995158921</v>
      </c>
      <c r="G126" s="3">
        <f t="shared" si="80"/>
        <v>1.8856949828619143</v>
      </c>
      <c r="H126" s="3">
        <f t="shared" si="80"/>
        <v>1.9853921436813429</v>
      </c>
      <c r="I126" s="3">
        <f t="shared" si="80"/>
        <v>1.9758618365352933</v>
      </c>
      <c r="J126" s="3">
        <f t="shared" si="80"/>
        <v>2.0099987132276835</v>
      </c>
      <c r="K126" s="40">
        <f t="shared" si="80"/>
        <v>0.87178362854866576</v>
      </c>
      <c r="L126" s="3"/>
      <c r="M126" s="3"/>
      <c r="N126" s="1"/>
      <c r="O126" s="1"/>
      <c r="P126" s="6"/>
      <c r="Q126" s="6"/>
      <c r="R126" s="3"/>
      <c r="S126" s="6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6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6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</row>
    <row r="127" spans="1:65" x14ac:dyDescent="0.3">
      <c r="B127" s="1" t="s">
        <v>22</v>
      </c>
      <c r="C127" s="3">
        <f t="shared" ref="C127:K127" si="81">C60*C121</f>
        <v>0</v>
      </c>
      <c r="D127" s="3">
        <f t="shared" si="81"/>
        <v>0</v>
      </c>
      <c r="E127" s="3">
        <f t="shared" si="81"/>
        <v>3.1996559492281232E-3</v>
      </c>
      <c r="F127" s="3">
        <f t="shared" si="81"/>
        <v>1.1695366750901891E-3</v>
      </c>
      <c r="G127" s="3">
        <f t="shared" si="81"/>
        <v>0</v>
      </c>
      <c r="H127" s="3">
        <f t="shared" si="81"/>
        <v>2.4115059798556604E-2</v>
      </c>
      <c r="I127" s="3">
        <f t="shared" si="81"/>
        <v>1.169828787475056E-3</v>
      </c>
      <c r="J127" s="3">
        <f t="shared" si="81"/>
        <v>0</v>
      </c>
      <c r="K127" s="40">
        <f t="shared" si="81"/>
        <v>0</v>
      </c>
      <c r="L127" s="3" t="s">
        <v>88</v>
      </c>
      <c r="M127" s="3"/>
      <c r="N127" s="1"/>
      <c r="O127" s="1"/>
      <c r="P127" s="6"/>
      <c r="Q127" s="6"/>
      <c r="R127" s="3"/>
      <c r="S127" s="6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6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6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</row>
    <row r="128" spans="1:65" x14ac:dyDescent="0.3">
      <c r="B128" s="1" t="s">
        <v>33</v>
      </c>
      <c r="C128" s="3">
        <f t="shared" ref="C128:K128" si="82">C61*C121</f>
        <v>1.6282256894015446</v>
      </c>
      <c r="D128" s="3">
        <f t="shared" si="82"/>
        <v>1.6059902436342761</v>
      </c>
      <c r="E128" s="3">
        <f t="shared" si="82"/>
        <v>1.8039891813142201</v>
      </c>
      <c r="F128" s="3">
        <f t="shared" si="82"/>
        <v>1.6206475548982173</v>
      </c>
      <c r="G128" s="3">
        <f t="shared" si="82"/>
        <v>1.5641552809731001</v>
      </c>
      <c r="H128" s="3">
        <f t="shared" si="82"/>
        <v>1.771709255791488</v>
      </c>
      <c r="I128" s="3">
        <f t="shared" si="82"/>
        <v>1.645801230860837</v>
      </c>
      <c r="J128" s="3">
        <f t="shared" si="82"/>
        <v>1.5713559529711365</v>
      </c>
      <c r="K128" s="40">
        <f t="shared" si="82"/>
        <v>1.6450464486848246</v>
      </c>
      <c r="L128" s="3"/>
      <c r="M128" s="3"/>
      <c r="N128" s="1"/>
      <c r="O128" s="1"/>
      <c r="P128" s="6"/>
      <c r="Q128" s="6"/>
      <c r="R128" s="3"/>
      <c r="S128" s="6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6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6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</row>
    <row r="129" spans="2:65" x14ac:dyDescent="0.3">
      <c r="B129" s="1" t="s">
        <v>17</v>
      </c>
      <c r="C129" s="3">
        <f t="shared" ref="C129:K129" si="83">C62*C121</f>
        <v>3.2705017950546519E-2</v>
      </c>
      <c r="D129" s="3">
        <f t="shared" si="83"/>
        <v>0</v>
      </c>
      <c r="E129" s="3">
        <f t="shared" si="83"/>
        <v>6.1703295212231835E-2</v>
      </c>
      <c r="F129" s="3">
        <f t="shared" si="83"/>
        <v>4.8866476182978326E-2</v>
      </c>
      <c r="G129" s="3">
        <f t="shared" si="83"/>
        <v>2.5595008464133887E-2</v>
      </c>
      <c r="H129" s="3">
        <f t="shared" si="83"/>
        <v>7.868157331591151E-2</v>
      </c>
      <c r="I129" s="3">
        <f t="shared" si="83"/>
        <v>5.0131980970401002E-2</v>
      </c>
      <c r="J129" s="3">
        <f t="shared" si="83"/>
        <v>2.9128754905935045E-2</v>
      </c>
      <c r="K129" s="40">
        <f t="shared" si="83"/>
        <v>5.6500057380244502E-2</v>
      </c>
      <c r="L129" s="3"/>
      <c r="M129" s="3"/>
      <c r="N129" s="1"/>
      <c r="O129" s="1"/>
      <c r="P129" s="6"/>
      <c r="Q129" s="6"/>
      <c r="R129" s="3"/>
      <c r="S129" s="6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6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6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</row>
    <row r="130" spans="2:65" x14ac:dyDescent="0.3">
      <c r="B130" s="1" t="s">
        <v>19</v>
      </c>
      <c r="C130" s="3">
        <f t="shared" ref="C130:K130" si="84">C63*C121</f>
        <v>2.8825406908700697</v>
      </c>
      <c r="D130" s="3">
        <f t="shared" si="84"/>
        <v>2.734787150425726</v>
      </c>
      <c r="E130" s="3">
        <f t="shared" si="84"/>
        <v>2.8658462082109391</v>
      </c>
      <c r="F130" s="3">
        <f t="shared" si="84"/>
        <v>2.9881963396257585</v>
      </c>
      <c r="G130" s="3">
        <f t="shared" si="84"/>
        <v>2.9423672404832142</v>
      </c>
      <c r="H130" s="3">
        <f t="shared" si="84"/>
        <v>2.9722171609892616</v>
      </c>
      <c r="I130" s="3">
        <f t="shared" si="84"/>
        <v>2.9161492559845197</v>
      </c>
      <c r="J130" s="3">
        <f t="shared" si="84"/>
        <v>2.8010904104649983</v>
      </c>
      <c r="K130" s="40">
        <f t="shared" si="84"/>
        <v>3.0937686144967533</v>
      </c>
      <c r="L130" s="3"/>
      <c r="M130" s="3"/>
      <c r="N130" s="1"/>
      <c r="O130" s="1"/>
      <c r="P130" s="6"/>
      <c r="Q130" s="6"/>
      <c r="R130" s="3"/>
      <c r="S130" s="6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6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6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</row>
    <row r="131" spans="2:65" x14ac:dyDescent="0.3">
      <c r="B131" s="1" t="s">
        <v>16</v>
      </c>
      <c r="C131" s="3">
        <f t="shared" ref="C131:K131" si="85">C64*C121</f>
        <v>1.8505838504790475</v>
      </c>
      <c r="D131" s="3">
        <f t="shared" si="85"/>
        <v>1.8995862466647215</v>
      </c>
      <c r="E131" s="3">
        <f t="shared" si="85"/>
        <v>1.7518835193892222</v>
      </c>
      <c r="F131" s="3">
        <f t="shared" si="85"/>
        <v>1.7546158405935084</v>
      </c>
      <c r="G131" s="3">
        <f t="shared" si="85"/>
        <v>1.7722420022114902</v>
      </c>
      <c r="H131" s="3">
        <f t="shared" si="85"/>
        <v>1.7158061743173791</v>
      </c>
      <c r="I131" s="3">
        <f t="shared" si="85"/>
        <v>1.751883257380443</v>
      </c>
      <c r="J131" s="3">
        <f t="shared" si="85"/>
        <v>1.7720375378137052</v>
      </c>
      <c r="K131" s="40">
        <f t="shared" si="85"/>
        <v>1.9456309810700494</v>
      </c>
      <c r="L131" s="3"/>
      <c r="M131" s="3"/>
      <c r="N131" s="1"/>
      <c r="O131" s="1"/>
      <c r="P131" s="6"/>
      <c r="Q131" s="6"/>
      <c r="R131" s="3"/>
      <c r="S131" s="6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6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6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</row>
    <row r="132" spans="2:65" x14ac:dyDescent="0.3">
      <c r="B132" s="1" t="s">
        <v>14</v>
      </c>
      <c r="C132" s="3">
        <f t="shared" ref="C132:K132" si="86">C65*C121</f>
        <v>0.63346953732606093</v>
      </c>
      <c r="D132" s="3">
        <f t="shared" si="86"/>
        <v>0.6409820431487151</v>
      </c>
      <c r="E132" s="3">
        <f t="shared" si="86"/>
        <v>0.63559852687058438</v>
      </c>
      <c r="F132" s="3">
        <f t="shared" si="86"/>
        <v>0.6510798927477971</v>
      </c>
      <c r="G132" s="3">
        <f t="shared" si="86"/>
        <v>0.64448078433691047</v>
      </c>
      <c r="H132" s="3">
        <f t="shared" si="86"/>
        <v>0.66667155288749713</v>
      </c>
      <c r="I132" s="3">
        <f t="shared" si="86"/>
        <v>0.65411142116109111</v>
      </c>
      <c r="J132" s="3">
        <f t="shared" si="86"/>
        <v>0.65162796018271019</v>
      </c>
      <c r="K132" s="40">
        <f t="shared" si="86"/>
        <v>0.20980761437629752</v>
      </c>
      <c r="L132" s="3"/>
      <c r="M132" s="3"/>
      <c r="N132" s="1"/>
      <c r="O132" s="1"/>
      <c r="P132" s="6"/>
      <c r="Q132" s="6"/>
      <c r="R132" s="3"/>
      <c r="S132" s="6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6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6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</row>
    <row r="133" spans="2:65" x14ac:dyDescent="0.3">
      <c r="B133" s="1" t="s">
        <v>13</v>
      </c>
      <c r="C133" s="3">
        <f t="shared" ref="C133:K133" si="87">C66*C121</f>
        <v>0.17430196562303329</v>
      </c>
      <c r="D133" s="3">
        <f t="shared" si="87"/>
        <v>0.15505592357686407</v>
      </c>
      <c r="E133" s="3">
        <f t="shared" si="87"/>
        <v>0.20308133925868052</v>
      </c>
      <c r="F133" s="3">
        <f t="shared" si="87"/>
        <v>0.1792847848903445</v>
      </c>
      <c r="G133" s="3">
        <f t="shared" si="87"/>
        <v>0.16637533481118744</v>
      </c>
      <c r="H133" s="3">
        <f t="shared" si="87"/>
        <v>0.20163991125811082</v>
      </c>
      <c r="I133" s="3">
        <f t="shared" si="87"/>
        <v>0.18688028292533349</v>
      </c>
      <c r="J133" s="3">
        <f t="shared" si="87"/>
        <v>0.15355479381267115</v>
      </c>
      <c r="K133" s="40">
        <f t="shared" si="87"/>
        <v>8.5098577867660938E-2</v>
      </c>
      <c r="L133" s="3"/>
      <c r="M133" s="3"/>
      <c r="N133" s="1"/>
      <c r="O133" s="1"/>
      <c r="P133" s="6"/>
      <c r="Q133" s="6"/>
      <c r="R133" s="3"/>
      <c r="S133" s="6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6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6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</row>
    <row r="134" spans="2:65" x14ac:dyDescent="0.3">
      <c r="B134" s="1" t="s">
        <v>32</v>
      </c>
      <c r="C134" s="3">
        <f t="shared" ref="C134:K134" si="88">C67</f>
        <v>15.909601690119075</v>
      </c>
      <c r="D134" s="3">
        <f t="shared" si="88"/>
        <v>15.737104098259264</v>
      </c>
      <c r="E134" s="3">
        <f t="shared" si="88"/>
        <v>16.020715155428363</v>
      </c>
      <c r="F134" s="3">
        <f t="shared" si="88"/>
        <v>15.845237707735524</v>
      </c>
      <c r="G134" s="3">
        <f t="shared" si="88"/>
        <v>15.745582327774752</v>
      </c>
      <c r="H134" s="3">
        <f t="shared" si="88"/>
        <v>15.975639916138219</v>
      </c>
      <c r="I134" s="3">
        <f t="shared" si="88"/>
        <v>15.833303647886181</v>
      </c>
      <c r="J134" s="3">
        <f t="shared" si="88"/>
        <v>15.70287951296118</v>
      </c>
      <c r="K134" s="40">
        <f t="shared" si="88"/>
        <v>15.326128690034311</v>
      </c>
      <c r="L134" s="3"/>
      <c r="M134" s="3"/>
      <c r="N134" s="1"/>
      <c r="O134" s="1"/>
      <c r="P134" s="6"/>
      <c r="Q134" s="6"/>
      <c r="R134" s="3"/>
      <c r="S134" s="5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5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5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</row>
    <row r="135" spans="2:65" x14ac:dyDescent="0.3">
      <c r="B135" s="8" t="s">
        <v>35</v>
      </c>
      <c r="C135" s="3"/>
      <c r="D135" s="3"/>
      <c r="E135" s="3"/>
      <c r="F135" s="3"/>
      <c r="G135" s="3"/>
      <c r="H135" s="3"/>
      <c r="I135" s="3"/>
      <c r="J135" s="3"/>
      <c r="L135" s="3"/>
      <c r="M135" s="3"/>
      <c r="N135" s="8"/>
      <c r="O135" s="8"/>
      <c r="P135" s="6"/>
      <c r="Q135" s="6"/>
      <c r="R135" s="3"/>
      <c r="S135" s="5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5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5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</row>
    <row r="136" spans="2:65" x14ac:dyDescent="0.3">
      <c r="B136" s="1" t="s">
        <v>28</v>
      </c>
      <c r="C136" s="3">
        <f t="shared" ref="C136:K136" si="89">C124*2</f>
        <v>12.050107470141615</v>
      </c>
      <c r="D136" s="3">
        <f t="shared" si="89"/>
        <v>12.786319772106104</v>
      </c>
      <c r="E136" s="3">
        <f t="shared" si="89"/>
        <v>11.569490752934524</v>
      </c>
      <c r="F136" s="3">
        <f t="shared" si="89"/>
        <v>12.485436646000153</v>
      </c>
      <c r="G136" s="3">
        <f t="shared" si="89"/>
        <v>12.841190671801202</v>
      </c>
      <c r="H136" s="3">
        <f t="shared" si="89"/>
        <v>12.034632448277348</v>
      </c>
      <c r="I136" s="3">
        <f t="shared" si="89"/>
        <v>12.509270716452734</v>
      </c>
      <c r="J136" s="3">
        <f t="shared" si="89"/>
        <v>12.880755161264849</v>
      </c>
      <c r="K136" s="40">
        <f t="shared" si="89"/>
        <v>14.577446360427565</v>
      </c>
      <c r="L136" s="3"/>
      <c r="M136" s="3"/>
      <c r="N136" s="1"/>
      <c r="O136" s="1"/>
      <c r="P136" s="6"/>
      <c r="Q136" s="6"/>
      <c r="R136" s="3"/>
      <c r="S136" s="5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5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5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</row>
    <row r="137" spans="2:65" x14ac:dyDescent="0.3">
      <c r="B137" t="s">
        <v>24</v>
      </c>
      <c r="C137" s="3">
        <f t="shared" ref="C137:K137" si="90">C125*2</f>
        <v>0.54737060460288578</v>
      </c>
      <c r="D137" s="3">
        <f t="shared" si="90"/>
        <v>0.45833801244256744</v>
      </c>
      <c r="E137" s="3">
        <f t="shared" si="90"/>
        <v>0.70220681389004469</v>
      </c>
      <c r="F137" s="3">
        <f t="shared" si="90"/>
        <v>0.61200286056019548</v>
      </c>
      <c r="G137" s="3">
        <f t="shared" si="90"/>
        <v>0.54552023703645947</v>
      </c>
      <c r="H137" s="3">
        <f t="shared" si="90"/>
        <v>0.70708605713254202</v>
      </c>
      <c r="I137" s="3">
        <f t="shared" si="90"/>
        <v>0.60102561507165331</v>
      </c>
      <c r="J137" s="3">
        <f t="shared" si="90"/>
        <v>0.47503428185773378</v>
      </c>
      <c r="K137" s="40">
        <f t="shared" si="90"/>
        <v>0.12711171355905998</v>
      </c>
      <c r="L137" s="3"/>
      <c r="M137" s="3"/>
      <c r="P137" s="6"/>
      <c r="Q137" s="6"/>
      <c r="R137" s="3"/>
      <c r="S137" s="5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5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5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</row>
    <row r="138" spans="2:65" x14ac:dyDescent="0.3">
      <c r="B138" t="s">
        <v>34</v>
      </c>
      <c r="C138" s="3">
        <f t="shared" ref="C138:K138" si="91">C126*1.5</f>
        <v>3.36582953021784</v>
      </c>
      <c r="D138" s="3">
        <f t="shared" si="91"/>
        <v>3.0941437607371429</v>
      </c>
      <c r="E138" s="3">
        <f t="shared" si="91"/>
        <v>3.4056957921166306</v>
      </c>
      <c r="F138" s="3">
        <f t="shared" si="91"/>
        <v>2.9029024492738382</v>
      </c>
      <c r="G138" s="3">
        <f t="shared" si="91"/>
        <v>2.8285424742928713</v>
      </c>
      <c r="H138" s="3">
        <f t="shared" si="91"/>
        <v>2.9780882155220141</v>
      </c>
      <c r="I138" s="3">
        <f t="shared" si="91"/>
        <v>2.9637927548029399</v>
      </c>
      <c r="J138" s="3">
        <f t="shared" si="91"/>
        <v>3.0149980698415253</v>
      </c>
      <c r="K138" s="40">
        <f t="shared" si="91"/>
        <v>1.3076754428229986</v>
      </c>
      <c r="L138" s="3"/>
      <c r="M138" s="3"/>
      <c r="P138" s="6"/>
      <c r="Q138" s="6"/>
      <c r="R138" s="3"/>
      <c r="S138" s="5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5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5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</row>
    <row r="139" spans="2:65" x14ac:dyDescent="0.3">
      <c r="B139" t="s">
        <v>22</v>
      </c>
      <c r="C139" s="3">
        <f t="shared" ref="C139:K139" si="92">C127*1.5</f>
        <v>0</v>
      </c>
      <c r="D139" s="3">
        <f t="shared" si="92"/>
        <v>0</v>
      </c>
      <c r="E139" s="3">
        <f t="shared" si="92"/>
        <v>4.7994839238421853E-3</v>
      </c>
      <c r="F139" s="3">
        <f t="shared" si="92"/>
        <v>1.7543050126352837E-3</v>
      </c>
      <c r="G139" s="3">
        <f t="shared" si="92"/>
        <v>0</v>
      </c>
      <c r="H139" s="3">
        <f t="shared" si="92"/>
        <v>3.6172589697834906E-2</v>
      </c>
      <c r="I139" s="3">
        <f t="shared" si="92"/>
        <v>1.754743181212584E-3</v>
      </c>
      <c r="J139" s="3">
        <f t="shared" si="92"/>
        <v>0</v>
      </c>
      <c r="K139" s="40">
        <f t="shared" si="92"/>
        <v>0</v>
      </c>
      <c r="L139" s="3"/>
      <c r="M139" s="3"/>
      <c r="P139" s="5"/>
      <c r="Q139" s="6"/>
      <c r="R139" s="3"/>
      <c r="S139" s="5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5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5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</row>
    <row r="140" spans="2:65" x14ac:dyDescent="0.3">
      <c r="B140" t="s">
        <v>33</v>
      </c>
      <c r="C140" s="3">
        <f t="shared" ref="C140:K140" si="93">C128*1</f>
        <v>1.6282256894015446</v>
      </c>
      <c r="D140" s="3">
        <f t="shared" si="93"/>
        <v>1.6059902436342761</v>
      </c>
      <c r="E140" s="3">
        <f t="shared" si="93"/>
        <v>1.8039891813142201</v>
      </c>
      <c r="F140" s="3">
        <f t="shared" si="93"/>
        <v>1.6206475548982173</v>
      </c>
      <c r="G140" s="3">
        <f t="shared" si="93"/>
        <v>1.5641552809731001</v>
      </c>
      <c r="H140" s="3">
        <f t="shared" si="93"/>
        <v>1.771709255791488</v>
      </c>
      <c r="I140" s="3">
        <f t="shared" si="93"/>
        <v>1.645801230860837</v>
      </c>
      <c r="J140" s="3">
        <f t="shared" si="93"/>
        <v>1.5713559529711365</v>
      </c>
      <c r="K140" s="40">
        <f t="shared" si="93"/>
        <v>1.6450464486848246</v>
      </c>
      <c r="L140" s="3"/>
      <c r="M140" s="3"/>
      <c r="P140" s="5"/>
      <c r="Q140" s="6"/>
      <c r="R140" s="3"/>
      <c r="S140" s="5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5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5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</row>
    <row r="141" spans="2:65" x14ac:dyDescent="0.3">
      <c r="B141" t="s">
        <v>17</v>
      </c>
      <c r="C141" s="3">
        <f t="shared" ref="C141:K141" si="94">C129*1</f>
        <v>3.2705017950546519E-2</v>
      </c>
      <c r="D141" s="3">
        <f t="shared" si="94"/>
        <v>0</v>
      </c>
      <c r="E141" s="3">
        <f t="shared" si="94"/>
        <v>6.1703295212231835E-2</v>
      </c>
      <c r="F141" s="3">
        <f t="shared" si="94"/>
        <v>4.8866476182978326E-2</v>
      </c>
      <c r="G141" s="3">
        <f t="shared" si="94"/>
        <v>2.5595008464133887E-2</v>
      </c>
      <c r="H141" s="3">
        <f t="shared" si="94"/>
        <v>7.868157331591151E-2</v>
      </c>
      <c r="I141" s="3">
        <f t="shared" si="94"/>
        <v>5.0131980970401002E-2</v>
      </c>
      <c r="J141" s="3">
        <f t="shared" si="94"/>
        <v>2.9128754905935045E-2</v>
      </c>
      <c r="K141" s="40">
        <f t="shared" si="94"/>
        <v>5.6500057380244502E-2</v>
      </c>
      <c r="L141" s="3"/>
      <c r="M141" s="3"/>
      <c r="P141" s="5"/>
      <c r="Q141" s="6"/>
      <c r="R141" s="3"/>
      <c r="S141" s="5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5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5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</row>
    <row r="142" spans="2:65" x14ac:dyDescent="0.3">
      <c r="B142" t="s">
        <v>19</v>
      </c>
      <c r="C142" s="3">
        <f t="shared" ref="C142:K142" si="95">C130*1</f>
        <v>2.8825406908700697</v>
      </c>
      <c r="D142" s="3">
        <f t="shared" si="95"/>
        <v>2.734787150425726</v>
      </c>
      <c r="E142" s="3">
        <f t="shared" si="95"/>
        <v>2.8658462082109391</v>
      </c>
      <c r="F142" s="3">
        <f t="shared" si="95"/>
        <v>2.9881963396257585</v>
      </c>
      <c r="G142" s="3">
        <f t="shared" si="95"/>
        <v>2.9423672404832142</v>
      </c>
      <c r="H142" s="3">
        <f t="shared" si="95"/>
        <v>2.9722171609892616</v>
      </c>
      <c r="I142" s="3">
        <f t="shared" si="95"/>
        <v>2.9161492559845197</v>
      </c>
      <c r="J142" s="3">
        <f t="shared" si="95"/>
        <v>2.8010904104649983</v>
      </c>
      <c r="K142" s="40">
        <f t="shared" si="95"/>
        <v>3.0937686144967533</v>
      </c>
      <c r="L142" s="3"/>
      <c r="M142" s="3"/>
      <c r="P142" s="5"/>
      <c r="Q142" s="6"/>
      <c r="R142" s="3"/>
      <c r="S142" s="5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5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5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</row>
    <row r="143" spans="2:65" x14ac:dyDescent="0.3">
      <c r="B143" t="s">
        <v>16</v>
      </c>
      <c r="C143" s="3">
        <f t="shared" ref="C143:K143" si="96">C131*1</f>
        <v>1.8505838504790475</v>
      </c>
      <c r="D143" s="3">
        <f t="shared" si="96"/>
        <v>1.8995862466647215</v>
      </c>
      <c r="E143" s="3">
        <f t="shared" si="96"/>
        <v>1.7518835193892222</v>
      </c>
      <c r="F143" s="3">
        <f t="shared" si="96"/>
        <v>1.7546158405935084</v>
      </c>
      <c r="G143" s="3">
        <f t="shared" si="96"/>
        <v>1.7722420022114902</v>
      </c>
      <c r="H143" s="3">
        <f t="shared" si="96"/>
        <v>1.7158061743173791</v>
      </c>
      <c r="I143" s="3">
        <f t="shared" si="96"/>
        <v>1.751883257380443</v>
      </c>
      <c r="J143" s="3">
        <f t="shared" si="96"/>
        <v>1.7720375378137052</v>
      </c>
      <c r="K143" s="40">
        <f t="shared" si="96"/>
        <v>1.9456309810700494</v>
      </c>
      <c r="L143" s="3"/>
      <c r="M143" s="3"/>
      <c r="P143" s="5"/>
      <c r="Q143" s="6"/>
      <c r="R143" s="3"/>
      <c r="S143" s="5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5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5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</row>
    <row r="144" spans="2:65" x14ac:dyDescent="0.3">
      <c r="B144" t="s">
        <v>14</v>
      </c>
      <c r="C144" s="3">
        <f>C132*0.5</f>
        <v>0.31673476866303046</v>
      </c>
      <c r="D144" s="3">
        <f t="shared" ref="D144:K144" si="97">D132*0.5</f>
        <v>0.32049102157435755</v>
      </c>
      <c r="E144" s="3">
        <f t="shared" si="97"/>
        <v>0.31779926343529219</v>
      </c>
      <c r="F144" s="3">
        <f t="shared" si="97"/>
        <v>0.32553994637389855</v>
      </c>
      <c r="G144" s="3">
        <f t="shared" si="97"/>
        <v>0.32224039216845524</v>
      </c>
      <c r="H144" s="3">
        <f t="shared" si="97"/>
        <v>0.33333577644374857</v>
      </c>
      <c r="I144" s="3">
        <f t="shared" si="97"/>
        <v>0.32705571058054556</v>
      </c>
      <c r="J144" s="3">
        <f t="shared" si="97"/>
        <v>0.32581398009135509</v>
      </c>
      <c r="K144" s="40">
        <f t="shared" si="97"/>
        <v>0.10490380718814876</v>
      </c>
      <c r="L144" s="3"/>
      <c r="M144" s="3"/>
      <c r="P144" s="5"/>
      <c r="Q144" s="6"/>
      <c r="R144" s="3"/>
      <c r="S144" s="5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5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5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</row>
    <row r="145" spans="2:65" x14ac:dyDescent="0.3">
      <c r="B145" t="s">
        <v>13</v>
      </c>
      <c r="C145" s="3">
        <f t="shared" ref="C145:K145" si="98">C133*0.5</f>
        <v>8.7150982811516647E-2</v>
      </c>
      <c r="D145" s="3">
        <f t="shared" si="98"/>
        <v>7.7527961788432034E-2</v>
      </c>
      <c r="E145" s="3">
        <f t="shared" si="98"/>
        <v>0.10154066962934026</v>
      </c>
      <c r="F145" s="3">
        <f t="shared" si="98"/>
        <v>8.9642392445172248E-2</v>
      </c>
      <c r="G145" s="3">
        <f t="shared" si="98"/>
        <v>8.3187667405593718E-2</v>
      </c>
      <c r="H145" s="3">
        <f t="shared" si="98"/>
        <v>0.10081995562905541</v>
      </c>
      <c r="I145" s="3">
        <f t="shared" si="98"/>
        <v>9.3440141462666743E-2</v>
      </c>
      <c r="J145" s="3">
        <f t="shared" si="98"/>
        <v>7.6777396906335574E-2</v>
      </c>
      <c r="K145" s="40">
        <f t="shared" si="98"/>
        <v>4.2549288933830469E-2</v>
      </c>
      <c r="L145" s="3"/>
      <c r="M145" s="3"/>
      <c r="P145" s="5"/>
      <c r="Q145" s="6"/>
      <c r="R145" s="3"/>
      <c r="S145" s="5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5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5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</row>
    <row r="146" spans="2:65" x14ac:dyDescent="0.3">
      <c r="B146" t="s">
        <v>32</v>
      </c>
      <c r="C146" s="3">
        <f t="shared" ref="C146:K146" si="99">SUM(C136:C145)</f>
        <v>22.7612486051381</v>
      </c>
      <c r="D146" s="3">
        <f t="shared" si="99"/>
        <v>22.977184169373331</v>
      </c>
      <c r="E146" s="3">
        <f t="shared" si="99"/>
        <v>22.584954980056285</v>
      </c>
      <c r="F146" s="3">
        <f t="shared" si="99"/>
        <v>22.829604810966355</v>
      </c>
      <c r="G146" s="3">
        <f t="shared" si="99"/>
        <v>22.925040974836524</v>
      </c>
      <c r="H146" s="3">
        <f t="shared" si="99"/>
        <v>22.728549207116583</v>
      </c>
      <c r="I146" s="3">
        <f t="shared" si="99"/>
        <v>22.860305406747951</v>
      </c>
      <c r="J146" s="3">
        <f t="shared" si="99"/>
        <v>22.946991546117573</v>
      </c>
      <c r="K146" s="40">
        <f t="shared" si="99"/>
        <v>22.900632714563471</v>
      </c>
      <c r="L146" s="3"/>
      <c r="M146" s="3"/>
      <c r="P146" s="5"/>
      <c r="Q146" s="6"/>
      <c r="R146" s="3"/>
      <c r="S146" s="5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5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5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</row>
    <row r="147" spans="2:65" x14ac:dyDescent="0.3">
      <c r="C147" s="3"/>
      <c r="D147" s="3"/>
      <c r="E147" s="3"/>
      <c r="F147" s="3"/>
      <c r="G147" s="3"/>
      <c r="H147" s="3"/>
      <c r="I147" s="3"/>
      <c r="J147" s="3"/>
      <c r="L147" s="3"/>
      <c r="M147" s="3"/>
      <c r="P147" s="5"/>
      <c r="Q147" s="6"/>
      <c r="R147" s="3"/>
      <c r="S147" s="5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5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5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</row>
    <row r="148" spans="2:65" x14ac:dyDescent="0.3">
      <c r="B148" s="8" t="s">
        <v>31</v>
      </c>
      <c r="C148" s="3"/>
      <c r="D148" s="3"/>
      <c r="E148" s="3"/>
      <c r="F148" s="3"/>
      <c r="G148" s="3"/>
      <c r="H148" s="3"/>
      <c r="I148" s="3"/>
      <c r="J148" s="3"/>
      <c r="L148" s="3"/>
      <c r="M148" s="3"/>
      <c r="N148" s="8"/>
      <c r="O148" s="8"/>
      <c r="P148" s="5"/>
      <c r="Q148" s="6"/>
      <c r="R148" s="3"/>
      <c r="S148" s="5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5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5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</row>
    <row r="149" spans="2:65" x14ac:dyDescent="0.3">
      <c r="B149" t="s">
        <v>23</v>
      </c>
      <c r="C149" s="3">
        <f>46*(1-C121)</f>
        <v>0.47750278972380089</v>
      </c>
      <c r="D149" s="3">
        <f t="shared" ref="D149:K149" si="100">46*(1-D121)</f>
        <v>4.5631661253345612E-2</v>
      </c>
      <c r="E149" s="3">
        <f t="shared" si="100"/>
        <v>0.8300900398874238</v>
      </c>
      <c r="F149" s="3">
        <f t="shared" si="100"/>
        <v>0.34079037806728496</v>
      </c>
      <c r="G149" s="3">
        <f t="shared" si="100"/>
        <v>0.1499180503269637</v>
      </c>
      <c r="H149" s="3">
        <f t="shared" si="100"/>
        <v>0.54290158576683667</v>
      </c>
      <c r="I149" s="3">
        <f t="shared" si="100"/>
        <v>0.27938918650410227</v>
      </c>
      <c r="J149" s="3">
        <f t="shared" si="100"/>
        <v>0.10601690776485406</v>
      </c>
      <c r="K149" s="40">
        <f t="shared" si="100"/>
        <v>0.1987345708730528</v>
      </c>
      <c r="L149" s="3"/>
      <c r="M149" s="3"/>
      <c r="P149" s="5"/>
      <c r="Q149" s="6"/>
      <c r="R149" s="3"/>
      <c r="S149" s="5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5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5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</row>
    <row r="150" spans="2:65" x14ac:dyDescent="0.3">
      <c r="B150" t="s">
        <v>30</v>
      </c>
      <c r="C150" s="3">
        <f t="shared" ref="C150:K150" si="101">C128-C149</f>
        <v>1.1507228996777437</v>
      </c>
      <c r="D150" s="3">
        <f t="shared" si="101"/>
        <v>1.5603585823809305</v>
      </c>
      <c r="E150" s="3">
        <f t="shared" si="101"/>
        <v>0.97389914142679634</v>
      </c>
      <c r="F150" s="3">
        <f t="shared" si="101"/>
        <v>1.2798571768309324</v>
      </c>
      <c r="G150" s="3">
        <f t="shared" si="101"/>
        <v>1.4142372306461364</v>
      </c>
      <c r="H150" s="3">
        <f t="shared" si="101"/>
        <v>1.2288076700246513</v>
      </c>
      <c r="I150" s="3">
        <f t="shared" si="101"/>
        <v>1.3664120443567347</v>
      </c>
      <c r="J150" s="3">
        <f t="shared" si="101"/>
        <v>1.4653390452062824</v>
      </c>
      <c r="K150" s="40">
        <f t="shared" si="101"/>
        <v>1.4463118778117718</v>
      </c>
      <c r="L150" s="3"/>
      <c r="M150" s="3"/>
      <c r="P150" s="5"/>
      <c r="Q150" s="6"/>
      <c r="R150" s="3"/>
      <c r="S150" s="5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5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5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</row>
    <row r="151" spans="2:65" x14ac:dyDescent="0.3">
      <c r="C151" s="3"/>
      <c r="D151" s="3"/>
      <c r="E151" s="3"/>
      <c r="F151" s="3"/>
      <c r="G151" s="3"/>
      <c r="H151" s="3"/>
      <c r="I151" s="3"/>
      <c r="J151" s="3"/>
      <c r="L151" s="3"/>
      <c r="M151" s="3"/>
      <c r="P151" s="5"/>
      <c r="Q151" s="6"/>
      <c r="R151" s="3"/>
      <c r="S151" s="5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5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5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</row>
    <row r="152" spans="2:65" x14ac:dyDescent="0.3">
      <c r="B152" s="7" t="s">
        <v>29</v>
      </c>
      <c r="C152" s="3"/>
      <c r="D152" s="3"/>
      <c r="E152" s="3"/>
      <c r="F152" s="3"/>
      <c r="G152" s="3"/>
      <c r="H152" s="3"/>
      <c r="I152" s="3"/>
      <c r="J152" s="3"/>
      <c r="L152" s="3"/>
      <c r="M152" s="3"/>
      <c r="N152" s="7"/>
      <c r="O152" s="7"/>
      <c r="P152" s="5"/>
      <c r="Q152" s="6"/>
      <c r="R152" s="3"/>
      <c r="S152" s="5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5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5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</row>
    <row r="153" spans="2:65" x14ac:dyDescent="0.3">
      <c r="B153" t="s">
        <v>28</v>
      </c>
      <c r="C153" s="1">
        <f>Amphibole_formula_calc!C124</f>
        <v>6.0250537350708075</v>
      </c>
      <c r="D153" s="1">
        <f>Amphibole_formula_calc!D124</f>
        <v>6.3931598860530521</v>
      </c>
      <c r="E153" s="1">
        <f>Amphibole_formula_calc!E124</f>
        <v>5.7847453764672618</v>
      </c>
      <c r="F153" s="1">
        <f>Amphibole_formula_calc!F124</f>
        <v>6.2427183230000765</v>
      </c>
      <c r="G153" s="1">
        <f>Amphibole_formula_calc!G124</f>
        <v>6.4205953359006012</v>
      </c>
      <c r="H153" s="1">
        <f>Amphibole_formula_calc!H124</f>
        <v>6.017316224138674</v>
      </c>
      <c r="I153" s="1">
        <f>Amphibole_formula_calc!I124</f>
        <v>6.2546353582263672</v>
      </c>
      <c r="J153" s="1">
        <f>Amphibole_formula_calc!J124</f>
        <v>6.4403775806324246</v>
      </c>
      <c r="K153" s="46">
        <f>Amphibole_formula_calc!K124</f>
        <v>7.2887231802137826</v>
      </c>
      <c r="L153" s="3"/>
      <c r="M153" s="3"/>
      <c r="P153" s="2"/>
      <c r="Q153" s="4"/>
      <c r="R153" s="1"/>
      <c r="S153" s="2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2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2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3"/>
    </row>
    <row r="154" spans="2:65" x14ac:dyDescent="0.3">
      <c r="B154" t="s">
        <v>27</v>
      </c>
      <c r="C154" s="1">
        <f>IF(C153= 8, 0, IF(C153+Amphibole_formula_calc!C126&gt;8, 8-C153, Amphibole_formula_calc!C126))</f>
        <v>1.9749462649291925</v>
      </c>
      <c r="D154" s="1">
        <f>IF(D153= 8, 0, IF(D153+Amphibole_formula_calc!D126&gt;8, 8-D153, Amphibole_formula_calc!D126))</f>
        <v>1.6068401139469479</v>
      </c>
      <c r="E154" s="1">
        <f>IF(E153= 8, 0, IF(E153+Amphibole_formula_calc!E126&gt;8, 8-E153, Amphibole_formula_calc!E126))</f>
        <v>2.2152546235327382</v>
      </c>
      <c r="F154" s="1">
        <f>IF(F153= 8, 0, IF(F153+Amphibole_formula_calc!F126&gt;8, 8-F153, Amphibole_formula_calc!F126))</f>
        <v>1.7572816769999235</v>
      </c>
      <c r="G154" s="1">
        <f>IF(G153= 8, 0, IF(G153+Amphibole_formula_calc!G126&gt;8, 8-G153, Amphibole_formula_calc!G126))</f>
        <v>1.5794046640993988</v>
      </c>
      <c r="H154" s="1">
        <f>IF(H153= 8, 0, IF(H153+Amphibole_formula_calc!H126&gt;8, 8-H153, Amphibole_formula_calc!H126))</f>
        <v>1.982683775861326</v>
      </c>
      <c r="I154" s="1">
        <f>IF(I153= 8, 0, IF(I153+Amphibole_formula_calc!I126&gt;8, 8-I153, Amphibole_formula_calc!I126))</f>
        <v>1.7453646417736328</v>
      </c>
      <c r="J154" s="1">
        <f>IF(J153= 8, 0, IF(J153+Amphibole_formula_calc!J126&gt;8, 8-J153, Amphibole_formula_calc!J126))</f>
        <v>1.5596224193675754</v>
      </c>
      <c r="K154" s="46">
        <f>IF(K153= 8, 0, IF(K153+Amphibole_formula_calc!K126&gt;8, 8-K153, Amphibole_formula_calc!K126))</f>
        <v>0.71127681978621737</v>
      </c>
      <c r="L154" s="3"/>
      <c r="M154" s="3"/>
      <c r="P154" s="2"/>
      <c r="Q154" s="4"/>
      <c r="R154" s="1"/>
      <c r="S154" s="2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2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2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3"/>
    </row>
    <row r="155" spans="2:65" x14ac:dyDescent="0.3">
      <c r="B155" t="s">
        <v>26</v>
      </c>
      <c r="C155" s="1">
        <f t="shared" ref="C155:K155" si="102">SUM(C153:C154)</f>
        <v>8</v>
      </c>
      <c r="D155" s="1">
        <f t="shared" si="102"/>
        <v>8</v>
      </c>
      <c r="E155" s="1">
        <f t="shared" si="102"/>
        <v>8</v>
      </c>
      <c r="F155" s="1">
        <f t="shared" si="102"/>
        <v>8</v>
      </c>
      <c r="G155" s="1">
        <f t="shared" si="102"/>
        <v>8</v>
      </c>
      <c r="H155" s="1">
        <f t="shared" si="102"/>
        <v>8</v>
      </c>
      <c r="I155" s="1">
        <f t="shared" si="102"/>
        <v>8</v>
      </c>
      <c r="J155" s="1">
        <f t="shared" si="102"/>
        <v>8</v>
      </c>
      <c r="K155" s="46">
        <f t="shared" si="102"/>
        <v>8</v>
      </c>
      <c r="L155" s="3"/>
      <c r="M155" s="3"/>
      <c r="P155" s="2"/>
      <c r="Q155" s="4"/>
      <c r="R155" s="1"/>
      <c r="S155" s="2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2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2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3"/>
    </row>
    <row r="156" spans="2:65" x14ac:dyDescent="0.3">
      <c r="B156" t="s">
        <v>25</v>
      </c>
      <c r="C156" s="1">
        <f>IF(SUM(C153,Amphibole_formula_calc!C126)&gt;8,Amphibole_formula_calc!C126-C154, 0)</f>
        <v>0.26894008854936757</v>
      </c>
      <c r="D156" s="1">
        <f>IF(SUM(D153,Amphibole_formula_calc!D126)&gt;8,Amphibole_formula_calc!D126-D154, 0)</f>
        <v>0.45592239321114736</v>
      </c>
      <c r="E156" s="1">
        <f>IF(SUM(E153,Amphibole_formula_calc!E126)&gt;8,Amphibole_formula_calc!E126-E154, 0)</f>
        <v>5.5209237878349082E-2</v>
      </c>
      <c r="F156" s="1">
        <f>IF(SUM(F153,Amphibole_formula_calc!F126)&gt;8,Amphibole_formula_calc!F126-F154, 0)</f>
        <v>0.17798662251596853</v>
      </c>
      <c r="G156" s="1">
        <f>IF(SUM(G153,Amphibole_formula_calc!G126)&gt;8,Amphibole_formula_calc!G126-G154, 0)</f>
        <v>0.30629031876251545</v>
      </c>
      <c r="H156" s="1">
        <f>IF(SUM(H153,Amphibole_formula_calc!H126)&gt;8,Amphibole_formula_calc!H126-H154, 0)</f>
        <v>2.7083678200168215E-3</v>
      </c>
      <c r="I156" s="1">
        <f>IF(SUM(I153,Amphibole_formula_calc!I126)&gt;8,Amphibole_formula_calc!I126-I154, 0)</f>
        <v>0.23049719476166053</v>
      </c>
      <c r="J156" s="1">
        <f>IF(SUM(J153,Amphibole_formula_calc!J126)&gt;8,Amphibole_formula_calc!J126-J154, 0)</f>
        <v>0.45037629386010813</v>
      </c>
      <c r="K156" s="46">
        <f>IF(SUM(K153,Amphibole_formula_calc!K126)&gt;8,Amphibole_formula_calc!K126-K154, 0)</f>
        <v>0.16050680876244838</v>
      </c>
      <c r="L156" s="3"/>
      <c r="M156" s="3"/>
      <c r="P156" s="2"/>
      <c r="Q156" s="4"/>
      <c r="R156" s="1"/>
      <c r="S156" s="2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2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2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3"/>
    </row>
    <row r="157" spans="2:65" x14ac:dyDescent="0.3">
      <c r="B157" t="s">
        <v>24</v>
      </c>
      <c r="C157" s="1">
        <f>Amphibole_formula_calc!C125</f>
        <v>0.27368530230144289</v>
      </c>
      <c r="D157" s="1">
        <f>Amphibole_formula_calc!D125</f>
        <v>0.22916900622128372</v>
      </c>
      <c r="E157" s="1">
        <f>Amphibole_formula_calc!E125</f>
        <v>0.35110340694502234</v>
      </c>
      <c r="F157" s="1">
        <f>Amphibole_formula_calc!F125</f>
        <v>0.30600143028009774</v>
      </c>
      <c r="G157" s="1">
        <f>Amphibole_formula_calc!G125</f>
        <v>0.27276011851822973</v>
      </c>
      <c r="H157" s="1">
        <f>Amphibole_formula_calc!H125</f>
        <v>0.35354302856627101</v>
      </c>
      <c r="I157" s="1">
        <f>Amphibole_formula_calc!I125</f>
        <v>0.30051280753582665</v>
      </c>
      <c r="J157" s="1">
        <f>Amphibole_formula_calc!J125</f>
        <v>0.23751714092886689</v>
      </c>
      <c r="K157" s="46">
        <f>Amphibole_formula_calc!K125</f>
        <v>6.355585677952999E-2</v>
      </c>
      <c r="L157" s="3"/>
      <c r="M157" s="3"/>
      <c r="P157" s="2"/>
      <c r="Q157" s="4"/>
      <c r="R157" s="1"/>
      <c r="S157" s="2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2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2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3"/>
    </row>
    <row r="158" spans="2:65" x14ac:dyDescent="0.3">
      <c r="B158" t="s">
        <v>23</v>
      </c>
      <c r="C158" s="1">
        <f>Amphibole_formula_calc!C149</f>
        <v>0.47750278972380089</v>
      </c>
      <c r="D158" s="1">
        <f>Amphibole_formula_calc!D149</f>
        <v>4.5631661253345612E-2</v>
      </c>
      <c r="E158" s="1">
        <f>Amphibole_formula_calc!E149</f>
        <v>0.8300900398874238</v>
      </c>
      <c r="F158" s="1">
        <f>Amphibole_formula_calc!F149</f>
        <v>0.34079037806728496</v>
      </c>
      <c r="G158" s="1">
        <f>Amphibole_formula_calc!G149</f>
        <v>0.1499180503269637</v>
      </c>
      <c r="H158" s="1">
        <f>Amphibole_formula_calc!H149</f>
        <v>0.54290158576683667</v>
      </c>
      <c r="I158" s="1">
        <f>Amphibole_formula_calc!I149</f>
        <v>0.27938918650410227</v>
      </c>
      <c r="J158" s="1">
        <f>Amphibole_formula_calc!J149</f>
        <v>0.10601690776485406</v>
      </c>
      <c r="K158" s="46">
        <f>Amphibole_formula_calc!K149</f>
        <v>0.1987345708730528</v>
      </c>
      <c r="L158" s="3"/>
      <c r="M158" s="3"/>
      <c r="P158" s="2"/>
      <c r="Q158" s="4"/>
      <c r="R158" s="1"/>
      <c r="S158" s="2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2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2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3"/>
    </row>
    <row r="159" spans="2:65" x14ac:dyDescent="0.3">
      <c r="B159" t="s">
        <v>22</v>
      </c>
      <c r="C159" s="1">
        <f>Amphibole_formula_calc!C127</f>
        <v>0</v>
      </c>
      <c r="D159" s="1">
        <f>Amphibole_formula_calc!D127</f>
        <v>0</v>
      </c>
      <c r="E159" s="1">
        <f>Amphibole_formula_calc!E127</f>
        <v>3.1996559492281232E-3</v>
      </c>
      <c r="F159" s="1">
        <f>Amphibole_formula_calc!F127</f>
        <v>1.1695366750901891E-3</v>
      </c>
      <c r="G159" s="1">
        <f>Amphibole_formula_calc!G127</f>
        <v>0</v>
      </c>
      <c r="H159" s="1">
        <f>Amphibole_formula_calc!H127</f>
        <v>2.4115059798556604E-2</v>
      </c>
      <c r="I159" s="1">
        <f>Amphibole_formula_calc!I127</f>
        <v>1.169828787475056E-3</v>
      </c>
      <c r="J159" s="1">
        <f>Amphibole_formula_calc!J127</f>
        <v>0</v>
      </c>
      <c r="K159" s="46">
        <f>Amphibole_formula_calc!K127</f>
        <v>0</v>
      </c>
      <c r="L159" s="3"/>
      <c r="M159" s="3"/>
      <c r="P159" s="2"/>
      <c r="Q159" s="4"/>
      <c r="R159" s="1"/>
      <c r="S159" s="2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2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2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3"/>
    </row>
    <row r="160" spans="2:65" x14ac:dyDescent="0.3">
      <c r="B160" t="s">
        <v>19</v>
      </c>
      <c r="C160" s="1">
        <f t="shared" ref="C160:K160" si="103">IF(SUM(C156:C159)&gt;2, 0, 2-SUM(C156:C159))</f>
        <v>0.97987181942538859</v>
      </c>
      <c r="D160" s="1">
        <f t="shared" si="103"/>
        <v>1.2692769393142234</v>
      </c>
      <c r="E160" s="1">
        <f t="shared" si="103"/>
        <v>0.76039765933997661</v>
      </c>
      <c r="F160" s="1">
        <f t="shared" si="103"/>
        <v>1.1740520324615584</v>
      </c>
      <c r="G160" s="1">
        <f t="shared" si="103"/>
        <v>1.2710315123922911</v>
      </c>
      <c r="H160" s="1">
        <f t="shared" si="103"/>
        <v>1.0767319580483188</v>
      </c>
      <c r="I160" s="1">
        <f t="shared" si="103"/>
        <v>1.1884309824109356</v>
      </c>
      <c r="J160" s="1">
        <f t="shared" si="103"/>
        <v>1.2060896574461708</v>
      </c>
      <c r="K160" s="46">
        <f t="shared" si="103"/>
        <v>1.5772027635849688</v>
      </c>
      <c r="L160" s="3"/>
      <c r="M160" s="3"/>
      <c r="P160" s="2"/>
      <c r="Q160" s="4"/>
      <c r="R160" s="1"/>
      <c r="S160" s="2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2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2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3"/>
    </row>
    <row r="161" spans="2:65" x14ac:dyDescent="0.3">
      <c r="B161" t="s">
        <v>18</v>
      </c>
      <c r="C161" s="1">
        <f t="shared" ref="C161:K161" si="104">IF(SUM(C156:C160)&gt;2, 0, 2-SUM(C156:C160))</f>
        <v>0</v>
      </c>
      <c r="D161" s="1">
        <f t="shared" si="104"/>
        <v>0</v>
      </c>
      <c r="E161" s="1">
        <f t="shared" si="104"/>
        <v>0</v>
      </c>
      <c r="F161" s="1">
        <f t="shared" si="104"/>
        <v>0</v>
      </c>
      <c r="G161" s="1">
        <f t="shared" si="104"/>
        <v>0</v>
      </c>
      <c r="H161" s="1">
        <f t="shared" si="104"/>
        <v>0</v>
      </c>
      <c r="I161" s="1">
        <f t="shared" si="104"/>
        <v>0</v>
      </c>
      <c r="J161" s="1">
        <f t="shared" si="104"/>
        <v>0</v>
      </c>
      <c r="K161" s="46">
        <f t="shared" si="104"/>
        <v>0</v>
      </c>
      <c r="L161" s="3"/>
      <c r="M161" s="3"/>
      <c r="P161" s="2"/>
      <c r="Q161" s="4"/>
      <c r="R161" s="1"/>
      <c r="S161" s="2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2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2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3"/>
    </row>
    <row r="162" spans="2:65" x14ac:dyDescent="0.3">
      <c r="B162" t="s">
        <v>21</v>
      </c>
      <c r="C162" s="1">
        <f t="shared" ref="C162:K162" si="105">SUM(C156:C161)</f>
        <v>2</v>
      </c>
      <c r="D162" s="1">
        <f t="shared" si="105"/>
        <v>2</v>
      </c>
      <c r="E162" s="1">
        <f t="shared" si="105"/>
        <v>2</v>
      </c>
      <c r="F162" s="1">
        <f t="shared" si="105"/>
        <v>2</v>
      </c>
      <c r="G162" s="1">
        <f t="shared" si="105"/>
        <v>2</v>
      </c>
      <c r="H162" s="1">
        <f t="shared" si="105"/>
        <v>2</v>
      </c>
      <c r="I162" s="1">
        <f t="shared" si="105"/>
        <v>2</v>
      </c>
      <c r="J162" s="1">
        <f t="shared" si="105"/>
        <v>2</v>
      </c>
      <c r="K162" s="46">
        <f t="shared" si="105"/>
        <v>2</v>
      </c>
      <c r="L162" s="3"/>
      <c r="M162" s="3"/>
      <c r="P162" s="2"/>
      <c r="Q162" s="4"/>
      <c r="R162" s="1"/>
      <c r="S162" s="2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2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2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3"/>
    </row>
    <row r="163" spans="2:65" x14ac:dyDescent="0.3">
      <c r="B163" t="s">
        <v>19</v>
      </c>
      <c r="C163" s="1">
        <f t="shared" ref="C163:K163" si="106">C130-C160</f>
        <v>1.9026688714446811</v>
      </c>
      <c r="D163" s="1">
        <f t="shared" si="106"/>
        <v>1.4655102111115026</v>
      </c>
      <c r="E163" s="1">
        <f t="shared" si="106"/>
        <v>2.1054485488709624</v>
      </c>
      <c r="F163" s="1">
        <f t="shared" si="106"/>
        <v>1.8141443071642001</v>
      </c>
      <c r="G163" s="1">
        <f t="shared" si="106"/>
        <v>1.6713357280909231</v>
      </c>
      <c r="H163" s="1">
        <f t="shared" si="106"/>
        <v>1.8954852029409428</v>
      </c>
      <c r="I163" s="1">
        <f t="shared" si="106"/>
        <v>1.7277182735735841</v>
      </c>
      <c r="J163" s="1">
        <f t="shared" si="106"/>
        <v>1.5950007530188275</v>
      </c>
      <c r="K163" s="46">
        <f t="shared" si="106"/>
        <v>1.5165658509117845</v>
      </c>
      <c r="L163" s="3"/>
      <c r="M163" s="3"/>
      <c r="P163" s="2"/>
      <c r="Q163" s="4"/>
      <c r="R163" s="1"/>
      <c r="S163" s="2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2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2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3"/>
    </row>
    <row r="164" spans="2:65" x14ac:dyDescent="0.3">
      <c r="B164" t="s">
        <v>18</v>
      </c>
      <c r="C164" s="1">
        <f t="shared" ref="C164:K164" si="107">IF(C161=0,IF(SUM(C163,C150)&gt;3, 3-C163, C150))</f>
        <v>1.0973311285553189</v>
      </c>
      <c r="D164" s="1">
        <f t="shared" si="107"/>
        <v>1.5344897888884974</v>
      </c>
      <c r="E164" s="1">
        <f t="shared" si="107"/>
        <v>0.89455145112903756</v>
      </c>
      <c r="F164" s="1">
        <f t="shared" si="107"/>
        <v>1.1858556928357999</v>
      </c>
      <c r="G164" s="1">
        <f t="shared" si="107"/>
        <v>1.3286642719090769</v>
      </c>
      <c r="H164" s="1">
        <f t="shared" si="107"/>
        <v>1.1045147970590572</v>
      </c>
      <c r="I164" s="1">
        <f t="shared" si="107"/>
        <v>1.2722817264264159</v>
      </c>
      <c r="J164" s="1">
        <f t="shared" si="107"/>
        <v>1.4049992469811725</v>
      </c>
      <c r="K164" s="46">
        <f t="shared" si="107"/>
        <v>1.4463118778117718</v>
      </c>
      <c r="L164" s="3"/>
      <c r="M164" s="3"/>
      <c r="P164" s="2"/>
      <c r="Q164" s="4"/>
      <c r="R164" s="1"/>
      <c r="S164" s="2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2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2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3"/>
    </row>
    <row r="165" spans="2:65" x14ac:dyDescent="0.3">
      <c r="B165" t="s">
        <v>17</v>
      </c>
      <c r="C165" s="1">
        <f>IF(SUM(C163:C164,Amphibole_formula_calc!C129)&lt;3,Amphibole_formula_calc!C129, 3-SUM(C163:C164))</f>
        <v>0</v>
      </c>
      <c r="D165" s="1">
        <f>IF(SUM(D163:D164,Amphibole_formula_calc!D129)&lt;3,Amphibole_formula_calc!D129, 3-SUM(D163:D164))</f>
        <v>0</v>
      </c>
      <c r="E165" s="1">
        <f>IF(SUM(E163:E164,Amphibole_formula_calc!E129)&lt;3,Amphibole_formula_calc!E129, 3-SUM(E163:E164))</f>
        <v>0</v>
      </c>
      <c r="F165" s="1">
        <f>IF(SUM(F163:F164,Amphibole_formula_calc!F129)&lt;3,Amphibole_formula_calc!F129, 3-SUM(F163:F164))</f>
        <v>0</v>
      </c>
      <c r="G165" s="1">
        <f>IF(SUM(G163:G164,Amphibole_formula_calc!G129)&lt;3,Amphibole_formula_calc!G129, 3-SUM(G163:G164))</f>
        <v>0</v>
      </c>
      <c r="H165" s="1">
        <f>IF(SUM(H163:H164,Amphibole_formula_calc!H129)&lt;3,Amphibole_formula_calc!H129, 3-SUM(H163:H164))</f>
        <v>0</v>
      </c>
      <c r="I165" s="1">
        <f>IF(SUM(I163:I164,Amphibole_formula_calc!I129)&lt;3,Amphibole_formula_calc!I129, 3-SUM(I163:I164))</f>
        <v>0</v>
      </c>
      <c r="J165" s="1">
        <f>IF(SUM(J163:J164,Amphibole_formula_calc!J129)&lt;3,Amphibole_formula_calc!J129, 3-SUM(J163:J164))</f>
        <v>0</v>
      </c>
      <c r="K165" s="46">
        <f>IF(SUM(K163:K164,Amphibole_formula_calc!K129)&lt;3,Amphibole_formula_calc!K129, 3-SUM(K163:K164))</f>
        <v>3.712227127644363E-2</v>
      </c>
      <c r="L165" s="3"/>
      <c r="M165" s="3"/>
      <c r="P165" s="2"/>
      <c r="Q165" s="4"/>
      <c r="R165" s="1"/>
      <c r="S165" s="2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2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2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3"/>
    </row>
    <row r="166" spans="2:65" x14ac:dyDescent="0.3">
      <c r="B166" t="s">
        <v>20</v>
      </c>
      <c r="C166" s="1">
        <f t="shared" ref="C166:K166" si="108">SUM(C163:C165)</f>
        <v>3</v>
      </c>
      <c r="D166" s="1">
        <f t="shared" si="108"/>
        <v>3</v>
      </c>
      <c r="E166" s="1">
        <f t="shared" si="108"/>
        <v>3</v>
      </c>
      <c r="F166" s="1">
        <f t="shared" si="108"/>
        <v>3</v>
      </c>
      <c r="G166" s="1">
        <f t="shared" si="108"/>
        <v>3</v>
      </c>
      <c r="H166" s="1">
        <f t="shared" si="108"/>
        <v>3</v>
      </c>
      <c r="I166" s="1">
        <f t="shared" si="108"/>
        <v>3</v>
      </c>
      <c r="J166" s="1">
        <f t="shared" si="108"/>
        <v>3</v>
      </c>
      <c r="K166" s="46">
        <f t="shared" si="108"/>
        <v>3</v>
      </c>
      <c r="L166" s="3"/>
      <c r="M166" s="3"/>
      <c r="P166" s="2"/>
      <c r="Q166" s="4"/>
      <c r="R166" s="1"/>
      <c r="S166" s="2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2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2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3"/>
    </row>
    <row r="167" spans="2:65" x14ac:dyDescent="0.3">
      <c r="B167" t="s">
        <v>19</v>
      </c>
      <c r="C167" s="1">
        <f t="shared" ref="C167:K167" si="109">C130-(SUM(C163,C160))</f>
        <v>0</v>
      </c>
      <c r="D167" s="1">
        <f t="shared" si="109"/>
        <v>0</v>
      </c>
      <c r="E167" s="1">
        <f t="shared" si="109"/>
        <v>0</v>
      </c>
      <c r="F167" s="1">
        <f t="shared" si="109"/>
        <v>0</v>
      </c>
      <c r="G167" s="1">
        <f t="shared" si="109"/>
        <v>0</v>
      </c>
      <c r="H167" s="1">
        <f t="shared" si="109"/>
        <v>0</v>
      </c>
      <c r="I167" s="1">
        <f t="shared" si="109"/>
        <v>0</v>
      </c>
      <c r="J167" s="1">
        <f t="shared" si="109"/>
        <v>0</v>
      </c>
      <c r="K167" s="46">
        <f t="shared" si="109"/>
        <v>0</v>
      </c>
      <c r="L167" s="3"/>
      <c r="M167" s="3"/>
      <c r="P167" s="2"/>
      <c r="Q167" s="4"/>
      <c r="R167" s="1"/>
      <c r="S167" s="2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2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2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3"/>
    </row>
    <row r="168" spans="2:65" x14ac:dyDescent="0.3">
      <c r="B168" t="s">
        <v>18</v>
      </c>
      <c r="C168" s="1">
        <f>IF(C164=TRUE, 0, Amphibole_formula_calc!C150-C164)</f>
        <v>5.3391771122424769E-2</v>
      </c>
      <c r="D168" s="1">
        <f>IF(D164=TRUE, 0, Amphibole_formula_calc!D150-D164)</f>
        <v>2.5868793492433095E-2</v>
      </c>
      <c r="E168" s="1">
        <f>IF(E164=TRUE, 0, Amphibole_formula_calc!E150-E164)</f>
        <v>7.9347690297758788E-2</v>
      </c>
      <c r="F168" s="1">
        <f>IF(F164=TRUE, 0, Amphibole_formula_calc!F150-F164)</f>
        <v>9.4001483995132418E-2</v>
      </c>
      <c r="G168" s="1">
        <f>IF(G164=TRUE, 0, Amphibole_formula_calc!G150-G164)</f>
        <v>8.5572958737059501E-2</v>
      </c>
      <c r="H168" s="1">
        <f>IF(H164=TRUE, 0, Amphibole_formula_calc!H150-H164)</f>
        <v>0.1242928729655941</v>
      </c>
      <c r="I168" s="1">
        <f>IF(I164=TRUE, 0, Amphibole_formula_calc!I150-I164)</f>
        <v>9.4130317930318785E-2</v>
      </c>
      <c r="J168" s="1">
        <f>IF(J164=TRUE, 0, Amphibole_formula_calc!J150-J164)</f>
        <v>6.0339798225109931E-2</v>
      </c>
      <c r="K168" s="46">
        <f>IF(K164=TRUE, 0, Amphibole_formula_calc!K150-K164)</f>
        <v>0</v>
      </c>
      <c r="L168" s="3"/>
      <c r="M168" s="3"/>
      <c r="P168" s="2"/>
      <c r="Q168" s="4"/>
      <c r="R168" s="1"/>
      <c r="S168" s="2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2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2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3"/>
    </row>
    <row r="169" spans="2:65" x14ac:dyDescent="0.3">
      <c r="B169" t="s">
        <v>17</v>
      </c>
      <c r="C169" s="1">
        <f>IF(C165=TRUE, 0, Amphibole_formula_calc!C129-C165)</f>
        <v>3.2705017950546519E-2</v>
      </c>
      <c r="D169" s="1">
        <f>IF(D165=TRUE, 0, Amphibole_formula_calc!D129-D165)</f>
        <v>0</v>
      </c>
      <c r="E169" s="1">
        <f>IF(E165=TRUE, 0, Amphibole_formula_calc!E129-E165)</f>
        <v>6.1703295212231835E-2</v>
      </c>
      <c r="F169" s="1">
        <f>IF(F165=TRUE, 0, Amphibole_formula_calc!F129-F165)</f>
        <v>4.8866476182978326E-2</v>
      </c>
      <c r="G169" s="1">
        <f>IF(G165=TRUE, 0, Amphibole_formula_calc!G129-G165)</f>
        <v>2.5595008464133887E-2</v>
      </c>
      <c r="H169" s="1">
        <f>IF(H165=TRUE, 0, Amphibole_formula_calc!H129-H165)</f>
        <v>7.868157331591151E-2</v>
      </c>
      <c r="I169" s="1">
        <f>IF(I165=TRUE, 0, Amphibole_formula_calc!I129-I165)</f>
        <v>5.0131980970401002E-2</v>
      </c>
      <c r="J169" s="1">
        <f>IF(J165=TRUE, 0, Amphibole_formula_calc!J129-J165)</f>
        <v>2.9128754905935045E-2</v>
      </c>
      <c r="K169" s="46">
        <f>IF(K165=TRUE, 0, Amphibole_formula_calc!K129-K165)</f>
        <v>1.9377786103800872E-2</v>
      </c>
      <c r="L169" s="3"/>
      <c r="M169" s="3"/>
      <c r="P169" s="2"/>
      <c r="Q169" s="4"/>
      <c r="R169" s="1"/>
      <c r="S169" s="2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2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2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3"/>
    </row>
    <row r="170" spans="2:65" x14ac:dyDescent="0.3">
      <c r="B170" t="s">
        <v>16</v>
      </c>
      <c r="C170" s="1">
        <f>Amphibole_formula_calc!C131</f>
        <v>1.8505838504790475</v>
      </c>
      <c r="D170" s="1">
        <f>Amphibole_formula_calc!D131</f>
        <v>1.8995862466647215</v>
      </c>
      <c r="E170" s="1">
        <f>Amphibole_formula_calc!E131</f>
        <v>1.7518835193892222</v>
      </c>
      <c r="F170" s="1">
        <f>Amphibole_formula_calc!F131</f>
        <v>1.7546158405935084</v>
      </c>
      <c r="G170" s="1">
        <f>Amphibole_formula_calc!G131</f>
        <v>1.7722420022114902</v>
      </c>
      <c r="H170" s="1">
        <f>Amphibole_formula_calc!H131</f>
        <v>1.7158061743173791</v>
      </c>
      <c r="I170" s="1">
        <f>Amphibole_formula_calc!I131</f>
        <v>1.751883257380443</v>
      </c>
      <c r="J170" s="1">
        <f>Amphibole_formula_calc!J131</f>
        <v>1.7720375378137052</v>
      </c>
      <c r="K170" s="46">
        <f>Amphibole_formula_calc!K131</f>
        <v>1.9456309810700494</v>
      </c>
      <c r="L170" s="3"/>
      <c r="M170" s="3"/>
      <c r="P170" s="2"/>
      <c r="Q170" s="4"/>
      <c r="R170" s="1"/>
      <c r="S170" s="2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2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2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3"/>
    </row>
    <row r="171" spans="2:65" x14ac:dyDescent="0.3">
      <c r="B171" t="s">
        <v>14</v>
      </c>
      <c r="C171" s="1">
        <f>IF(SUM(C167:C170,Amphibole_formula_calc!C132)&lt;2, Amphibole_formula_calc!C132, 2-SUM(C167:C170))</f>
        <v>6.3319360447981143E-2</v>
      </c>
      <c r="D171" s="1">
        <f>IF(SUM(D167:D170,Amphibole_formula_calc!D132)&lt;2, Amphibole_formula_calc!D132, 2-SUM(D167:D170))</f>
        <v>7.4544959842845371E-2</v>
      </c>
      <c r="E171" s="1">
        <f>IF(SUM(E167:E170,Amphibole_formula_calc!E132)&lt;2, Amphibole_formula_calc!E132, 2-SUM(E167:E170))</f>
        <v>0.10706549510078722</v>
      </c>
      <c r="F171" s="1">
        <f>IF(SUM(F167:F170,Amphibole_formula_calc!F132)&lt;2, Amphibole_formula_calc!F132, 2-SUM(F167:F170))</f>
        <v>0.10251619922838096</v>
      </c>
      <c r="G171" s="1">
        <f>IF(SUM(G167:G170,Amphibole_formula_calc!G132)&lt;2, Amphibole_formula_calc!G132, 2-SUM(G167:G170))</f>
        <v>0.11659003058731643</v>
      </c>
      <c r="H171" s="1">
        <f>IF(SUM(H167:H170,Amphibole_formula_calc!H132)&lt;2, Amphibole_formula_calc!H132, 2-SUM(H167:H170))</f>
        <v>8.1219379401115344E-2</v>
      </c>
      <c r="I171" s="1">
        <f>IF(SUM(I167:I170,Amphibole_formula_calc!I132)&lt;2, Amphibole_formula_calc!I132, 2-SUM(I167:I170))</f>
        <v>0.10385444371883712</v>
      </c>
      <c r="J171" s="1">
        <f>IF(SUM(J167:J170,Amphibole_formula_calc!J132)&lt;2, Amphibole_formula_calc!J132, 2-SUM(J167:J170))</f>
        <v>0.13849390905524972</v>
      </c>
      <c r="K171" s="46">
        <f>IF(SUM(K167:K170,Amphibole_formula_calc!K132)&lt;2, Amphibole_formula_calc!K132, 2-SUM(K167:K170))</f>
        <v>3.4991232826149687E-2</v>
      </c>
      <c r="L171" s="3"/>
      <c r="M171" s="3"/>
      <c r="P171" s="2"/>
      <c r="Q171" s="4"/>
      <c r="R171" s="1"/>
      <c r="S171" s="2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2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2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3"/>
    </row>
    <row r="172" spans="2:65" x14ac:dyDescent="0.3">
      <c r="B172" t="s">
        <v>15</v>
      </c>
      <c r="C172" s="1">
        <f t="shared" ref="C172:K172" si="110">SUM(C167:C171)</f>
        <v>2</v>
      </c>
      <c r="D172" s="1">
        <f t="shared" si="110"/>
        <v>2</v>
      </c>
      <c r="E172" s="1">
        <f t="shared" si="110"/>
        <v>2</v>
      </c>
      <c r="F172" s="1">
        <f t="shared" si="110"/>
        <v>2</v>
      </c>
      <c r="G172" s="1">
        <f t="shared" si="110"/>
        <v>2</v>
      </c>
      <c r="H172" s="1">
        <f t="shared" si="110"/>
        <v>2</v>
      </c>
      <c r="I172" s="1">
        <f t="shared" si="110"/>
        <v>2</v>
      </c>
      <c r="J172" s="1">
        <f t="shared" si="110"/>
        <v>2</v>
      </c>
      <c r="K172" s="46">
        <f t="shared" si="110"/>
        <v>2</v>
      </c>
      <c r="L172" s="3"/>
      <c r="M172" s="3"/>
      <c r="P172" s="2"/>
      <c r="Q172" s="4"/>
      <c r="R172" s="1"/>
      <c r="S172" s="2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2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2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3"/>
    </row>
    <row r="173" spans="2:65" x14ac:dyDescent="0.3">
      <c r="B173" t="s">
        <v>14</v>
      </c>
      <c r="C173" s="1">
        <f>IF(C171=TRUE, 0, Amphibole_formula_calc!C132-C171)</f>
        <v>0.57015017687807978</v>
      </c>
      <c r="D173" s="1">
        <f>IF(D171=TRUE, 0, Amphibole_formula_calc!D132-D171)</f>
        <v>0.56643708330586973</v>
      </c>
      <c r="E173" s="1">
        <f>IF(E171=TRUE, 0, Amphibole_formula_calc!E132-E171)</f>
        <v>0.52853303176979716</v>
      </c>
      <c r="F173" s="1">
        <f>IF(F171=TRUE, 0, Amphibole_formula_calc!F132-F171)</f>
        <v>0.54856369351941614</v>
      </c>
      <c r="G173" s="1">
        <f>IF(G171=TRUE, 0, Amphibole_formula_calc!G132-G171)</f>
        <v>0.52789075374959404</v>
      </c>
      <c r="H173" s="1">
        <f>IF(H171=TRUE, 0, Amphibole_formula_calc!H132-H171)</f>
        <v>0.58545217348638179</v>
      </c>
      <c r="I173" s="1">
        <f>IF(I171=TRUE, 0, Amphibole_formula_calc!I132-I171)</f>
        <v>0.55025697744225399</v>
      </c>
      <c r="J173" s="1">
        <f>IF(J171=TRUE, 0, Amphibole_formula_calc!J132-J171)</f>
        <v>0.51313405112746047</v>
      </c>
      <c r="K173" s="46">
        <f>IF(K171=TRUE, 0, Amphibole_formula_calc!K132-K171)</f>
        <v>0.17481638155014784</v>
      </c>
      <c r="L173" s="3"/>
      <c r="M173" s="3"/>
      <c r="P173" s="2"/>
      <c r="Q173" s="4"/>
      <c r="R173" s="1"/>
      <c r="S173" s="2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2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2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3"/>
    </row>
    <row r="174" spans="2:65" x14ac:dyDescent="0.3">
      <c r="B174" t="s">
        <v>13</v>
      </c>
      <c r="C174" s="1">
        <f>Amphibole_formula_calc!C133</f>
        <v>0.17430196562303329</v>
      </c>
      <c r="D174" s="1">
        <f>Amphibole_formula_calc!D133</f>
        <v>0.15505592357686407</v>
      </c>
      <c r="E174" s="1">
        <f>Amphibole_formula_calc!E133</f>
        <v>0.20308133925868052</v>
      </c>
      <c r="F174" s="1">
        <f>Amphibole_formula_calc!F133</f>
        <v>0.1792847848903445</v>
      </c>
      <c r="G174" s="1">
        <f>Amphibole_formula_calc!G133</f>
        <v>0.16637533481118744</v>
      </c>
      <c r="H174" s="1">
        <f>Amphibole_formula_calc!H133</f>
        <v>0.20163991125811082</v>
      </c>
      <c r="I174" s="1">
        <f>Amphibole_formula_calc!I133</f>
        <v>0.18688028292533349</v>
      </c>
      <c r="J174" s="1">
        <f>Amphibole_formula_calc!J133</f>
        <v>0.15355479381267115</v>
      </c>
      <c r="K174" s="46">
        <f>Amphibole_formula_calc!K133</f>
        <v>8.5098577867660938E-2</v>
      </c>
      <c r="L174" s="3"/>
      <c r="M174" s="3"/>
      <c r="P174" s="2"/>
      <c r="Q174" s="4"/>
      <c r="R174" s="1"/>
      <c r="S174" s="2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2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2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3"/>
    </row>
    <row r="175" spans="2:65" x14ac:dyDescent="0.3">
      <c r="B175" t="s">
        <v>12</v>
      </c>
      <c r="C175" s="1">
        <f t="shared" ref="C175:K175" si="111">SUM(C173:C174)</f>
        <v>0.74445214250111302</v>
      </c>
      <c r="D175" s="1">
        <f t="shared" si="111"/>
        <v>0.72149300688273377</v>
      </c>
      <c r="E175" s="1">
        <f t="shared" si="111"/>
        <v>0.73161437102847771</v>
      </c>
      <c r="F175" s="1">
        <f t="shared" si="111"/>
        <v>0.72784847840976064</v>
      </c>
      <c r="G175" s="1">
        <f t="shared" si="111"/>
        <v>0.69426608856078142</v>
      </c>
      <c r="H175" s="1">
        <f t="shared" si="111"/>
        <v>0.78709208474449266</v>
      </c>
      <c r="I175" s="1">
        <f t="shared" si="111"/>
        <v>0.73713726036758742</v>
      </c>
      <c r="J175" s="1">
        <f t="shared" si="111"/>
        <v>0.66668884494013159</v>
      </c>
      <c r="K175" s="46">
        <f t="shared" si="111"/>
        <v>0.25991495941780879</v>
      </c>
      <c r="L175" s="3"/>
      <c r="M175" s="3"/>
      <c r="P175" s="2"/>
      <c r="Q175" s="4"/>
      <c r="R175" s="1"/>
      <c r="S175" s="2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2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2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3"/>
    </row>
    <row r="176" spans="2:65" x14ac:dyDescent="0.3">
      <c r="B176" t="s">
        <v>11</v>
      </c>
      <c r="C176" s="1">
        <f t="shared" ref="C176:K176" si="112">SUM(C175,C172,C166,C155,C162)</f>
        <v>15.744452142501114</v>
      </c>
      <c r="D176" s="1">
        <f t="shared" si="112"/>
        <v>15.721493006882733</v>
      </c>
      <c r="E176" s="1">
        <f t="shared" si="112"/>
        <v>15.731614371028478</v>
      </c>
      <c r="F176" s="1">
        <f t="shared" si="112"/>
        <v>15.727848478409761</v>
      </c>
      <c r="G176" s="1">
        <f t="shared" si="112"/>
        <v>15.694266088560781</v>
      </c>
      <c r="H176" s="1">
        <f t="shared" si="112"/>
        <v>15.787092084744494</v>
      </c>
      <c r="I176" s="1">
        <f t="shared" si="112"/>
        <v>15.737137260367588</v>
      </c>
      <c r="J176" s="1">
        <f t="shared" si="112"/>
        <v>15.666688844940133</v>
      </c>
      <c r="K176" s="46">
        <f t="shared" si="112"/>
        <v>15.259914959417809</v>
      </c>
      <c r="L176" s="3"/>
      <c r="M176" s="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3"/>
    </row>
    <row r="177" spans="2:65" ht="15" thickBot="1" x14ac:dyDescent="0.35">
      <c r="B177" s="18"/>
      <c r="C177" s="19"/>
      <c r="D177" s="19"/>
      <c r="E177" s="19"/>
      <c r="F177" s="19"/>
      <c r="G177" s="19"/>
      <c r="H177" s="19"/>
      <c r="I177" s="19"/>
      <c r="J177" s="19"/>
      <c r="K177" s="47"/>
      <c r="L177" s="3"/>
      <c r="M177" s="3"/>
      <c r="P177" s="5"/>
      <c r="Q177" s="6"/>
      <c r="R177" s="3"/>
      <c r="S177" s="5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5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5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</row>
    <row r="178" spans="2:65" ht="15" thickBot="1" x14ac:dyDescent="0.35">
      <c r="B178" s="20" t="s">
        <v>10</v>
      </c>
      <c r="C178" s="20">
        <f>C154+C156</f>
        <v>2.24388635347856</v>
      </c>
      <c r="D178" s="20">
        <f t="shared" ref="D178:K178" si="113">D154+D156</f>
        <v>2.0627625071580953</v>
      </c>
      <c r="E178" s="20">
        <f t="shared" si="113"/>
        <v>2.2704638614110872</v>
      </c>
      <c r="F178" s="20">
        <f t="shared" si="113"/>
        <v>1.9352682995158921</v>
      </c>
      <c r="G178" s="20">
        <f t="shared" si="113"/>
        <v>1.8856949828619143</v>
      </c>
      <c r="H178" s="20">
        <f t="shared" si="113"/>
        <v>1.9853921436813429</v>
      </c>
      <c r="I178" s="20">
        <f t="shared" si="113"/>
        <v>1.9758618365352933</v>
      </c>
      <c r="J178" s="20">
        <f t="shared" si="113"/>
        <v>2.0099987132276835</v>
      </c>
      <c r="K178" s="48">
        <f t="shared" si="113"/>
        <v>0.87178362854866576</v>
      </c>
      <c r="L178" s="3"/>
      <c r="M178" s="3"/>
      <c r="N178" s="15"/>
      <c r="O178" s="15"/>
      <c r="P178" s="16"/>
      <c r="Q178" s="17"/>
      <c r="R178" s="15"/>
      <c r="S178" s="16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6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6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</row>
    <row r="179" spans="2:65" x14ac:dyDescent="0.3">
      <c r="C179" s="3"/>
      <c r="D179" s="3"/>
      <c r="E179" s="3"/>
      <c r="F179" s="3"/>
      <c r="G179" s="3"/>
      <c r="H179" s="3"/>
      <c r="I179" s="3"/>
      <c r="J179" s="3"/>
      <c r="L179" s="3"/>
      <c r="M179" s="3"/>
      <c r="P179" s="2"/>
      <c r="Q179" s="4"/>
      <c r="S179" s="2"/>
      <c r="AG179" s="2"/>
      <c r="AT179" s="2"/>
      <c r="BM179" s="3"/>
    </row>
    <row r="180" spans="2:65" x14ac:dyDescent="0.3">
      <c r="B180" t="s">
        <v>9</v>
      </c>
      <c r="C180">
        <f t="shared" ref="C180:K180" si="114">(C163+C167+C160)/((C163+C167+C160)+(C161+C164))</f>
        <v>0.72427978127352077</v>
      </c>
      <c r="D180">
        <f t="shared" si="114"/>
        <v>0.64057384641461479</v>
      </c>
      <c r="E180">
        <f t="shared" si="114"/>
        <v>0.76211253910682175</v>
      </c>
      <c r="F180">
        <f t="shared" si="114"/>
        <v>0.71589820069002186</v>
      </c>
      <c r="G180">
        <f t="shared" si="114"/>
        <v>0.68891255705934484</v>
      </c>
      <c r="H180">
        <f t="shared" si="114"/>
        <v>0.72906857541160763</v>
      </c>
      <c r="I180">
        <f t="shared" si="114"/>
        <v>0.6962390614124272</v>
      </c>
      <c r="J180">
        <f t="shared" si="114"/>
        <v>0.66596069950771053</v>
      </c>
      <c r="K180" s="40">
        <f t="shared" si="114"/>
        <v>0.68143474983273788</v>
      </c>
      <c r="L180" s="3"/>
      <c r="M180" s="3"/>
      <c r="Q180" s="4"/>
      <c r="BM180" s="3"/>
    </row>
    <row r="181" spans="2:65" x14ac:dyDescent="0.3">
      <c r="P181" s="2"/>
      <c r="Q181" s="4"/>
      <c r="S181" s="2"/>
      <c r="AG181" s="2"/>
      <c r="AT181" s="2"/>
    </row>
    <row r="183" spans="2:65" x14ac:dyDescent="0.3">
      <c r="B183" s="8" t="s">
        <v>75</v>
      </c>
    </row>
    <row r="184" spans="2:65" x14ac:dyDescent="0.3">
      <c r="B184" s="1" t="s">
        <v>8</v>
      </c>
      <c r="C184">
        <f>C124+C126+C125+C149+C150+C130+C129-13</f>
        <v>8.6096789072970026E-2</v>
      </c>
      <c r="D184">
        <f t="shared" ref="D184:K184" si="115">D124+D126+D125+D149+D150+D130+D129-13</f>
        <v>2.5868793492431763E-2</v>
      </c>
      <c r="E184">
        <f t="shared" si="115"/>
        <v>0.13785132956076218</v>
      </c>
      <c r="F184">
        <f t="shared" si="115"/>
        <v>0.1416984235030192</v>
      </c>
      <c r="G184">
        <f t="shared" si="115"/>
        <v>0.11116796720119382</v>
      </c>
      <c r="H184">
        <f t="shared" si="115"/>
        <v>0.17885938648294797</v>
      </c>
      <c r="I184">
        <f t="shared" si="115"/>
        <v>0.14309247011324544</v>
      </c>
      <c r="J184">
        <f t="shared" si="115"/>
        <v>8.9468553131043294E-2</v>
      </c>
      <c r="K184" s="40">
        <f t="shared" si="115"/>
        <v>1.9377786103801142E-2</v>
      </c>
      <c r="M184" s="3"/>
      <c r="N184" s="1"/>
      <c r="O184" s="1"/>
    </row>
    <row r="185" spans="2:65" x14ac:dyDescent="0.3">
      <c r="B185" s="1" t="s">
        <v>7</v>
      </c>
      <c r="C185">
        <f>(C124-4)/4</f>
        <v>0.50626343376770189</v>
      </c>
      <c r="D185">
        <f t="shared" ref="D185:K185" si="116">(D124-4)/4</f>
        <v>0.59828997151326302</v>
      </c>
      <c r="E185">
        <f t="shared" si="116"/>
        <v>0.44618634411681546</v>
      </c>
      <c r="F185">
        <f t="shared" si="116"/>
        <v>0.56067958075001911</v>
      </c>
      <c r="G185">
        <f t="shared" si="116"/>
        <v>0.60514883397515029</v>
      </c>
      <c r="H185">
        <f t="shared" si="116"/>
        <v>0.50432905603466849</v>
      </c>
      <c r="I185">
        <f t="shared" si="116"/>
        <v>0.5636588395565918</v>
      </c>
      <c r="J185">
        <f t="shared" si="116"/>
        <v>0.61009439515810615</v>
      </c>
      <c r="K185" s="40">
        <f t="shared" si="116"/>
        <v>0.82218079505344566</v>
      </c>
      <c r="L185" s="1"/>
      <c r="M185" s="2"/>
      <c r="N185" s="1"/>
      <c r="O185" s="1"/>
      <c r="BM185" s="2"/>
    </row>
    <row r="186" spans="2:65" x14ac:dyDescent="0.3">
      <c r="B186" t="s">
        <v>6</v>
      </c>
      <c r="C186">
        <f t="shared" ref="C186:K186" si="117">(8-C124)/4</f>
        <v>0.49373656623229811</v>
      </c>
      <c r="D186">
        <f t="shared" si="117"/>
        <v>0.40171002848673698</v>
      </c>
      <c r="E186">
        <f t="shared" si="117"/>
        <v>0.55381365588318454</v>
      </c>
      <c r="F186">
        <f t="shared" si="117"/>
        <v>0.43932041924998089</v>
      </c>
      <c r="G186">
        <f t="shared" si="117"/>
        <v>0.39485116602484971</v>
      </c>
      <c r="H186">
        <f t="shared" si="117"/>
        <v>0.49567094396533151</v>
      </c>
      <c r="I186">
        <f t="shared" si="117"/>
        <v>0.4363411604434082</v>
      </c>
      <c r="J186">
        <f t="shared" si="117"/>
        <v>0.38990560484189385</v>
      </c>
      <c r="K186" s="40">
        <f t="shared" si="117"/>
        <v>0.17781920494655434</v>
      </c>
      <c r="L186" s="1"/>
      <c r="M186" s="1"/>
      <c r="BM186" s="1"/>
    </row>
    <row r="187" spans="2:65" x14ac:dyDescent="0.3">
      <c r="B187" s="1" t="s">
        <v>5</v>
      </c>
      <c r="C187">
        <f t="shared" ref="C187:K187" si="118">(C124+C126-8)/2</f>
        <v>0.13447004427468379</v>
      </c>
      <c r="D187">
        <f t="shared" si="118"/>
        <v>0.22796119660557324</v>
      </c>
      <c r="E187">
        <f t="shared" si="118"/>
        <v>2.7604618939174763E-2</v>
      </c>
      <c r="F187">
        <f t="shared" si="118"/>
        <v>8.8993311257984153E-2</v>
      </c>
      <c r="G187">
        <f t="shared" si="118"/>
        <v>0.15314515938125783</v>
      </c>
      <c r="H187">
        <f t="shared" si="118"/>
        <v>1.3541839100081887E-3</v>
      </c>
      <c r="I187">
        <f t="shared" si="118"/>
        <v>0.11524859738083038</v>
      </c>
      <c r="J187">
        <f t="shared" si="118"/>
        <v>0.22518814693005407</v>
      </c>
      <c r="K187" s="40">
        <f t="shared" si="118"/>
        <v>8.0253404381224414E-2</v>
      </c>
      <c r="L187" s="1"/>
      <c r="M187" s="2"/>
      <c r="N187" s="1"/>
      <c r="O187" s="1"/>
      <c r="BM187" s="1"/>
    </row>
    <row r="188" spans="2:65" x14ac:dyDescent="0.3">
      <c r="B188" t="s">
        <v>4</v>
      </c>
      <c r="C188">
        <f t="shared" ref="C188:K188" si="119">C133</f>
        <v>0.17430196562303329</v>
      </c>
      <c r="D188">
        <f t="shared" si="119"/>
        <v>0.15505592357686407</v>
      </c>
      <c r="E188">
        <f t="shared" si="119"/>
        <v>0.20308133925868052</v>
      </c>
      <c r="F188">
        <f t="shared" si="119"/>
        <v>0.1792847848903445</v>
      </c>
      <c r="G188">
        <f t="shared" si="119"/>
        <v>0.16637533481118744</v>
      </c>
      <c r="H188">
        <f t="shared" si="119"/>
        <v>0.20163991125811082</v>
      </c>
      <c r="I188">
        <f t="shared" si="119"/>
        <v>0.18688028292533349</v>
      </c>
      <c r="J188">
        <f t="shared" si="119"/>
        <v>0.15355479381267115</v>
      </c>
      <c r="K188" s="40">
        <f t="shared" si="119"/>
        <v>8.5098577867660938E-2</v>
      </c>
      <c r="L188" s="1"/>
      <c r="M188" s="1"/>
      <c r="BM188" s="1"/>
    </row>
    <row r="189" spans="2:65" x14ac:dyDescent="0.3">
      <c r="B189" s="1" t="s">
        <v>3</v>
      </c>
      <c r="C189">
        <f t="shared" ref="C189:K189" si="120">3-C131-C132-C133-C184</f>
        <v>0.25554785749888825</v>
      </c>
      <c r="D189">
        <f t="shared" si="120"/>
        <v>0.27850699311726757</v>
      </c>
      <c r="E189">
        <f t="shared" si="120"/>
        <v>0.27158528492075074</v>
      </c>
      <c r="F189">
        <f t="shared" si="120"/>
        <v>0.27332105826533082</v>
      </c>
      <c r="G189">
        <f t="shared" si="120"/>
        <v>0.30573391143921808</v>
      </c>
      <c r="H189">
        <f t="shared" si="120"/>
        <v>0.23702297505406494</v>
      </c>
      <c r="I189">
        <f t="shared" si="120"/>
        <v>0.26403256841988693</v>
      </c>
      <c r="J189">
        <f t="shared" si="120"/>
        <v>0.33331115505987019</v>
      </c>
      <c r="K189" s="40">
        <f t="shared" si="120"/>
        <v>0.74008504058219104</v>
      </c>
      <c r="L189" s="1"/>
      <c r="M189" s="1"/>
      <c r="N189" s="1"/>
      <c r="O189" s="1"/>
      <c r="BM189" s="1"/>
    </row>
    <row r="190" spans="2:65" x14ac:dyDescent="0.3">
      <c r="B190" t="s">
        <v>2</v>
      </c>
      <c r="C190">
        <f t="shared" ref="C190:K190" si="121">C131+C132+C184-2</f>
        <v>0.57015017687807834</v>
      </c>
      <c r="D190">
        <f t="shared" si="121"/>
        <v>0.56643708330586851</v>
      </c>
      <c r="E190">
        <f t="shared" si="121"/>
        <v>0.52533337582056872</v>
      </c>
      <c r="F190">
        <f t="shared" si="121"/>
        <v>0.5473941568443248</v>
      </c>
      <c r="G190">
        <f t="shared" si="121"/>
        <v>0.52789075374959449</v>
      </c>
      <c r="H190">
        <f t="shared" si="121"/>
        <v>0.56133711368782446</v>
      </c>
      <c r="I190">
        <f t="shared" si="121"/>
        <v>0.5490871486547797</v>
      </c>
      <c r="J190">
        <f t="shared" si="121"/>
        <v>0.51313405112745869</v>
      </c>
      <c r="K190" s="40">
        <f t="shared" si="121"/>
        <v>0.17481638155014823</v>
      </c>
    </row>
    <row r="191" spans="2:65" x14ac:dyDescent="0.3">
      <c r="B191" s="1" t="s">
        <v>1</v>
      </c>
      <c r="C191">
        <f t="shared" ref="C191:K191" si="122">(2-C131-C184)/2</f>
        <v>3.1659680223991238E-2</v>
      </c>
      <c r="D191">
        <f t="shared" si="122"/>
        <v>3.7272479921423352E-2</v>
      </c>
      <c r="E191">
        <f t="shared" si="122"/>
        <v>5.5132575525007832E-2</v>
      </c>
      <c r="F191">
        <f t="shared" si="122"/>
        <v>5.1842867951736205E-2</v>
      </c>
      <c r="G191">
        <f t="shared" si="122"/>
        <v>5.8295015293657992E-2</v>
      </c>
      <c r="H191">
        <f t="shared" si="122"/>
        <v>5.2667219599836446E-2</v>
      </c>
      <c r="I191">
        <f t="shared" si="122"/>
        <v>5.2512136253155761E-2</v>
      </c>
      <c r="J191">
        <f t="shared" si="122"/>
        <v>6.9246954527625748E-2</v>
      </c>
      <c r="K191" s="40">
        <f t="shared" si="122"/>
        <v>1.7495616413074733E-2</v>
      </c>
      <c r="N191" s="1"/>
      <c r="O191" s="1"/>
    </row>
    <row r="192" spans="2:65" x14ac:dyDescent="0.3">
      <c r="B192" t="s">
        <v>0</v>
      </c>
      <c r="C192">
        <f t="shared" ref="C192:K192" si="123">C131/2</f>
        <v>0.92529192523952375</v>
      </c>
      <c r="D192">
        <f t="shared" si="123"/>
        <v>0.94979312333236077</v>
      </c>
      <c r="E192">
        <f t="shared" si="123"/>
        <v>0.87594175969461108</v>
      </c>
      <c r="F192">
        <f t="shared" si="123"/>
        <v>0.8773079202967542</v>
      </c>
      <c r="G192">
        <f t="shared" si="123"/>
        <v>0.8861210011057451</v>
      </c>
      <c r="H192">
        <f t="shared" si="123"/>
        <v>0.85790308715868957</v>
      </c>
      <c r="I192">
        <f t="shared" si="123"/>
        <v>0.87594162869022152</v>
      </c>
      <c r="J192">
        <f t="shared" si="123"/>
        <v>0.88601876890685261</v>
      </c>
      <c r="K192" s="40">
        <f t="shared" si="123"/>
        <v>0.9728154905350247</v>
      </c>
    </row>
  </sheetData>
  <conditionalFormatting sqref="C115:K116 P115:BL116">
    <cfRule type="cellIs" dxfId="13" priority="12" operator="greaterThan">
      <formula>1</formula>
    </cfRule>
  </conditionalFormatting>
  <conditionalFormatting sqref="C108:K112 P108:BL112">
    <cfRule type="top10" dxfId="12" priority="14" bottom="1" rank="1"/>
  </conditionalFormatting>
  <conditionalFormatting sqref="C115:K116 P115:BL116">
    <cfRule type="top10" dxfId="11" priority="15" rank="1"/>
  </conditionalFormatting>
  <conditionalFormatting sqref="C117:K117 N117 P117:BL117">
    <cfRule type="top10" dxfId="10" priority="11" rank="1"/>
  </conditionalFormatting>
  <conditionalFormatting sqref="C117:K117 N117:BL117">
    <cfRule type="cellIs" dxfId="9" priority="10" operator="greaterThan">
      <formula>1</formula>
    </cfRule>
  </conditionalFormatting>
  <conditionalFormatting sqref="C118:K119 N118:BL119">
    <cfRule type="top10" dxfId="8" priority="9" rank="1"/>
  </conditionalFormatting>
  <conditionalFormatting sqref="C118:K119 N118:BL119">
    <cfRule type="cellIs" dxfId="7" priority="8" operator="greaterThan">
      <formula>1</formula>
    </cfRule>
  </conditionalFormatting>
  <conditionalFormatting sqref="A115:A116">
    <cfRule type="cellIs" dxfId="6" priority="5" operator="greaterThan">
      <formula>1</formula>
    </cfRule>
  </conditionalFormatting>
  <conditionalFormatting sqref="A108:A112">
    <cfRule type="top10" dxfId="5" priority="6" bottom="1" rank="1"/>
  </conditionalFormatting>
  <conditionalFormatting sqref="A115:A116">
    <cfRule type="top10" dxfId="4" priority="7" rank="1"/>
  </conditionalFormatting>
  <conditionalFormatting sqref="A117">
    <cfRule type="top10" dxfId="3" priority="4" rank="1"/>
  </conditionalFormatting>
  <conditionalFormatting sqref="A117">
    <cfRule type="cellIs" dxfId="2" priority="3" operator="greaterThan">
      <formula>1</formula>
    </cfRule>
  </conditionalFormatting>
  <conditionalFormatting sqref="A118:A119">
    <cfRule type="top10" dxfId="1" priority="2" rank="1"/>
  </conditionalFormatting>
  <conditionalFormatting sqref="A118:A11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1"/>
  <sheetViews>
    <sheetView workbookViewId="0">
      <selection activeCell="O1" sqref="O1:Y10"/>
    </sheetView>
  </sheetViews>
  <sheetFormatPr defaultRowHeight="14.4" x14ac:dyDescent="0.3"/>
  <sheetData>
    <row r="1" spans="1:25" ht="52.8" thickBot="1" x14ac:dyDescent="0.35">
      <c r="A1" s="21" t="s">
        <v>76</v>
      </c>
      <c r="B1" s="21" t="s">
        <v>77</v>
      </c>
      <c r="C1" s="21" t="s">
        <v>78</v>
      </c>
      <c r="D1" s="22" t="s">
        <v>79</v>
      </c>
      <c r="E1" s="21" t="s">
        <v>80</v>
      </c>
      <c r="F1" s="21" t="s">
        <v>81</v>
      </c>
      <c r="G1" s="21" t="s">
        <v>82</v>
      </c>
      <c r="H1" s="21" t="s">
        <v>83</v>
      </c>
      <c r="I1" s="21" t="s">
        <v>84</v>
      </c>
      <c r="J1" s="21" t="s">
        <v>85</v>
      </c>
      <c r="O1" s="25" t="s">
        <v>76</v>
      </c>
      <c r="P1" s="24">
        <v>40.57</v>
      </c>
      <c r="Q1" s="24">
        <v>39.450000000000003</v>
      </c>
      <c r="R1" s="24">
        <v>42.88</v>
      </c>
      <c r="S1" s="24">
        <v>42.2</v>
      </c>
      <c r="T1" s="24">
        <v>40.369999999999997</v>
      </c>
      <c r="U1" s="24">
        <v>43.4</v>
      </c>
      <c r="V1" s="24">
        <v>42.27</v>
      </c>
      <c r="W1" s="24">
        <v>41.2</v>
      </c>
      <c r="X1" s="24">
        <v>43.33</v>
      </c>
      <c r="Y1" s="24">
        <v>39.65</v>
      </c>
    </row>
    <row r="2" spans="1:25" ht="16.2" thickBot="1" x14ac:dyDescent="0.35">
      <c r="A2" s="23">
        <v>40.57</v>
      </c>
      <c r="B2" s="23">
        <v>2.4500000000000002</v>
      </c>
      <c r="C2" s="23">
        <v>12.82</v>
      </c>
      <c r="D2" s="23">
        <v>13.11</v>
      </c>
      <c r="E2" s="23">
        <v>0.26</v>
      </c>
      <c r="F2" s="23">
        <v>13.02</v>
      </c>
      <c r="G2" s="23">
        <v>11.63</v>
      </c>
      <c r="H2" s="23">
        <v>2.2000000000000002</v>
      </c>
      <c r="I2" s="23">
        <v>0.92</v>
      </c>
      <c r="J2" s="23">
        <v>0</v>
      </c>
      <c r="O2" s="25" t="s">
        <v>77</v>
      </c>
      <c r="P2" s="24">
        <v>2.4500000000000002</v>
      </c>
      <c r="Q2" s="24">
        <v>1.88</v>
      </c>
      <c r="R2" s="24">
        <v>3.46</v>
      </c>
      <c r="S2" s="24">
        <v>2.75</v>
      </c>
      <c r="T2" s="24">
        <v>2.2799999999999998</v>
      </c>
      <c r="U2" s="24">
        <v>3.39</v>
      </c>
      <c r="V2" s="24">
        <v>2.7</v>
      </c>
      <c r="W2" s="24">
        <v>2.02</v>
      </c>
      <c r="X2" s="24">
        <v>3.28</v>
      </c>
      <c r="Y2" s="24">
        <v>2.02</v>
      </c>
    </row>
    <row r="3" spans="1:25" ht="16.2" thickBot="1" x14ac:dyDescent="0.35">
      <c r="A3" s="23">
        <v>39.450000000000003</v>
      </c>
      <c r="B3" s="23">
        <v>1.88</v>
      </c>
      <c r="C3" s="23">
        <v>10.8</v>
      </c>
      <c r="D3" s="23">
        <v>11.85</v>
      </c>
      <c r="E3" s="23">
        <v>0</v>
      </c>
      <c r="F3" s="23">
        <v>11.32</v>
      </c>
      <c r="G3" s="23">
        <v>10.94</v>
      </c>
      <c r="H3" s="23">
        <v>2.04</v>
      </c>
      <c r="I3" s="23">
        <v>0.75</v>
      </c>
      <c r="J3" s="23">
        <v>0</v>
      </c>
      <c r="O3" s="25" t="s">
        <v>78</v>
      </c>
      <c r="P3" s="24">
        <v>12.82</v>
      </c>
      <c r="Q3" s="24">
        <v>10.8</v>
      </c>
      <c r="R3" s="24">
        <v>14.28</v>
      </c>
      <c r="S3" s="24">
        <v>11.1</v>
      </c>
      <c r="T3" s="24">
        <v>10.06</v>
      </c>
      <c r="U3" s="24">
        <v>12.15</v>
      </c>
      <c r="V3" s="24">
        <v>11.33</v>
      </c>
      <c r="W3" s="24">
        <v>10.91</v>
      </c>
      <c r="X3" s="24">
        <v>12.27</v>
      </c>
      <c r="Y3" s="24">
        <v>14.58</v>
      </c>
    </row>
    <row r="4" spans="1:25" ht="16.2" thickBot="1" x14ac:dyDescent="0.35">
      <c r="A4" s="23">
        <v>42.88</v>
      </c>
      <c r="B4" s="23">
        <v>3.46</v>
      </c>
      <c r="C4" s="23">
        <v>14.28</v>
      </c>
      <c r="D4" s="23">
        <v>15.99</v>
      </c>
      <c r="E4" s="23">
        <v>0.54</v>
      </c>
      <c r="F4" s="23">
        <v>14.25</v>
      </c>
      <c r="G4" s="23">
        <v>12.12</v>
      </c>
      <c r="H4" s="23">
        <v>2.4300000000000002</v>
      </c>
      <c r="I4" s="23">
        <v>1.18</v>
      </c>
      <c r="J4" s="23">
        <v>0.03</v>
      </c>
      <c r="O4" s="26" t="s">
        <v>79</v>
      </c>
      <c r="P4" s="24">
        <v>13.11</v>
      </c>
      <c r="Q4" s="24">
        <v>11.85</v>
      </c>
      <c r="R4" s="24">
        <v>15.99</v>
      </c>
      <c r="S4" s="24">
        <v>13.1</v>
      </c>
      <c r="T4" s="24">
        <v>11.76</v>
      </c>
      <c r="U4" s="24">
        <v>15.28</v>
      </c>
      <c r="V4" s="24">
        <v>13.3</v>
      </c>
      <c r="W4" s="24">
        <v>12.02</v>
      </c>
      <c r="X4" s="24">
        <v>14.63</v>
      </c>
      <c r="Y4" s="24">
        <v>12.26</v>
      </c>
    </row>
    <row r="5" spans="1:25" ht="16.2" thickBot="1" x14ac:dyDescent="0.35">
      <c r="A5" s="23">
        <v>42.2</v>
      </c>
      <c r="B5" s="23">
        <v>2.75</v>
      </c>
      <c r="C5" s="23">
        <v>11.1</v>
      </c>
      <c r="D5" s="23">
        <v>13.1</v>
      </c>
      <c r="E5" s="23">
        <v>0.39</v>
      </c>
      <c r="F5" s="23">
        <v>13.55</v>
      </c>
      <c r="G5" s="23">
        <v>11.07</v>
      </c>
      <c r="H5" s="23">
        <v>2.27</v>
      </c>
      <c r="I5" s="23">
        <v>0.95</v>
      </c>
      <c r="J5" s="23">
        <v>0.01</v>
      </c>
      <c r="O5" s="25" t="s">
        <v>80</v>
      </c>
      <c r="P5" s="24">
        <v>0.26</v>
      </c>
      <c r="Q5" s="24">
        <v>0</v>
      </c>
      <c r="R5" s="24">
        <v>0.54</v>
      </c>
      <c r="S5" s="24">
        <v>0.39</v>
      </c>
      <c r="T5" s="24">
        <v>0.19</v>
      </c>
      <c r="U5" s="24">
        <v>0.67</v>
      </c>
      <c r="V5" s="24">
        <v>0.4</v>
      </c>
      <c r="W5" s="24">
        <v>0.22</v>
      </c>
      <c r="X5" s="24">
        <v>0.62</v>
      </c>
      <c r="Y5" s="24">
        <v>0.13</v>
      </c>
    </row>
    <row r="6" spans="1:25" ht="16.2" thickBot="1" x14ac:dyDescent="0.35">
      <c r="A6" s="23">
        <v>40.369999999999997</v>
      </c>
      <c r="B6" s="23">
        <v>2.2799999999999998</v>
      </c>
      <c r="C6" s="23">
        <v>10.06</v>
      </c>
      <c r="D6" s="23">
        <v>11.76</v>
      </c>
      <c r="E6" s="23">
        <v>0.19</v>
      </c>
      <c r="F6" s="23">
        <v>12.41</v>
      </c>
      <c r="G6" s="23">
        <v>10.4</v>
      </c>
      <c r="H6" s="23">
        <v>2.09</v>
      </c>
      <c r="I6" s="23">
        <v>0.82</v>
      </c>
      <c r="J6" s="23">
        <v>0</v>
      </c>
      <c r="O6" s="25" t="s">
        <v>81</v>
      </c>
      <c r="P6" s="24">
        <v>13.02</v>
      </c>
      <c r="Q6" s="24">
        <v>11.32</v>
      </c>
      <c r="R6" s="24">
        <v>14.25</v>
      </c>
      <c r="S6" s="24">
        <v>13.55</v>
      </c>
      <c r="T6" s="24">
        <v>12.41</v>
      </c>
      <c r="U6" s="24">
        <v>14.38</v>
      </c>
      <c r="V6" s="24">
        <v>13.22</v>
      </c>
      <c r="W6" s="24">
        <v>12.02</v>
      </c>
      <c r="X6" s="24">
        <v>13.86</v>
      </c>
      <c r="Y6" s="24">
        <v>13.09</v>
      </c>
    </row>
    <row r="7" spans="1:25" ht="16.2" thickBot="1" x14ac:dyDescent="0.35">
      <c r="A7" s="23">
        <v>43.4</v>
      </c>
      <c r="B7" s="23">
        <v>3.39</v>
      </c>
      <c r="C7" s="23">
        <v>12.15</v>
      </c>
      <c r="D7" s="23">
        <v>15.28</v>
      </c>
      <c r="E7" s="23">
        <v>0.67</v>
      </c>
      <c r="F7" s="23">
        <v>14.38</v>
      </c>
      <c r="G7" s="23">
        <v>11.55</v>
      </c>
      <c r="H7" s="23">
        <v>2.48</v>
      </c>
      <c r="I7" s="23">
        <v>1.1399999999999999</v>
      </c>
      <c r="J7" s="23">
        <v>0.22</v>
      </c>
      <c r="O7" s="25" t="s">
        <v>82</v>
      </c>
      <c r="P7" s="24">
        <v>11.63</v>
      </c>
      <c r="Q7" s="24">
        <v>10.94</v>
      </c>
      <c r="R7" s="24">
        <v>12.12</v>
      </c>
      <c r="S7" s="24">
        <v>11.07</v>
      </c>
      <c r="T7" s="24">
        <v>10.4</v>
      </c>
      <c r="U7" s="24">
        <v>11.55</v>
      </c>
      <c r="V7" s="24">
        <v>11.05</v>
      </c>
      <c r="W7" s="24">
        <v>10.58</v>
      </c>
      <c r="X7" s="24">
        <v>11.53</v>
      </c>
      <c r="Y7" s="24">
        <v>11.96</v>
      </c>
    </row>
    <row r="8" spans="1:25" ht="16.2" thickBot="1" x14ac:dyDescent="0.35">
      <c r="A8" s="23">
        <v>42.27</v>
      </c>
      <c r="B8" s="23">
        <v>2.7</v>
      </c>
      <c r="C8" s="23">
        <v>11.33</v>
      </c>
      <c r="D8" s="23">
        <v>13.3</v>
      </c>
      <c r="E8" s="23">
        <v>0.4</v>
      </c>
      <c r="F8" s="23">
        <v>13.22</v>
      </c>
      <c r="G8" s="23">
        <v>11.05</v>
      </c>
      <c r="H8" s="23">
        <v>2.2799999999999998</v>
      </c>
      <c r="I8" s="23">
        <v>0.99</v>
      </c>
      <c r="J8" s="23">
        <v>0.01</v>
      </c>
      <c r="O8" s="25" t="s">
        <v>83</v>
      </c>
      <c r="P8" s="24">
        <v>2.2000000000000002</v>
      </c>
      <c r="Q8" s="24">
        <v>2.04</v>
      </c>
      <c r="R8" s="24">
        <v>2.4300000000000002</v>
      </c>
      <c r="S8" s="24">
        <v>2.27</v>
      </c>
      <c r="T8" s="24">
        <v>2.09</v>
      </c>
      <c r="U8" s="24">
        <v>2.48</v>
      </c>
      <c r="V8" s="24">
        <v>2.2799999999999998</v>
      </c>
      <c r="W8" s="24">
        <v>2.15</v>
      </c>
      <c r="X8" s="24">
        <v>2.46</v>
      </c>
      <c r="Y8" s="24">
        <v>2.13</v>
      </c>
    </row>
    <row r="9" spans="1:25" ht="16.2" thickBot="1" x14ac:dyDescent="0.35">
      <c r="A9" s="23">
        <v>41.2</v>
      </c>
      <c r="B9" s="23">
        <v>2.02</v>
      </c>
      <c r="C9" s="23">
        <v>10.91</v>
      </c>
      <c r="D9" s="23">
        <v>12.02</v>
      </c>
      <c r="E9" s="23">
        <v>0.22</v>
      </c>
      <c r="F9" s="23">
        <v>12.02</v>
      </c>
      <c r="G9" s="23">
        <v>10.58</v>
      </c>
      <c r="H9" s="23">
        <v>2.15</v>
      </c>
      <c r="I9" s="23">
        <v>0.77</v>
      </c>
      <c r="J9" s="23">
        <v>0</v>
      </c>
      <c r="O9" s="25" t="s">
        <v>84</v>
      </c>
      <c r="P9" s="24">
        <v>0.92</v>
      </c>
      <c r="Q9" s="24">
        <v>0.75</v>
      </c>
      <c r="R9" s="24">
        <v>1.18</v>
      </c>
      <c r="S9" s="24">
        <v>0.95</v>
      </c>
      <c r="T9" s="24">
        <v>0.82</v>
      </c>
      <c r="U9" s="24">
        <v>1.1399999999999999</v>
      </c>
      <c r="V9" s="24">
        <v>0.99</v>
      </c>
      <c r="W9" s="24">
        <v>0.77</v>
      </c>
      <c r="X9" s="24">
        <v>1.17</v>
      </c>
      <c r="Y9" s="24">
        <v>1.1599999999999999</v>
      </c>
    </row>
    <row r="10" spans="1:25" ht="16.2" thickBot="1" x14ac:dyDescent="0.35">
      <c r="A10" s="23">
        <v>43.33</v>
      </c>
      <c r="B10" s="23">
        <v>3.28</v>
      </c>
      <c r="C10" s="23">
        <v>12.27</v>
      </c>
      <c r="D10" s="23">
        <v>14.63</v>
      </c>
      <c r="E10" s="23">
        <v>0.62</v>
      </c>
      <c r="F10" s="23">
        <v>13.86</v>
      </c>
      <c r="G10" s="23">
        <v>11.53</v>
      </c>
      <c r="H10" s="23">
        <v>2.46</v>
      </c>
      <c r="I10" s="23">
        <v>1.17</v>
      </c>
      <c r="J10" s="23">
        <v>0.05</v>
      </c>
      <c r="O10" s="25" t="s">
        <v>85</v>
      </c>
      <c r="P10" s="24">
        <v>0</v>
      </c>
      <c r="Q10" s="24">
        <v>0</v>
      </c>
      <c r="R10" s="24">
        <v>0.03</v>
      </c>
      <c r="S10" s="24">
        <v>0.01</v>
      </c>
      <c r="T10" s="24">
        <v>0</v>
      </c>
      <c r="U10" s="24">
        <v>0.22</v>
      </c>
      <c r="V10" s="24">
        <v>0.01</v>
      </c>
      <c r="W10" s="24">
        <v>0</v>
      </c>
      <c r="X10" s="24">
        <v>0.05</v>
      </c>
      <c r="Y10" s="24">
        <v>0.01</v>
      </c>
    </row>
    <row r="11" spans="1:25" ht="15.6" x14ac:dyDescent="0.3">
      <c r="A11" s="23">
        <v>39.65</v>
      </c>
      <c r="B11" s="23">
        <v>2.02</v>
      </c>
      <c r="C11" s="23">
        <v>14.58</v>
      </c>
      <c r="D11" s="23">
        <v>12.26</v>
      </c>
      <c r="E11" s="23">
        <v>0.13</v>
      </c>
      <c r="F11" s="23">
        <v>13.09</v>
      </c>
      <c r="G11" s="23">
        <v>11.96</v>
      </c>
      <c r="H11" s="23">
        <v>2.13</v>
      </c>
      <c r="I11" s="23">
        <v>1.1599999999999999</v>
      </c>
      <c r="J11" s="23"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33A6-F6B0-4BFA-A944-0E3F6C79EA34}">
  <dimension ref="A1:R56"/>
  <sheetViews>
    <sheetView topLeftCell="A23" workbookViewId="0">
      <selection sqref="A1:R41"/>
    </sheetView>
  </sheetViews>
  <sheetFormatPr defaultRowHeight="14.4" x14ac:dyDescent="0.3"/>
  <sheetData>
    <row r="1" spans="1:18" x14ac:dyDescent="0.3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</row>
    <row r="2" spans="1:18" x14ac:dyDescent="0.3">
      <c r="A2" t="s">
        <v>131</v>
      </c>
      <c r="B2">
        <v>750</v>
      </c>
      <c r="C2">
        <v>715</v>
      </c>
      <c r="D2">
        <v>715</v>
      </c>
      <c r="E2">
        <v>730</v>
      </c>
      <c r="F2">
        <v>715</v>
      </c>
      <c r="G2">
        <v>730</v>
      </c>
      <c r="H2">
        <v>760</v>
      </c>
      <c r="I2">
        <v>705</v>
      </c>
      <c r="J2">
        <v>720</v>
      </c>
      <c r="K2">
        <v>680</v>
      </c>
      <c r="L2">
        <v>680</v>
      </c>
      <c r="M2">
        <v>700</v>
      </c>
      <c r="N2">
        <v>690</v>
      </c>
      <c r="O2">
        <v>760</v>
      </c>
      <c r="P2">
        <v>730</v>
      </c>
      <c r="Q2">
        <v>680</v>
      </c>
      <c r="R2">
        <v>810</v>
      </c>
    </row>
    <row r="3" spans="1:18" x14ac:dyDescent="0.3">
      <c r="A3" t="s">
        <v>132</v>
      </c>
      <c r="B3">
        <v>1</v>
      </c>
      <c r="C3">
        <v>2</v>
      </c>
      <c r="D3">
        <v>4.3</v>
      </c>
      <c r="E3">
        <v>10</v>
      </c>
      <c r="F3">
        <v>8</v>
      </c>
      <c r="G3">
        <v>10</v>
      </c>
      <c r="H3">
        <v>1</v>
      </c>
      <c r="I3">
        <v>2</v>
      </c>
      <c r="J3">
        <v>1.5</v>
      </c>
      <c r="K3">
        <v>4.3</v>
      </c>
      <c r="L3">
        <v>4.3</v>
      </c>
      <c r="M3">
        <v>2.5</v>
      </c>
      <c r="N3">
        <v>3</v>
      </c>
      <c r="O3">
        <v>0.8</v>
      </c>
      <c r="P3">
        <v>1.5</v>
      </c>
      <c r="Q3">
        <v>4.3</v>
      </c>
      <c r="R3">
        <v>1</v>
      </c>
    </row>
    <row r="4" spans="1:18" x14ac:dyDescent="0.3">
      <c r="A4" t="s">
        <v>133</v>
      </c>
      <c r="B4">
        <v>50.04</v>
      </c>
      <c r="C4">
        <v>48.42</v>
      </c>
      <c r="D4">
        <v>44.14</v>
      </c>
      <c r="E4">
        <v>43.22</v>
      </c>
      <c r="F4">
        <v>41.02</v>
      </c>
      <c r="G4">
        <v>41.28</v>
      </c>
      <c r="H4">
        <v>50.51</v>
      </c>
      <c r="I4">
        <v>48.72</v>
      </c>
      <c r="J4">
        <v>49.59</v>
      </c>
      <c r="K4">
        <v>43.95</v>
      </c>
      <c r="L4">
        <v>44.59</v>
      </c>
      <c r="M4">
        <v>47.08</v>
      </c>
      <c r="N4">
        <v>46</v>
      </c>
      <c r="O4">
        <v>53.55</v>
      </c>
      <c r="P4">
        <v>49.25</v>
      </c>
      <c r="Q4">
        <v>44.93</v>
      </c>
      <c r="R4">
        <v>52.82</v>
      </c>
    </row>
    <row r="5" spans="1:18" x14ac:dyDescent="0.3">
      <c r="A5" t="s">
        <v>134</v>
      </c>
      <c r="B5">
        <v>0.67</v>
      </c>
      <c r="C5">
        <v>0.91</v>
      </c>
      <c r="D5">
        <v>1.41</v>
      </c>
      <c r="E5">
        <v>1.22</v>
      </c>
      <c r="F5">
        <v>3.04</v>
      </c>
      <c r="G5">
        <v>2.8</v>
      </c>
      <c r="H5">
        <v>0.61</v>
      </c>
      <c r="I5">
        <v>0.65</v>
      </c>
      <c r="J5">
        <v>0.53</v>
      </c>
      <c r="K5">
        <v>0.65</v>
      </c>
      <c r="L5">
        <v>0.81</v>
      </c>
      <c r="M5">
        <v>1.05</v>
      </c>
      <c r="N5">
        <v>1.35</v>
      </c>
      <c r="O5">
        <v>0.25</v>
      </c>
      <c r="P5">
        <v>0.66</v>
      </c>
      <c r="Q5">
        <v>1.92</v>
      </c>
      <c r="R5">
        <v>0.97</v>
      </c>
    </row>
    <row r="6" spans="1:18" x14ac:dyDescent="0.3">
      <c r="A6" t="s">
        <v>135</v>
      </c>
      <c r="B6">
        <v>4.3099999999999996</v>
      </c>
      <c r="C6">
        <v>4.71</v>
      </c>
      <c r="D6">
        <v>9.6</v>
      </c>
      <c r="E6">
        <v>13.13</v>
      </c>
      <c r="F6">
        <v>12.29</v>
      </c>
      <c r="G6">
        <v>13</v>
      </c>
      <c r="H6">
        <v>3.85</v>
      </c>
      <c r="I6">
        <v>6.14</v>
      </c>
      <c r="J6">
        <v>4.5</v>
      </c>
      <c r="K6">
        <v>9.83</v>
      </c>
      <c r="L6">
        <v>9.9700000000000006</v>
      </c>
      <c r="M6">
        <v>8.26</v>
      </c>
      <c r="N6">
        <v>9.5</v>
      </c>
      <c r="O6">
        <v>1.63</v>
      </c>
      <c r="P6">
        <v>5.1100000000000003</v>
      </c>
      <c r="Q6">
        <v>9.33</v>
      </c>
      <c r="R6">
        <v>4</v>
      </c>
    </row>
    <row r="7" spans="1:18" x14ac:dyDescent="0.3">
      <c r="A7" t="s">
        <v>136</v>
      </c>
      <c r="B7">
        <v>0</v>
      </c>
      <c r="C7">
        <v>0.01</v>
      </c>
      <c r="D7">
        <v>0</v>
      </c>
      <c r="E7">
        <v>0</v>
      </c>
      <c r="F7">
        <v>0.05</v>
      </c>
      <c r="G7">
        <v>0</v>
      </c>
      <c r="H7">
        <v>0</v>
      </c>
      <c r="I7">
        <v>0</v>
      </c>
      <c r="J7">
        <v>0</v>
      </c>
      <c r="K7">
        <v>0</v>
      </c>
      <c r="L7">
        <v>0.04</v>
      </c>
      <c r="M7">
        <v>0</v>
      </c>
      <c r="N7">
        <v>0</v>
      </c>
      <c r="O7">
        <v>0</v>
      </c>
      <c r="P7">
        <v>0.05</v>
      </c>
      <c r="Q7">
        <v>0</v>
      </c>
      <c r="R7">
        <v>0.01</v>
      </c>
    </row>
    <row r="8" spans="1:18" x14ac:dyDescent="0.3">
      <c r="A8" t="s">
        <v>137</v>
      </c>
      <c r="B8">
        <v>17.48</v>
      </c>
      <c r="C8">
        <v>18.309999999999999</v>
      </c>
      <c r="D8">
        <v>19.18</v>
      </c>
      <c r="E8">
        <v>18.93</v>
      </c>
      <c r="F8">
        <v>17.760000000000002</v>
      </c>
      <c r="G8">
        <v>16.63</v>
      </c>
      <c r="H8">
        <v>17.59</v>
      </c>
      <c r="I8">
        <v>18.04</v>
      </c>
      <c r="J8">
        <v>19.420000000000002</v>
      </c>
      <c r="K8">
        <v>24.38</v>
      </c>
      <c r="L8">
        <v>22.94</v>
      </c>
      <c r="M8">
        <v>16.489999999999998</v>
      </c>
      <c r="N8">
        <v>15.72</v>
      </c>
      <c r="O8">
        <v>14.59</v>
      </c>
      <c r="P8">
        <v>17.21</v>
      </c>
      <c r="Q8">
        <v>14.74</v>
      </c>
      <c r="R8">
        <v>7.63</v>
      </c>
    </row>
    <row r="9" spans="1:18" x14ac:dyDescent="0.3">
      <c r="A9" t="s">
        <v>138</v>
      </c>
      <c r="B9">
        <v>0.44</v>
      </c>
      <c r="C9">
        <v>0.37</v>
      </c>
      <c r="D9">
        <v>0.35</v>
      </c>
      <c r="E9">
        <v>0.31</v>
      </c>
      <c r="F9">
        <v>0.27</v>
      </c>
      <c r="G9">
        <v>0.22</v>
      </c>
      <c r="H9">
        <v>0.4</v>
      </c>
      <c r="I9">
        <v>0.51</v>
      </c>
      <c r="J9">
        <v>0.6</v>
      </c>
      <c r="K9">
        <v>0.65</v>
      </c>
      <c r="L9">
        <v>0.68</v>
      </c>
      <c r="M9">
        <v>0.39</v>
      </c>
      <c r="N9">
        <v>0.36</v>
      </c>
      <c r="O9">
        <v>0.52</v>
      </c>
      <c r="P9">
        <v>0.8</v>
      </c>
      <c r="Q9">
        <v>0.27</v>
      </c>
      <c r="R9">
        <v>0.12</v>
      </c>
    </row>
    <row r="10" spans="1:18" x14ac:dyDescent="0.3">
      <c r="A10" t="s">
        <v>139</v>
      </c>
      <c r="B10">
        <v>12.68</v>
      </c>
      <c r="C10">
        <v>11.41</v>
      </c>
      <c r="D10">
        <v>10.039999999999999</v>
      </c>
      <c r="E10">
        <v>7.74</v>
      </c>
      <c r="F10">
        <v>9.73</v>
      </c>
      <c r="G10">
        <v>10.07</v>
      </c>
      <c r="H10">
        <v>12.69</v>
      </c>
      <c r="I10">
        <v>11.74</v>
      </c>
      <c r="J10">
        <v>11.89</v>
      </c>
      <c r="K10">
        <v>6.46</v>
      </c>
      <c r="L10">
        <v>6.43</v>
      </c>
      <c r="M10">
        <v>12.23</v>
      </c>
      <c r="N10">
        <v>12.02</v>
      </c>
      <c r="O10">
        <v>17.420000000000002</v>
      </c>
      <c r="P10">
        <v>12.54</v>
      </c>
      <c r="Q10">
        <v>13.78</v>
      </c>
      <c r="R10">
        <v>18.559999999999999</v>
      </c>
    </row>
    <row r="11" spans="1:18" x14ac:dyDescent="0.3">
      <c r="A11" t="s">
        <v>140</v>
      </c>
      <c r="B11">
        <v>11.06</v>
      </c>
      <c r="C11">
        <v>10.88</v>
      </c>
      <c r="D11">
        <v>10.42</v>
      </c>
      <c r="E11">
        <v>10.3</v>
      </c>
      <c r="F11">
        <v>10.210000000000001</v>
      </c>
      <c r="G11">
        <v>10.28</v>
      </c>
      <c r="H11">
        <v>10.73</v>
      </c>
      <c r="I11">
        <v>11.33</v>
      </c>
      <c r="J11">
        <v>9.76</v>
      </c>
      <c r="K11">
        <v>10.09</v>
      </c>
      <c r="L11">
        <v>10.46</v>
      </c>
      <c r="M11">
        <v>10.65</v>
      </c>
      <c r="N11">
        <v>10.23</v>
      </c>
      <c r="O11">
        <v>10.61</v>
      </c>
      <c r="P11">
        <v>10.54</v>
      </c>
      <c r="Q11">
        <v>10.14</v>
      </c>
      <c r="R11">
        <v>12.11</v>
      </c>
    </row>
    <row r="12" spans="1:18" x14ac:dyDescent="0.3">
      <c r="A12" t="s">
        <v>141</v>
      </c>
      <c r="B12">
        <v>0.92</v>
      </c>
      <c r="C12">
        <v>1.02</v>
      </c>
      <c r="D12">
        <v>1.57</v>
      </c>
      <c r="E12">
        <v>1.53</v>
      </c>
      <c r="F12">
        <v>1.91</v>
      </c>
      <c r="G12">
        <v>1.96</v>
      </c>
      <c r="H12">
        <v>0.87</v>
      </c>
      <c r="I12">
        <v>0.63</v>
      </c>
      <c r="J12">
        <v>0.8</v>
      </c>
      <c r="K12">
        <v>0.96</v>
      </c>
      <c r="L12">
        <v>1</v>
      </c>
      <c r="M12">
        <v>1.34</v>
      </c>
      <c r="N12">
        <v>1.55</v>
      </c>
      <c r="O12">
        <v>0.22</v>
      </c>
      <c r="P12">
        <v>0.8</v>
      </c>
      <c r="Q12">
        <v>1.84</v>
      </c>
      <c r="R12">
        <v>0.76</v>
      </c>
    </row>
    <row r="13" spans="1:18" x14ac:dyDescent="0.3">
      <c r="A13" t="s">
        <v>142</v>
      </c>
      <c r="B13">
        <v>0.39</v>
      </c>
      <c r="C13">
        <v>0.46</v>
      </c>
      <c r="D13">
        <v>1.02</v>
      </c>
      <c r="E13">
        <v>0.89</v>
      </c>
      <c r="F13">
        <v>0.95</v>
      </c>
      <c r="G13">
        <v>1</v>
      </c>
      <c r="H13">
        <v>0.37</v>
      </c>
      <c r="I13">
        <v>0.36</v>
      </c>
      <c r="J13">
        <v>0.42</v>
      </c>
      <c r="K13">
        <v>0.56000000000000005</v>
      </c>
      <c r="L13">
        <v>0.76</v>
      </c>
      <c r="M13">
        <v>0.62</v>
      </c>
      <c r="N13">
        <v>0.71</v>
      </c>
      <c r="O13">
        <v>0.22</v>
      </c>
      <c r="P13">
        <v>0.32</v>
      </c>
      <c r="Q13">
        <v>0.51</v>
      </c>
      <c r="R13">
        <v>0.46</v>
      </c>
    </row>
    <row r="14" spans="1:18" x14ac:dyDescent="0.3">
      <c r="A14" t="s">
        <v>143</v>
      </c>
      <c r="B14">
        <v>0.17599999999999999</v>
      </c>
      <c r="C14">
        <v>0.22500000000000001</v>
      </c>
      <c r="D14">
        <v>7.0999999999999994E-2</v>
      </c>
      <c r="E14">
        <v>2.4E-2</v>
      </c>
      <c r="F14">
        <v>2.4E-2</v>
      </c>
      <c r="G14">
        <v>2.5000000000000001E-2</v>
      </c>
      <c r="H14">
        <v>0.16700000000000001</v>
      </c>
      <c r="I14">
        <v>0.03</v>
      </c>
      <c r="J14">
        <v>2.5999999999999999E-2</v>
      </c>
      <c r="K14">
        <v>4.5999999999999999E-2</v>
      </c>
      <c r="L14">
        <v>3.6999999999999998E-2</v>
      </c>
      <c r="M14">
        <v>0.10299999999999999</v>
      </c>
      <c r="N14">
        <v>2.5999999999999999E-2</v>
      </c>
      <c r="O14">
        <v>8.0000000000000002E-3</v>
      </c>
      <c r="P14">
        <v>3.4000000000000002E-2</v>
      </c>
      <c r="Q14">
        <v>6.0000000000000001E-3</v>
      </c>
      <c r="R14">
        <v>7.5999999999999998E-2</v>
      </c>
    </row>
    <row r="15" spans="1:18" x14ac:dyDescent="0.3">
      <c r="A15" t="s">
        <v>11</v>
      </c>
      <c r="B15">
        <v>98.17</v>
      </c>
      <c r="C15">
        <v>96.73</v>
      </c>
      <c r="D15">
        <v>97.82</v>
      </c>
      <c r="E15">
        <v>97.3</v>
      </c>
      <c r="F15">
        <v>97.25</v>
      </c>
      <c r="G15">
        <v>97.26</v>
      </c>
      <c r="H15">
        <v>97.79</v>
      </c>
      <c r="I15">
        <v>98.14</v>
      </c>
      <c r="J15">
        <v>97.54</v>
      </c>
      <c r="K15">
        <v>97.58</v>
      </c>
      <c r="L15">
        <v>97.73</v>
      </c>
      <c r="M15">
        <v>98.22</v>
      </c>
      <c r="N15">
        <v>97.48</v>
      </c>
      <c r="O15">
        <v>99.01</v>
      </c>
      <c r="P15">
        <v>97.32</v>
      </c>
      <c r="Q15">
        <v>97.46</v>
      </c>
      <c r="R15">
        <v>97.51</v>
      </c>
    </row>
    <row r="16" spans="1:18" x14ac:dyDescent="0.3">
      <c r="A16" t="s">
        <v>28</v>
      </c>
      <c r="B16">
        <v>7.3529999999999998</v>
      </c>
      <c r="C16">
        <v>7.2809999999999997</v>
      </c>
      <c r="D16">
        <v>6.62</v>
      </c>
      <c r="E16">
        <v>6.5069999999999997</v>
      </c>
      <c r="F16">
        <v>6.1920000000000002</v>
      </c>
      <c r="G16">
        <v>6.194</v>
      </c>
      <c r="H16">
        <v>7.4390000000000001</v>
      </c>
      <c r="I16">
        <v>7.1630000000000003</v>
      </c>
      <c r="J16">
        <v>7.3559999999999999</v>
      </c>
      <c r="K16">
        <v>6.7050000000000001</v>
      </c>
      <c r="L16">
        <v>6.7910000000000004</v>
      </c>
      <c r="M16">
        <v>6.9029999999999996</v>
      </c>
      <c r="N16">
        <v>6.7750000000000004</v>
      </c>
      <c r="O16">
        <v>7.5910000000000002</v>
      </c>
      <c r="P16">
        <v>7.3159999999999998</v>
      </c>
      <c r="Q16">
        <v>6.577</v>
      </c>
      <c r="R16">
        <v>7.46</v>
      </c>
    </row>
    <row r="17" spans="1:18" x14ac:dyDescent="0.3">
      <c r="A17" t="s">
        <v>27</v>
      </c>
      <c r="B17">
        <v>0.64700000000000002</v>
      </c>
      <c r="C17">
        <v>0.71899999999999997</v>
      </c>
      <c r="D17">
        <v>1.38</v>
      </c>
      <c r="E17">
        <v>1.4930000000000001</v>
      </c>
      <c r="F17">
        <v>1.8080000000000001</v>
      </c>
      <c r="G17">
        <v>1.806</v>
      </c>
      <c r="H17">
        <v>0.56100000000000005</v>
      </c>
      <c r="I17">
        <v>0.83699999999999997</v>
      </c>
      <c r="J17">
        <v>0.64400000000000002</v>
      </c>
      <c r="K17">
        <v>1.2949999999999999</v>
      </c>
      <c r="L17">
        <v>1.2090000000000001</v>
      </c>
      <c r="M17">
        <v>1.097</v>
      </c>
      <c r="N17">
        <v>1.2250000000000001</v>
      </c>
      <c r="O17">
        <v>0.26600000000000001</v>
      </c>
      <c r="P17">
        <v>0.68400000000000005</v>
      </c>
      <c r="Q17">
        <v>1.423</v>
      </c>
      <c r="R17">
        <v>0.54</v>
      </c>
    </row>
    <row r="18" spans="1:18" x14ac:dyDescent="0.3">
      <c r="A18" t="s">
        <v>26</v>
      </c>
      <c r="B18">
        <v>8</v>
      </c>
      <c r="C18">
        <v>8</v>
      </c>
      <c r="D18">
        <v>8</v>
      </c>
      <c r="E18">
        <v>8</v>
      </c>
      <c r="F18">
        <v>8</v>
      </c>
      <c r="G18">
        <v>8</v>
      </c>
      <c r="H18">
        <v>8</v>
      </c>
      <c r="I18">
        <v>8</v>
      </c>
      <c r="J18">
        <v>8</v>
      </c>
      <c r="K18">
        <v>8</v>
      </c>
      <c r="L18">
        <v>8</v>
      </c>
      <c r="M18">
        <v>8</v>
      </c>
      <c r="N18">
        <v>8</v>
      </c>
      <c r="O18">
        <v>7.8570000000000002</v>
      </c>
      <c r="P18">
        <v>8</v>
      </c>
      <c r="Q18">
        <v>8</v>
      </c>
      <c r="R18">
        <v>8</v>
      </c>
    </row>
    <row r="19" spans="1:18" x14ac:dyDescent="0.3">
      <c r="A19" t="s">
        <v>25</v>
      </c>
      <c r="B19">
        <v>9.8000000000000004E-2</v>
      </c>
      <c r="C19">
        <v>0.114</v>
      </c>
      <c r="D19">
        <v>0.313</v>
      </c>
      <c r="E19">
        <v>0.83399999999999996</v>
      </c>
      <c r="F19">
        <v>0.376</v>
      </c>
      <c r="G19">
        <v>0.48899999999999999</v>
      </c>
      <c r="H19">
        <v>0.106</v>
      </c>
      <c r="I19">
        <v>0.22500000000000001</v>
      </c>
      <c r="J19">
        <v>0.14099999999999999</v>
      </c>
      <c r="K19">
        <v>0.46899999999999997</v>
      </c>
      <c r="L19">
        <v>0.57999999999999996</v>
      </c>
      <c r="M19">
        <v>0.33</v>
      </c>
      <c r="N19">
        <v>0.42099999999999999</v>
      </c>
      <c r="O19">
        <v>5.0000000000000001E-3</v>
      </c>
      <c r="P19">
        <v>0.30399999999999999</v>
      </c>
      <c r="Q19">
        <v>0.184</v>
      </c>
      <c r="R19">
        <v>0.125</v>
      </c>
    </row>
    <row r="20" spans="1:18" x14ac:dyDescent="0.3">
      <c r="A20" t="s">
        <v>24</v>
      </c>
      <c r="B20">
        <v>7.3999999999999996E-2</v>
      </c>
      <c r="C20">
        <v>0.10299999999999999</v>
      </c>
      <c r="D20">
        <v>0.159</v>
      </c>
      <c r="E20">
        <v>0.13900000000000001</v>
      </c>
      <c r="F20">
        <v>0.34499999999999997</v>
      </c>
      <c r="G20">
        <v>0.316</v>
      </c>
      <c r="H20">
        <v>6.7000000000000004E-2</v>
      </c>
      <c r="I20">
        <v>7.0999999999999994E-2</v>
      </c>
      <c r="J20">
        <v>5.8999999999999997E-2</v>
      </c>
      <c r="K20">
        <v>7.3999999999999996E-2</v>
      </c>
      <c r="L20">
        <v>9.2999999999999999E-2</v>
      </c>
      <c r="M20">
        <v>0.115</v>
      </c>
      <c r="N20">
        <v>0.15</v>
      </c>
      <c r="O20">
        <v>2.7E-2</v>
      </c>
      <c r="P20">
        <v>7.4999999999999997E-2</v>
      </c>
      <c r="Q20">
        <v>0.21099999999999999</v>
      </c>
      <c r="R20">
        <v>0.10299999999999999</v>
      </c>
    </row>
    <row r="21" spans="1:18" x14ac:dyDescent="0.3">
      <c r="A21" t="s">
        <v>23</v>
      </c>
      <c r="B21">
        <v>0.253</v>
      </c>
      <c r="C21">
        <v>0.23899999999999999</v>
      </c>
      <c r="D21">
        <v>0.40200000000000002</v>
      </c>
      <c r="E21">
        <v>0.16700000000000001</v>
      </c>
      <c r="F21">
        <v>0.29399999999999998</v>
      </c>
      <c r="G21">
        <v>0.26200000000000001</v>
      </c>
      <c r="H21">
        <v>0.248</v>
      </c>
      <c r="I21">
        <v>0.33400000000000002</v>
      </c>
      <c r="J21">
        <v>0.32700000000000001</v>
      </c>
      <c r="K21">
        <v>0.57699999999999996</v>
      </c>
      <c r="L21">
        <v>0.20300000000000001</v>
      </c>
      <c r="M21">
        <v>0.35299999999999998</v>
      </c>
      <c r="N21">
        <v>0.29399999999999998</v>
      </c>
      <c r="O21">
        <v>0.41799999999999998</v>
      </c>
      <c r="P21">
        <v>0.24399999999999999</v>
      </c>
      <c r="Q21">
        <v>0.51300000000000001</v>
      </c>
      <c r="R21">
        <v>0.104</v>
      </c>
    </row>
    <row r="22" spans="1:18" x14ac:dyDescent="0.3">
      <c r="A22" t="s">
        <v>22</v>
      </c>
      <c r="B22">
        <v>0</v>
      </c>
      <c r="C22">
        <v>1E-3</v>
      </c>
      <c r="D22">
        <v>0</v>
      </c>
      <c r="E22">
        <v>0</v>
      </c>
      <c r="F22">
        <v>6.0000000000000001E-3</v>
      </c>
      <c r="G22">
        <v>0</v>
      </c>
      <c r="H22">
        <v>0</v>
      </c>
      <c r="I22">
        <v>0</v>
      </c>
      <c r="J22">
        <v>0</v>
      </c>
      <c r="K22">
        <v>0</v>
      </c>
      <c r="L22">
        <v>5.0000000000000001E-3</v>
      </c>
      <c r="M22">
        <v>0</v>
      </c>
      <c r="N22">
        <v>0</v>
      </c>
      <c r="O22">
        <v>0</v>
      </c>
      <c r="P22">
        <v>3.0000000000000001E-3</v>
      </c>
      <c r="Q22">
        <v>0</v>
      </c>
      <c r="R22">
        <v>1E-3</v>
      </c>
    </row>
    <row r="23" spans="1:18" x14ac:dyDescent="0.3">
      <c r="A23" t="s">
        <v>19</v>
      </c>
      <c r="B23">
        <v>1.5740000000000001</v>
      </c>
      <c r="C23">
        <v>1.5429999999999999</v>
      </c>
      <c r="D23">
        <v>1.1259999999999999</v>
      </c>
      <c r="E23">
        <v>0.85899999999999999</v>
      </c>
      <c r="F23">
        <v>0.97899999999999998</v>
      </c>
      <c r="G23">
        <v>0.93400000000000005</v>
      </c>
      <c r="H23">
        <v>1.579</v>
      </c>
      <c r="I23">
        <v>1.369</v>
      </c>
      <c r="J23">
        <v>1.472</v>
      </c>
      <c r="K23">
        <v>0.88</v>
      </c>
      <c r="L23">
        <v>1.119</v>
      </c>
      <c r="M23">
        <v>1.202</v>
      </c>
      <c r="N23">
        <v>1.135</v>
      </c>
      <c r="O23">
        <v>1.6930000000000001</v>
      </c>
      <c r="P23">
        <v>1.375</v>
      </c>
      <c r="Q23">
        <v>1.0920000000000001</v>
      </c>
      <c r="R23">
        <v>1.667</v>
      </c>
    </row>
    <row r="24" spans="1:18" x14ac:dyDescent="0.3">
      <c r="A24" t="s">
        <v>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 t="s">
        <v>144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2.1429999999999998</v>
      </c>
      <c r="P25">
        <v>2</v>
      </c>
      <c r="Q25">
        <v>2</v>
      </c>
      <c r="R25">
        <v>2</v>
      </c>
    </row>
    <row r="26" spans="1:18" x14ac:dyDescent="0.3">
      <c r="A26" t="s">
        <v>19</v>
      </c>
      <c r="B26">
        <v>1.2170000000000001</v>
      </c>
      <c r="C26">
        <v>1.03</v>
      </c>
      <c r="D26">
        <v>1.131</v>
      </c>
      <c r="E26">
        <v>0.88800000000000001</v>
      </c>
      <c r="F26">
        <v>1.2230000000000001</v>
      </c>
      <c r="G26">
        <v>1.3320000000000001</v>
      </c>
      <c r="H26">
        <v>1.224</v>
      </c>
      <c r="I26">
        <v>1.22</v>
      </c>
      <c r="J26">
        <v>1.175</v>
      </c>
      <c r="K26">
        <v>0.59599999999999997</v>
      </c>
      <c r="L26">
        <v>0.34499999999999997</v>
      </c>
      <c r="M26">
        <v>1.4890000000000001</v>
      </c>
      <c r="N26">
        <v>1.52</v>
      </c>
      <c r="O26">
        <v>2.0219999999999998</v>
      </c>
      <c r="P26">
        <v>1.173</v>
      </c>
      <c r="Q26">
        <v>1.9330000000000001</v>
      </c>
      <c r="R26">
        <v>2.2490000000000001</v>
      </c>
    </row>
    <row r="27" spans="1:18" x14ac:dyDescent="0.3">
      <c r="A27" t="s">
        <v>18</v>
      </c>
      <c r="B27">
        <v>1.7829999999999999</v>
      </c>
      <c r="C27">
        <v>1.97</v>
      </c>
      <c r="D27">
        <v>1.869</v>
      </c>
      <c r="E27">
        <v>2.1120000000000001</v>
      </c>
      <c r="F27">
        <v>1.7769999999999999</v>
      </c>
      <c r="G27">
        <v>1.6679999999999999</v>
      </c>
      <c r="H27">
        <v>1.776</v>
      </c>
      <c r="I27">
        <v>1.78</v>
      </c>
      <c r="J27">
        <v>1.825</v>
      </c>
      <c r="K27">
        <v>2.4039999999999999</v>
      </c>
      <c r="L27">
        <v>2.6549999999999998</v>
      </c>
      <c r="M27">
        <v>1.5109999999999999</v>
      </c>
      <c r="N27">
        <v>1.476</v>
      </c>
      <c r="O27">
        <v>0.97799999999999998</v>
      </c>
      <c r="P27">
        <v>1.827</v>
      </c>
      <c r="Q27">
        <v>1.0669999999999999</v>
      </c>
      <c r="R27">
        <v>0.751</v>
      </c>
    </row>
    <row r="28" spans="1:18" x14ac:dyDescent="0.3">
      <c r="A28" t="s">
        <v>17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4.0000000000000001E-3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t="s">
        <v>20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</row>
    <row r="30" spans="1:18" x14ac:dyDescent="0.3">
      <c r="A30" t="s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t="s">
        <v>18</v>
      </c>
      <c r="B31">
        <v>0.108</v>
      </c>
      <c r="C31">
        <v>8.6999999999999994E-2</v>
      </c>
      <c r="D31">
        <v>0.128</v>
      </c>
      <c r="E31">
        <v>9.6000000000000002E-2</v>
      </c>
      <c r="F31">
        <v>0.16300000000000001</v>
      </c>
      <c r="G31">
        <v>0.15</v>
      </c>
      <c r="H31">
        <v>0.13600000000000001</v>
      </c>
      <c r="I31">
        <v>9.7000000000000003E-2</v>
      </c>
      <c r="J31">
        <v>0.248</v>
      </c>
      <c r="K31">
        <v>0.121</v>
      </c>
      <c r="L31">
        <v>5.8999999999999997E-2</v>
      </c>
      <c r="M31">
        <v>0.155</v>
      </c>
      <c r="N31">
        <v>0.16500000000000001</v>
      </c>
      <c r="O31">
        <v>0.32700000000000001</v>
      </c>
      <c r="P31">
        <v>0.1</v>
      </c>
      <c r="Q31">
        <v>0.22800000000000001</v>
      </c>
      <c r="R31">
        <v>4.2999999999999997E-2</v>
      </c>
    </row>
    <row r="32" spans="1:18" x14ac:dyDescent="0.3">
      <c r="A32" t="s">
        <v>17</v>
      </c>
      <c r="B32">
        <v>5.5E-2</v>
      </c>
      <c r="C32">
        <v>4.7E-2</v>
      </c>
      <c r="D32">
        <v>4.4999999999999998E-2</v>
      </c>
      <c r="E32">
        <v>0.04</v>
      </c>
      <c r="F32">
        <v>3.4000000000000002E-2</v>
      </c>
      <c r="G32">
        <v>2.8000000000000001E-2</v>
      </c>
      <c r="H32">
        <v>4.9000000000000002E-2</v>
      </c>
      <c r="I32">
        <v>6.3E-2</v>
      </c>
      <c r="J32">
        <v>7.4999999999999997E-2</v>
      </c>
      <c r="K32">
        <v>8.4000000000000005E-2</v>
      </c>
      <c r="L32">
        <v>8.7999999999999995E-2</v>
      </c>
      <c r="M32">
        <v>4.8000000000000001E-2</v>
      </c>
      <c r="N32">
        <v>4.1000000000000002E-2</v>
      </c>
      <c r="O32">
        <v>6.2E-2</v>
      </c>
      <c r="P32">
        <v>9.8000000000000004E-2</v>
      </c>
      <c r="Q32">
        <v>3.4000000000000002E-2</v>
      </c>
      <c r="R32">
        <v>1.4999999999999999E-2</v>
      </c>
    </row>
    <row r="33" spans="1:18" x14ac:dyDescent="0.3">
      <c r="A33" t="s">
        <v>16</v>
      </c>
      <c r="B33">
        <v>1.742</v>
      </c>
      <c r="C33">
        <v>1.754</v>
      </c>
      <c r="D33">
        <v>1.675</v>
      </c>
      <c r="E33">
        <v>1.6619999999999999</v>
      </c>
      <c r="F33">
        <v>1.651</v>
      </c>
      <c r="G33">
        <v>1.653</v>
      </c>
      <c r="H33">
        <v>1.6919999999999999</v>
      </c>
      <c r="I33">
        <v>1.7849999999999999</v>
      </c>
      <c r="J33">
        <v>1.552</v>
      </c>
      <c r="K33">
        <v>1.649</v>
      </c>
      <c r="L33">
        <v>1.708</v>
      </c>
      <c r="M33">
        <v>1.6739999999999999</v>
      </c>
      <c r="N33">
        <v>1.615</v>
      </c>
      <c r="O33">
        <v>1.611</v>
      </c>
      <c r="P33">
        <v>1.6040000000000001</v>
      </c>
      <c r="Q33">
        <v>1.591</v>
      </c>
      <c r="R33">
        <v>1.833</v>
      </c>
    </row>
    <row r="34" spans="1:18" x14ac:dyDescent="0.3">
      <c r="A34" t="s">
        <v>14</v>
      </c>
      <c r="B34">
        <v>9.6000000000000002E-2</v>
      </c>
      <c r="C34">
        <v>0.113</v>
      </c>
      <c r="D34">
        <v>0.152</v>
      </c>
      <c r="E34">
        <v>0.20200000000000001</v>
      </c>
      <c r="F34">
        <v>0.151</v>
      </c>
      <c r="G34">
        <v>0.16900000000000001</v>
      </c>
      <c r="H34">
        <v>0.122</v>
      </c>
      <c r="I34">
        <v>5.5E-2</v>
      </c>
      <c r="J34">
        <v>0.124</v>
      </c>
      <c r="K34">
        <v>0.14599999999999999</v>
      </c>
      <c r="L34">
        <v>0.14499999999999999</v>
      </c>
      <c r="M34">
        <v>0.123</v>
      </c>
      <c r="N34">
        <v>0.17799999999999999</v>
      </c>
      <c r="O34">
        <v>0</v>
      </c>
      <c r="P34">
        <v>0.19800000000000001</v>
      </c>
      <c r="Q34">
        <v>0.14699999999999999</v>
      </c>
      <c r="R34">
        <v>0.109</v>
      </c>
    </row>
    <row r="35" spans="1:18" x14ac:dyDescent="0.3">
      <c r="A35" t="s">
        <v>15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</row>
    <row r="36" spans="1:18" x14ac:dyDescent="0.3">
      <c r="A36" t="s">
        <v>14</v>
      </c>
      <c r="B36">
        <v>0.16600000000000001</v>
      </c>
      <c r="C36">
        <v>0.182</v>
      </c>
      <c r="D36">
        <v>0.30399999999999999</v>
      </c>
      <c r="E36">
        <v>0.245</v>
      </c>
      <c r="F36">
        <v>0.40799999999999997</v>
      </c>
      <c r="G36">
        <v>0.4</v>
      </c>
      <c r="H36">
        <v>0.126</v>
      </c>
      <c r="I36">
        <v>0.123</v>
      </c>
      <c r="J36">
        <v>0.107</v>
      </c>
      <c r="K36">
        <v>0.13900000000000001</v>
      </c>
      <c r="L36">
        <v>0.151</v>
      </c>
      <c r="M36">
        <v>0.25700000000000001</v>
      </c>
      <c r="N36">
        <v>0.26400000000000001</v>
      </c>
      <c r="O36">
        <v>6.0999999999999999E-2</v>
      </c>
      <c r="P36">
        <v>8.6999999999999994E-2</v>
      </c>
      <c r="Q36">
        <v>0.373</v>
      </c>
      <c r="R36">
        <v>9.8000000000000004E-2</v>
      </c>
    </row>
    <row r="37" spans="1:18" x14ac:dyDescent="0.3">
      <c r="A37" t="s">
        <v>13</v>
      </c>
      <c r="B37">
        <v>7.3999999999999996E-2</v>
      </c>
      <c r="C37">
        <v>8.8999999999999996E-2</v>
      </c>
      <c r="D37">
        <v>0.19500000000000001</v>
      </c>
      <c r="E37">
        <v>0.17100000000000001</v>
      </c>
      <c r="F37">
        <v>0.184</v>
      </c>
      <c r="G37">
        <v>0.191</v>
      </c>
      <c r="H37">
        <v>6.9000000000000006E-2</v>
      </c>
      <c r="I37">
        <v>6.7000000000000004E-2</v>
      </c>
      <c r="J37">
        <v>0.08</v>
      </c>
      <c r="K37">
        <v>0.109</v>
      </c>
      <c r="L37">
        <v>0.14799999999999999</v>
      </c>
      <c r="M37">
        <v>0.11700000000000001</v>
      </c>
      <c r="N37">
        <v>0.13300000000000001</v>
      </c>
      <c r="O37">
        <v>3.9E-2</v>
      </c>
      <c r="P37">
        <v>9.0999999999999998E-2</v>
      </c>
      <c r="Q37">
        <v>9.6000000000000002E-2</v>
      </c>
      <c r="R37">
        <v>8.3000000000000004E-2</v>
      </c>
    </row>
    <row r="38" spans="1:18" x14ac:dyDescent="0.3">
      <c r="A38" t="s">
        <v>12</v>
      </c>
      <c r="B38">
        <v>0.24</v>
      </c>
      <c r="C38">
        <v>0.27100000000000002</v>
      </c>
      <c r="D38">
        <v>0.499</v>
      </c>
      <c r="E38">
        <v>0.41599999999999998</v>
      </c>
      <c r="F38">
        <v>0.59199999999999997</v>
      </c>
      <c r="G38">
        <v>0.59099999999999997</v>
      </c>
      <c r="H38">
        <v>0.19500000000000001</v>
      </c>
      <c r="I38">
        <v>0.19</v>
      </c>
      <c r="J38">
        <v>0.187</v>
      </c>
      <c r="K38">
        <v>0.248</v>
      </c>
      <c r="L38">
        <v>0.29899999999999999</v>
      </c>
      <c r="M38">
        <v>0.374</v>
      </c>
      <c r="N38">
        <v>0.39700000000000002</v>
      </c>
      <c r="O38">
        <v>0.1</v>
      </c>
      <c r="P38">
        <v>0.17799999999999999</v>
      </c>
      <c r="Q38">
        <v>0.46800000000000003</v>
      </c>
      <c r="R38">
        <v>0.182</v>
      </c>
    </row>
    <row r="39" spans="1:18" x14ac:dyDescent="0.3">
      <c r="A39" t="s">
        <v>11</v>
      </c>
      <c r="B39">
        <v>15.24</v>
      </c>
      <c r="C39">
        <v>15.271000000000001</v>
      </c>
      <c r="D39">
        <v>15.499000000000001</v>
      </c>
      <c r="E39">
        <v>15.416</v>
      </c>
      <c r="F39">
        <v>15.592000000000001</v>
      </c>
      <c r="G39">
        <v>15.590999999999999</v>
      </c>
      <c r="H39">
        <v>15.195</v>
      </c>
      <c r="I39">
        <v>15.19</v>
      </c>
      <c r="J39">
        <v>15.186999999999999</v>
      </c>
      <c r="K39">
        <v>15.247999999999999</v>
      </c>
      <c r="L39">
        <v>15.298999999999999</v>
      </c>
      <c r="M39">
        <v>15.374000000000001</v>
      </c>
      <c r="N39">
        <v>15.397</v>
      </c>
      <c r="O39">
        <v>15.2</v>
      </c>
      <c r="P39">
        <v>15.178000000000001</v>
      </c>
      <c r="Q39">
        <v>15.468</v>
      </c>
      <c r="R39">
        <v>15.182</v>
      </c>
    </row>
    <row r="40" spans="1:18" x14ac:dyDescent="0.3">
      <c r="A40" t="s">
        <v>145</v>
      </c>
      <c r="B40">
        <v>0.56599999999999995</v>
      </c>
      <c r="C40">
        <v>0.52900000000000003</v>
      </c>
      <c r="D40">
        <v>0.48499999999999999</v>
      </c>
      <c r="E40">
        <v>0.42399999999999999</v>
      </c>
      <c r="F40">
        <v>0.496</v>
      </c>
      <c r="G40">
        <v>0.52100000000000002</v>
      </c>
      <c r="H40">
        <v>0.56499999999999995</v>
      </c>
      <c r="I40">
        <v>0.53900000000000003</v>
      </c>
      <c r="J40">
        <v>0.52400000000000002</v>
      </c>
      <c r="K40">
        <v>0.32200000000000001</v>
      </c>
      <c r="L40">
        <v>0.33400000000000002</v>
      </c>
      <c r="M40">
        <v>0.57099999999999995</v>
      </c>
      <c r="N40">
        <v>0.57799999999999996</v>
      </c>
      <c r="O40">
        <v>0.68300000000000005</v>
      </c>
      <c r="P40">
        <v>0.54</v>
      </c>
      <c r="Q40">
        <v>0.626</v>
      </c>
      <c r="R40">
        <v>0.81399999999999995</v>
      </c>
    </row>
    <row r="41" spans="1:18" x14ac:dyDescent="0.3">
      <c r="A41" t="s">
        <v>146</v>
      </c>
      <c r="B41">
        <v>0.745</v>
      </c>
      <c r="C41">
        <v>0.83299999999999996</v>
      </c>
      <c r="D41">
        <v>1.6919999999999999</v>
      </c>
      <c r="E41">
        <v>2.327</v>
      </c>
      <c r="F41">
        <v>2.1840000000000002</v>
      </c>
      <c r="G41">
        <v>2.294</v>
      </c>
      <c r="H41">
        <v>0.66700000000000004</v>
      </c>
      <c r="I41">
        <v>1.0629999999999999</v>
      </c>
      <c r="J41">
        <v>0.78500000000000003</v>
      </c>
      <c r="K41">
        <v>1.764</v>
      </c>
      <c r="L41">
        <v>1.79</v>
      </c>
      <c r="M41">
        <v>1.4259999999999999</v>
      </c>
      <c r="N41">
        <v>1.6459999999999999</v>
      </c>
      <c r="O41">
        <v>0.27100000000000002</v>
      </c>
      <c r="P41">
        <v>0.88500000000000001</v>
      </c>
      <c r="Q41">
        <v>1.607</v>
      </c>
      <c r="R41">
        <v>0.66500000000000004</v>
      </c>
    </row>
    <row r="42" spans="1:18" x14ac:dyDescent="0.3">
      <c r="A42" t="s">
        <v>147</v>
      </c>
      <c r="B42">
        <v>0.11899999999999999</v>
      </c>
      <c r="C42">
        <v>6.0999999999999999E-2</v>
      </c>
      <c r="D42">
        <v>0.127</v>
      </c>
      <c r="E42">
        <v>9.0999999999999998E-2</v>
      </c>
      <c r="F42">
        <v>4.8000000000000001E-2</v>
      </c>
      <c r="G42">
        <v>7.2999999999999995E-2</v>
      </c>
      <c r="H42">
        <v>3.6999999999999998E-2</v>
      </c>
      <c r="I42">
        <v>0.121</v>
      </c>
      <c r="J42">
        <v>0.121</v>
      </c>
      <c r="K42">
        <v>4.2999999999999997E-2</v>
      </c>
      <c r="L42">
        <v>0.26200000000000001</v>
      </c>
      <c r="M42">
        <v>0.14299999999999999</v>
      </c>
      <c r="N42">
        <v>0.112</v>
      </c>
      <c r="O42">
        <v>4.9000000000000002E-2</v>
      </c>
      <c r="P42">
        <v>5.2999999999999999E-2</v>
      </c>
      <c r="Q42">
        <v>9.9000000000000005E-2</v>
      </c>
      <c r="R42">
        <v>7.0000000000000007E-2</v>
      </c>
    </row>
    <row r="43" spans="1:18" x14ac:dyDescent="0.3">
      <c r="A43" t="s">
        <v>148</v>
      </c>
      <c r="B43">
        <v>6</v>
      </c>
      <c r="C43">
        <v>15</v>
      </c>
      <c r="D43">
        <v>3</v>
      </c>
      <c r="E43">
        <v>5</v>
      </c>
      <c r="F43">
        <v>6</v>
      </c>
      <c r="G43">
        <v>7</v>
      </c>
      <c r="H43">
        <v>5</v>
      </c>
      <c r="I43">
        <v>2</v>
      </c>
      <c r="J43">
        <v>6</v>
      </c>
      <c r="K43">
        <v>3</v>
      </c>
      <c r="L43">
        <v>4</v>
      </c>
      <c r="M43">
        <v>5</v>
      </c>
      <c r="N43">
        <v>8</v>
      </c>
      <c r="O43">
        <v>3</v>
      </c>
      <c r="P43">
        <v>3</v>
      </c>
      <c r="Q43">
        <v>8</v>
      </c>
      <c r="R43">
        <v>3</v>
      </c>
    </row>
    <row r="44" spans="1:18" x14ac:dyDescent="0.3">
      <c r="A44" t="s">
        <v>149</v>
      </c>
    </row>
    <row r="45" spans="1:18" x14ac:dyDescent="0.3">
      <c r="A45" t="s">
        <v>150</v>
      </c>
    </row>
    <row r="46" spans="1:18" x14ac:dyDescent="0.3">
      <c r="A46" t="s">
        <v>151</v>
      </c>
    </row>
    <row r="47" spans="1:18" x14ac:dyDescent="0.3">
      <c r="A47" t="s">
        <v>152</v>
      </c>
    </row>
    <row r="48" spans="1:18" x14ac:dyDescent="0.3">
      <c r="A48" t="s">
        <v>153</v>
      </c>
    </row>
    <row r="49" spans="1:1" x14ac:dyDescent="0.3">
      <c r="A49" t="s">
        <v>154</v>
      </c>
    </row>
    <row r="50" spans="1:1" x14ac:dyDescent="0.3">
      <c r="A50" t="s">
        <v>155</v>
      </c>
    </row>
    <row r="51" spans="1:1" x14ac:dyDescent="0.3">
      <c r="A51" t="s">
        <v>156</v>
      </c>
    </row>
    <row r="53" spans="1:1" x14ac:dyDescent="0.3">
      <c r="A53" t="s">
        <v>157</v>
      </c>
    </row>
    <row r="55" spans="1:1" x14ac:dyDescent="0.3">
      <c r="A55" t="s">
        <v>158</v>
      </c>
    </row>
    <row r="56" spans="1:1" x14ac:dyDescent="0.3">
      <c r="A56" t="s">
        <v>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B6E51-8AE5-42DB-A2C1-A5912F5B3424}">
  <dimension ref="A1:BF18"/>
  <sheetViews>
    <sheetView topLeftCell="AJ1" workbookViewId="0">
      <selection activeCell="AO1" sqref="AO1"/>
    </sheetView>
  </sheetViews>
  <sheetFormatPr defaultRowHeight="14.4" x14ac:dyDescent="0.3"/>
  <sheetData>
    <row r="1" spans="1:58" x14ac:dyDescent="0.3">
      <c r="A1" t="s">
        <v>113</v>
      </c>
      <c r="B1" t="s">
        <v>131</v>
      </c>
      <c r="C1" t="s">
        <v>132</v>
      </c>
      <c r="D1" t="s">
        <v>76</v>
      </c>
      <c r="E1" t="s">
        <v>77</v>
      </c>
      <c r="F1" t="s">
        <v>78</v>
      </c>
      <c r="G1" t="s">
        <v>85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143</v>
      </c>
      <c r="O1" t="s">
        <v>11</v>
      </c>
      <c r="P1" t="s">
        <v>28</v>
      </c>
      <c r="Q1" t="s">
        <v>27</v>
      </c>
      <c r="R1" t="s">
        <v>26</v>
      </c>
      <c r="S1" t="s">
        <v>25</v>
      </c>
      <c r="T1" t="s">
        <v>24</v>
      </c>
      <c r="U1" t="s">
        <v>23</v>
      </c>
      <c r="V1" t="s">
        <v>22</v>
      </c>
      <c r="W1" t="s">
        <v>19</v>
      </c>
      <c r="X1" t="s">
        <v>18</v>
      </c>
      <c r="Y1" t="s">
        <v>144</v>
      </c>
      <c r="Z1" t="s">
        <v>19</v>
      </c>
      <c r="AA1" t="s">
        <v>18</v>
      </c>
      <c r="AB1" t="s">
        <v>17</v>
      </c>
      <c r="AC1" t="s">
        <v>20</v>
      </c>
      <c r="AD1" t="s">
        <v>19</v>
      </c>
      <c r="AE1" t="s">
        <v>18</v>
      </c>
      <c r="AF1" t="s">
        <v>17</v>
      </c>
      <c r="AG1" t="s">
        <v>16</v>
      </c>
      <c r="AH1" t="s">
        <v>14</v>
      </c>
      <c r="AI1" t="s">
        <v>15</v>
      </c>
      <c r="AJ1" t="s">
        <v>14</v>
      </c>
      <c r="AK1" t="s">
        <v>13</v>
      </c>
      <c r="AL1" t="s">
        <v>12</v>
      </c>
      <c r="AM1" t="s">
        <v>11</v>
      </c>
      <c r="AN1" t="s">
        <v>145</v>
      </c>
      <c r="AO1" t="s">
        <v>146</v>
      </c>
      <c r="AP1" t="s">
        <v>160</v>
      </c>
      <c r="AQ1" t="s">
        <v>161</v>
      </c>
    </row>
    <row r="2" spans="1:58" x14ac:dyDescent="0.3">
      <c r="A2" t="s">
        <v>114</v>
      </c>
      <c r="B2">
        <v>750</v>
      </c>
      <c r="C2">
        <v>1</v>
      </c>
      <c r="D2">
        <v>50.04</v>
      </c>
      <c r="E2">
        <v>0.67</v>
      </c>
      <c r="F2">
        <v>4.3099999999999996</v>
      </c>
      <c r="G2">
        <v>0</v>
      </c>
      <c r="H2">
        <v>17.48</v>
      </c>
      <c r="I2">
        <v>0.44</v>
      </c>
      <c r="J2">
        <v>12.68</v>
      </c>
      <c r="K2">
        <v>11.06</v>
      </c>
      <c r="L2">
        <v>0.92</v>
      </c>
      <c r="M2">
        <v>0.39</v>
      </c>
      <c r="N2">
        <v>0.17599999999999999</v>
      </c>
      <c r="O2">
        <v>98.17</v>
      </c>
      <c r="P2">
        <v>7.3529999999999998</v>
      </c>
      <c r="Q2">
        <v>0.64700000000000002</v>
      </c>
      <c r="R2">
        <v>8</v>
      </c>
      <c r="S2">
        <v>9.8000000000000004E-2</v>
      </c>
      <c r="T2">
        <v>7.3999999999999996E-2</v>
      </c>
      <c r="U2">
        <v>0.253</v>
      </c>
      <c r="V2">
        <v>0</v>
      </c>
      <c r="W2">
        <v>1.5740000000000001</v>
      </c>
      <c r="X2">
        <v>0</v>
      </c>
      <c r="Y2">
        <v>2</v>
      </c>
      <c r="Z2">
        <v>1.2170000000000001</v>
      </c>
      <c r="AA2">
        <v>1.7829999999999999</v>
      </c>
      <c r="AB2">
        <v>0</v>
      </c>
      <c r="AC2">
        <v>3</v>
      </c>
      <c r="AD2">
        <v>0</v>
      </c>
      <c r="AE2">
        <v>0.108</v>
      </c>
      <c r="AF2">
        <v>5.5E-2</v>
      </c>
      <c r="AG2">
        <v>1.742</v>
      </c>
      <c r="AH2">
        <v>9.6000000000000002E-2</v>
      </c>
      <c r="AI2">
        <v>2</v>
      </c>
      <c r="AJ2">
        <v>0.16600000000000001</v>
      </c>
      <c r="AK2">
        <v>7.3999999999999996E-2</v>
      </c>
      <c r="AL2">
        <v>0.24</v>
      </c>
      <c r="AM2">
        <v>15.24</v>
      </c>
      <c r="AN2">
        <v>0.56599999999999995</v>
      </c>
      <c r="AO2">
        <v>0.745</v>
      </c>
      <c r="AP2">
        <v>0.74619805772298031</v>
      </c>
      <c r="AQ2">
        <f>ROUND(AP2, 3)</f>
        <v>0.746</v>
      </c>
      <c r="AR2">
        <v>1.6998268872736764</v>
      </c>
      <c r="AS2">
        <v>2.3298573086404923</v>
      </c>
      <c r="AT2">
        <v>2.1870277295825375</v>
      </c>
      <c r="AU2">
        <v>2.2990775886657886</v>
      </c>
      <c r="AV2">
        <v>0.66889339883509136</v>
      </c>
      <c r="AW2">
        <v>1.0614011218068986</v>
      </c>
      <c r="AX2">
        <v>0.78705962196162493</v>
      </c>
      <c r="AY2">
        <v>1.7662716718870173</v>
      </c>
      <c r="AZ2">
        <v>1.7914568691959516</v>
      </c>
      <c r="BA2">
        <v>1.4279125413943254</v>
      </c>
      <c r="BB2">
        <v>1.6502558135565399</v>
      </c>
      <c r="BC2">
        <v>0.27345126440189199</v>
      </c>
      <c r="BD2">
        <v>0.88711625319183285</v>
      </c>
      <c r="BE2">
        <v>1.610733980466398</v>
      </c>
      <c r="BF2">
        <v>0.66655453574344026</v>
      </c>
    </row>
    <row r="3" spans="1:58" x14ac:dyDescent="0.3">
      <c r="A3" t="s">
        <v>115</v>
      </c>
      <c r="B3">
        <v>715</v>
      </c>
      <c r="C3">
        <v>2</v>
      </c>
      <c r="D3">
        <v>48.42</v>
      </c>
      <c r="E3">
        <v>0.91</v>
      </c>
      <c r="F3">
        <v>4.71</v>
      </c>
      <c r="G3">
        <v>0.01</v>
      </c>
      <c r="H3">
        <v>18.309999999999999</v>
      </c>
      <c r="I3">
        <v>0.37</v>
      </c>
      <c r="J3">
        <v>11.41</v>
      </c>
      <c r="K3">
        <v>10.88</v>
      </c>
      <c r="L3">
        <v>1.02</v>
      </c>
      <c r="M3">
        <v>0.46</v>
      </c>
      <c r="N3">
        <v>0.22500000000000001</v>
      </c>
      <c r="O3">
        <v>96.73</v>
      </c>
      <c r="P3">
        <v>7.2809999999999997</v>
      </c>
      <c r="Q3">
        <v>0.71899999999999997</v>
      </c>
      <c r="R3">
        <v>8</v>
      </c>
      <c r="S3">
        <v>0.114</v>
      </c>
      <c r="T3">
        <v>0.10299999999999999</v>
      </c>
      <c r="U3">
        <v>0.23899999999999999</v>
      </c>
      <c r="V3">
        <v>1E-3</v>
      </c>
      <c r="W3">
        <v>1.5429999999999999</v>
      </c>
      <c r="X3">
        <v>0</v>
      </c>
      <c r="Y3">
        <v>2</v>
      </c>
      <c r="Z3">
        <v>1.03</v>
      </c>
      <c r="AA3">
        <v>1.97</v>
      </c>
      <c r="AB3">
        <v>0</v>
      </c>
      <c r="AC3">
        <v>3</v>
      </c>
      <c r="AD3">
        <v>0</v>
      </c>
      <c r="AE3">
        <v>8.6999999999999994E-2</v>
      </c>
      <c r="AF3">
        <v>4.7E-2</v>
      </c>
      <c r="AG3">
        <v>1.754</v>
      </c>
      <c r="AH3">
        <v>0.113</v>
      </c>
      <c r="AI3">
        <v>2</v>
      </c>
      <c r="AJ3">
        <v>0.182</v>
      </c>
      <c r="AK3">
        <v>8.8999999999999996E-2</v>
      </c>
      <c r="AL3">
        <v>0.27100000000000002</v>
      </c>
      <c r="AM3">
        <v>15.271000000000001</v>
      </c>
      <c r="AN3">
        <v>0.52900000000000003</v>
      </c>
      <c r="AO3">
        <v>0.83299999999999996</v>
      </c>
      <c r="AP3">
        <v>0.83572889498207759</v>
      </c>
      <c r="AQ3">
        <f t="shared" ref="AQ3:AQ18" si="0">ROUND(AP3, 3)</f>
        <v>0.83599999999999997</v>
      </c>
    </row>
    <row r="4" spans="1:58" x14ac:dyDescent="0.3">
      <c r="A4" t="s">
        <v>116</v>
      </c>
      <c r="B4">
        <v>715</v>
      </c>
      <c r="C4">
        <v>4.3</v>
      </c>
      <c r="D4">
        <v>44.14</v>
      </c>
      <c r="E4">
        <v>1.41</v>
      </c>
      <c r="F4">
        <v>9.6</v>
      </c>
      <c r="G4">
        <v>0</v>
      </c>
      <c r="H4">
        <v>19.18</v>
      </c>
      <c r="I4">
        <v>0.35</v>
      </c>
      <c r="J4">
        <v>10.039999999999999</v>
      </c>
      <c r="K4">
        <v>10.42</v>
      </c>
      <c r="L4">
        <v>1.57</v>
      </c>
      <c r="M4">
        <v>1.02</v>
      </c>
      <c r="N4">
        <v>7.0999999999999994E-2</v>
      </c>
      <c r="O4">
        <v>97.82</v>
      </c>
      <c r="P4">
        <v>6.62</v>
      </c>
      <c r="Q4">
        <v>1.38</v>
      </c>
      <c r="R4">
        <v>8</v>
      </c>
      <c r="S4">
        <v>0.313</v>
      </c>
      <c r="T4">
        <v>0.159</v>
      </c>
      <c r="U4">
        <v>0.40200000000000002</v>
      </c>
      <c r="V4">
        <v>0</v>
      </c>
      <c r="W4">
        <v>1.1259999999999999</v>
      </c>
      <c r="X4">
        <v>0</v>
      </c>
      <c r="Y4">
        <v>2</v>
      </c>
      <c r="Z4">
        <v>1.131</v>
      </c>
      <c r="AA4">
        <v>1.869</v>
      </c>
      <c r="AB4">
        <v>0</v>
      </c>
      <c r="AC4">
        <v>3</v>
      </c>
      <c r="AD4">
        <v>0</v>
      </c>
      <c r="AE4">
        <v>0.128</v>
      </c>
      <c r="AF4">
        <v>4.4999999999999998E-2</v>
      </c>
      <c r="AG4">
        <v>1.675</v>
      </c>
      <c r="AH4">
        <v>0.152</v>
      </c>
      <c r="AI4">
        <v>2</v>
      </c>
      <c r="AJ4">
        <v>0.30399999999999999</v>
      </c>
      <c r="AK4">
        <v>0.19500000000000001</v>
      </c>
      <c r="AL4">
        <v>0.499</v>
      </c>
      <c r="AM4">
        <v>15.499000000000001</v>
      </c>
      <c r="AN4">
        <v>0.48499999999999999</v>
      </c>
      <c r="AO4">
        <v>1.6919999999999999</v>
      </c>
      <c r="AP4">
        <v>1.6998268872736764</v>
      </c>
      <c r="AQ4">
        <f t="shared" si="0"/>
        <v>1.7</v>
      </c>
    </row>
    <row r="5" spans="1:58" x14ac:dyDescent="0.3">
      <c r="A5" t="s">
        <v>117</v>
      </c>
      <c r="B5">
        <v>730</v>
      </c>
      <c r="C5">
        <v>10</v>
      </c>
      <c r="D5">
        <v>43.22</v>
      </c>
      <c r="E5">
        <v>1.22</v>
      </c>
      <c r="F5">
        <v>13.13</v>
      </c>
      <c r="G5">
        <v>0</v>
      </c>
      <c r="H5">
        <v>18.93</v>
      </c>
      <c r="I5">
        <v>0.31</v>
      </c>
      <c r="J5">
        <v>7.74</v>
      </c>
      <c r="K5">
        <v>10.3</v>
      </c>
      <c r="L5">
        <v>1.53</v>
      </c>
      <c r="M5">
        <v>0.89</v>
      </c>
      <c r="N5">
        <v>2.4E-2</v>
      </c>
      <c r="O5">
        <v>97.3</v>
      </c>
      <c r="P5">
        <v>6.5069999999999997</v>
      </c>
      <c r="Q5">
        <v>1.4930000000000001</v>
      </c>
      <c r="R5">
        <v>8</v>
      </c>
      <c r="S5">
        <v>0.83399999999999996</v>
      </c>
      <c r="T5">
        <v>0.13900000000000001</v>
      </c>
      <c r="U5">
        <v>0.16700000000000001</v>
      </c>
      <c r="V5">
        <v>0</v>
      </c>
      <c r="W5">
        <v>0.85899999999999999</v>
      </c>
      <c r="X5">
        <v>0</v>
      </c>
      <c r="Y5">
        <v>2</v>
      </c>
      <c r="Z5">
        <v>0.88800000000000001</v>
      </c>
      <c r="AA5">
        <v>2.1120000000000001</v>
      </c>
      <c r="AB5">
        <v>0</v>
      </c>
      <c r="AC5">
        <v>3</v>
      </c>
      <c r="AD5">
        <v>0</v>
      </c>
      <c r="AE5">
        <v>9.6000000000000002E-2</v>
      </c>
      <c r="AF5">
        <v>0.04</v>
      </c>
      <c r="AG5">
        <v>1.6619999999999999</v>
      </c>
      <c r="AH5">
        <v>0.20200000000000001</v>
      </c>
      <c r="AI5">
        <v>2</v>
      </c>
      <c r="AJ5">
        <v>0.245</v>
      </c>
      <c r="AK5">
        <v>0.17100000000000001</v>
      </c>
      <c r="AL5">
        <v>0.41599999999999998</v>
      </c>
      <c r="AM5">
        <v>15.416</v>
      </c>
      <c r="AN5">
        <v>0.42399999999999999</v>
      </c>
      <c r="AO5">
        <v>2.327</v>
      </c>
      <c r="AP5">
        <v>2.3298573086404923</v>
      </c>
      <c r="AQ5">
        <f t="shared" si="0"/>
        <v>2.33</v>
      </c>
    </row>
    <row r="6" spans="1:58" x14ac:dyDescent="0.3">
      <c r="A6" t="s">
        <v>118</v>
      </c>
      <c r="B6">
        <v>715</v>
      </c>
      <c r="C6">
        <v>8</v>
      </c>
      <c r="D6">
        <v>41.02</v>
      </c>
      <c r="E6">
        <v>3.04</v>
      </c>
      <c r="F6">
        <v>12.29</v>
      </c>
      <c r="G6">
        <v>0.05</v>
      </c>
      <c r="H6">
        <v>17.760000000000002</v>
      </c>
      <c r="I6">
        <v>0.27</v>
      </c>
      <c r="J6">
        <v>9.73</v>
      </c>
      <c r="K6">
        <v>10.210000000000001</v>
      </c>
      <c r="L6">
        <v>1.91</v>
      </c>
      <c r="M6">
        <v>0.95</v>
      </c>
      <c r="N6">
        <v>2.4E-2</v>
      </c>
      <c r="O6">
        <v>97.25</v>
      </c>
      <c r="P6">
        <v>6.1920000000000002</v>
      </c>
      <c r="Q6">
        <v>1.8080000000000001</v>
      </c>
      <c r="R6">
        <v>8</v>
      </c>
      <c r="S6">
        <v>0.376</v>
      </c>
      <c r="T6">
        <v>0.34499999999999997</v>
      </c>
      <c r="U6">
        <v>0.29399999999999998</v>
      </c>
      <c r="V6">
        <v>6.0000000000000001E-3</v>
      </c>
      <c r="W6">
        <v>0.97899999999999998</v>
      </c>
      <c r="X6">
        <v>0</v>
      </c>
      <c r="Y6">
        <v>2</v>
      </c>
      <c r="Z6">
        <v>1.2230000000000001</v>
      </c>
      <c r="AA6">
        <v>1.7769999999999999</v>
      </c>
      <c r="AB6">
        <v>0</v>
      </c>
      <c r="AC6">
        <v>3</v>
      </c>
      <c r="AD6">
        <v>0</v>
      </c>
      <c r="AE6">
        <v>0.16300000000000001</v>
      </c>
      <c r="AF6">
        <v>3.4000000000000002E-2</v>
      </c>
      <c r="AG6">
        <v>1.651</v>
      </c>
      <c r="AH6">
        <v>0.151</v>
      </c>
      <c r="AI6">
        <v>2</v>
      </c>
      <c r="AJ6">
        <v>0.40799999999999997</v>
      </c>
      <c r="AK6">
        <v>0.184</v>
      </c>
      <c r="AL6">
        <v>0.59199999999999997</v>
      </c>
      <c r="AM6">
        <v>15.592000000000001</v>
      </c>
      <c r="AN6">
        <v>0.496</v>
      </c>
      <c r="AO6">
        <v>2.1840000000000002</v>
      </c>
      <c r="AP6">
        <v>2.1870277295825375</v>
      </c>
      <c r="AQ6">
        <f t="shared" si="0"/>
        <v>2.1869999999999998</v>
      </c>
    </row>
    <row r="7" spans="1:58" x14ac:dyDescent="0.3">
      <c r="A7" t="s">
        <v>119</v>
      </c>
      <c r="B7">
        <v>730</v>
      </c>
      <c r="C7">
        <v>10</v>
      </c>
      <c r="D7">
        <v>41.28</v>
      </c>
      <c r="E7">
        <v>2.8</v>
      </c>
      <c r="F7">
        <v>13</v>
      </c>
      <c r="G7">
        <v>0</v>
      </c>
      <c r="H7">
        <v>16.63</v>
      </c>
      <c r="I7">
        <v>0.22</v>
      </c>
      <c r="J7">
        <v>10.07</v>
      </c>
      <c r="K7">
        <v>10.28</v>
      </c>
      <c r="L7">
        <v>1.96</v>
      </c>
      <c r="M7">
        <v>1</v>
      </c>
      <c r="N7">
        <v>2.5000000000000001E-2</v>
      </c>
      <c r="O7">
        <v>97.26</v>
      </c>
      <c r="P7">
        <v>6.194</v>
      </c>
      <c r="Q7">
        <v>1.806</v>
      </c>
      <c r="R7">
        <v>8</v>
      </c>
      <c r="S7">
        <v>0.48899999999999999</v>
      </c>
      <c r="T7">
        <v>0.316</v>
      </c>
      <c r="U7">
        <v>0.26200000000000001</v>
      </c>
      <c r="V7">
        <v>0</v>
      </c>
      <c r="W7">
        <v>0.93400000000000005</v>
      </c>
      <c r="X7">
        <v>0</v>
      </c>
      <c r="Y7">
        <v>2</v>
      </c>
      <c r="Z7">
        <v>1.3320000000000001</v>
      </c>
      <c r="AA7">
        <v>1.6679999999999999</v>
      </c>
      <c r="AB7">
        <v>0</v>
      </c>
      <c r="AC7">
        <v>3</v>
      </c>
      <c r="AD7">
        <v>0</v>
      </c>
      <c r="AE7">
        <v>0.15</v>
      </c>
      <c r="AF7">
        <v>2.8000000000000001E-2</v>
      </c>
      <c r="AG7">
        <v>1.653</v>
      </c>
      <c r="AH7">
        <v>0.16900000000000001</v>
      </c>
      <c r="AI7">
        <v>2</v>
      </c>
      <c r="AJ7">
        <v>0.4</v>
      </c>
      <c r="AK7">
        <v>0.191</v>
      </c>
      <c r="AL7">
        <v>0.59099999999999997</v>
      </c>
      <c r="AM7">
        <v>15.590999999999999</v>
      </c>
      <c r="AN7">
        <v>0.52100000000000002</v>
      </c>
      <c r="AO7">
        <v>2.294</v>
      </c>
      <c r="AP7">
        <v>2.2990775886657886</v>
      </c>
      <c r="AQ7">
        <f t="shared" si="0"/>
        <v>2.2989999999999999</v>
      </c>
    </row>
    <row r="8" spans="1:58" x14ac:dyDescent="0.3">
      <c r="A8" t="s">
        <v>120</v>
      </c>
      <c r="B8">
        <v>760</v>
      </c>
      <c r="C8">
        <v>1</v>
      </c>
      <c r="D8">
        <v>50.51</v>
      </c>
      <c r="E8">
        <v>0.61</v>
      </c>
      <c r="F8">
        <v>3.85</v>
      </c>
      <c r="G8">
        <v>0</v>
      </c>
      <c r="H8">
        <v>17.59</v>
      </c>
      <c r="I8">
        <v>0.4</v>
      </c>
      <c r="J8">
        <v>12.69</v>
      </c>
      <c r="K8">
        <v>10.73</v>
      </c>
      <c r="L8">
        <v>0.87</v>
      </c>
      <c r="M8">
        <v>0.37</v>
      </c>
      <c r="N8">
        <v>0.16700000000000001</v>
      </c>
      <c r="O8">
        <v>97.79</v>
      </c>
      <c r="P8">
        <v>7.4390000000000001</v>
      </c>
      <c r="Q8">
        <v>0.56100000000000005</v>
      </c>
      <c r="R8">
        <v>8</v>
      </c>
      <c r="S8">
        <v>0.106</v>
      </c>
      <c r="T8">
        <v>6.7000000000000004E-2</v>
      </c>
      <c r="U8">
        <v>0.248</v>
      </c>
      <c r="V8">
        <v>0</v>
      </c>
      <c r="W8">
        <v>1.579</v>
      </c>
      <c r="X8">
        <v>0</v>
      </c>
      <c r="Y8">
        <v>2</v>
      </c>
      <c r="Z8">
        <v>1.224</v>
      </c>
      <c r="AA8">
        <v>1.776</v>
      </c>
      <c r="AB8">
        <v>0</v>
      </c>
      <c r="AC8">
        <v>3</v>
      </c>
      <c r="AD8">
        <v>0</v>
      </c>
      <c r="AE8">
        <v>0.13600000000000001</v>
      </c>
      <c r="AF8">
        <v>4.9000000000000002E-2</v>
      </c>
      <c r="AG8">
        <v>1.6919999999999999</v>
      </c>
      <c r="AH8">
        <v>0.122</v>
      </c>
      <c r="AI8">
        <v>2</v>
      </c>
      <c r="AJ8">
        <v>0.126</v>
      </c>
      <c r="AK8">
        <v>6.9000000000000006E-2</v>
      </c>
      <c r="AL8">
        <v>0.19500000000000001</v>
      </c>
      <c r="AM8">
        <v>15.195</v>
      </c>
      <c r="AN8">
        <v>0.56499999999999995</v>
      </c>
      <c r="AO8">
        <v>0.66700000000000004</v>
      </c>
      <c r="AP8">
        <v>0.66889339883509136</v>
      </c>
      <c r="AQ8">
        <f t="shared" si="0"/>
        <v>0.66900000000000004</v>
      </c>
    </row>
    <row r="9" spans="1:58" x14ac:dyDescent="0.3">
      <c r="A9" t="s">
        <v>121</v>
      </c>
      <c r="B9">
        <v>705</v>
      </c>
      <c r="C9">
        <v>2</v>
      </c>
      <c r="D9">
        <v>48.72</v>
      </c>
      <c r="E9">
        <v>0.65</v>
      </c>
      <c r="F9">
        <v>6.14</v>
      </c>
      <c r="G9">
        <v>0</v>
      </c>
      <c r="H9">
        <v>18.04</v>
      </c>
      <c r="I9">
        <v>0.51</v>
      </c>
      <c r="J9">
        <v>11.74</v>
      </c>
      <c r="K9">
        <v>11.33</v>
      </c>
      <c r="L9">
        <v>0.63</v>
      </c>
      <c r="M9">
        <v>0.36</v>
      </c>
      <c r="N9">
        <v>0.03</v>
      </c>
      <c r="O9">
        <v>98.14</v>
      </c>
      <c r="P9">
        <v>7.1630000000000003</v>
      </c>
      <c r="Q9">
        <v>0.83699999999999997</v>
      </c>
      <c r="R9">
        <v>8</v>
      </c>
      <c r="S9">
        <v>0.22500000000000001</v>
      </c>
      <c r="T9">
        <v>7.0999999999999994E-2</v>
      </c>
      <c r="U9">
        <v>0.33400000000000002</v>
      </c>
      <c r="V9">
        <v>0</v>
      </c>
      <c r="W9">
        <v>1.369</v>
      </c>
      <c r="X9">
        <v>0</v>
      </c>
      <c r="Y9">
        <v>2</v>
      </c>
      <c r="Z9">
        <v>1.22</v>
      </c>
      <c r="AA9">
        <v>1.78</v>
      </c>
      <c r="AB9">
        <v>0</v>
      </c>
      <c r="AC9">
        <v>3</v>
      </c>
      <c r="AD9">
        <v>0</v>
      </c>
      <c r="AE9">
        <v>9.7000000000000003E-2</v>
      </c>
      <c r="AF9">
        <v>6.3E-2</v>
      </c>
      <c r="AG9">
        <v>1.7849999999999999</v>
      </c>
      <c r="AH9">
        <v>5.5E-2</v>
      </c>
      <c r="AI9">
        <v>2</v>
      </c>
      <c r="AJ9">
        <v>0.123</v>
      </c>
      <c r="AK9">
        <v>6.7000000000000004E-2</v>
      </c>
      <c r="AL9">
        <v>0.19</v>
      </c>
      <c r="AM9">
        <v>15.19</v>
      </c>
      <c r="AN9">
        <v>0.53900000000000003</v>
      </c>
      <c r="AO9">
        <v>1.0629999999999999</v>
      </c>
      <c r="AP9">
        <v>1.0614011218068986</v>
      </c>
      <c r="AQ9">
        <f t="shared" si="0"/>
        <v>1.0609999999999999</v>
      </c>
    </row>
    <row r="10" spans="1:58" x14ac:dyDescent="0.3">
      <c r="A10" t="s">
        <v>122</v>
      </c>
      <c r="B10">
        <v>720</v>
      </c>
      <c r="C10">
        <v>1.5</v>
      </c>
      <c r="D10">
        <v>49.59</v>
      </c>
      <c r="E10">
        <v>0.53</v>
      </c>
      <c r="F10">
        <v>4.5</v>
      </c>
      <c r="G10">
        <v>0</v>
      </c>
      <c r="H10">
        <v>19.420000000000002</v>
      </c>
      <c r="I10">
        <v>0.6</v>
      </c>
      <c r="J10">
        <v>11.89</v>
      </c>
      <c r="K10">
        <v>9.76</v>
      </c>
      <c r="L10">
        <v>0.8</v>
      </c>
      <c r="M10">
        <v>0.42</v>
      </c>
      <c r="N10">
        <v>2.5999999999999999E-2</v>
      </c>
      <c r="O10">
        <v>97.54</v>
      </c>
      <c r="P10">
        <v>7.3559999999999999</v>
      </c>
      <c r="Q10">
        <v>0.64400000000000002</v>
      </c>
      <c r="R10">
        <v>8</v>
      </c>
      <c r="S10">
        <v>0.14099999999999999</v>
      </c>
      <c r="T10">
        <v>5.8999999999999997E-2</v>
      </c>
      <c r="U10">
        <v>0.32700000000000001</v>
      </c>
      <c r="V10">
        <v>0</v>
      </c>
      <c r="W10">
        <v>1.472</v>
      </c>
      <c r="X10">
        <v>0</v>
      </c>
      <c r="Y10">
        <v>2</v>
      </c>
      <c r="Z10">
        <v>1.175</v>
      </c>
      <c r="AA10">
        <v>1.825</v>
      </c>
      <c r="AB10">
        <v>0</v>
      </c>
      <c r="AC10">
        <v>3</v>
      </c>
      <c r="AD10">
        <v>0</v>
      </c>
      <c r="AE10">
        <v>0.248</v>
      </c>
      <c r="AF10">
        <v>7.4999999999999997E-2</v>
      </c>
      <c r="AG10">
        <v>1.552</v>
      </c>
      <c r="AH10">
        <v>0.124</v>
      </c>
      <c r="AI10">
        <v>2</v>
      </c>
      <c r="AJ10">
        <v>0.107</v>
      </c>
      <c r="AK10">
        <v>0.08</v>
      </c>
      <c r="AL10">
        <v>0.187</v>
      </c>
      <c r="AM10">
        <v>15.186999999999999</v>
      </c>
      <c r="AN10">
        <v>0.52400000000000002</v>
      </c>
      <c r="AO10">
        <v>0.78500000000000003</v>
      </c>
      <c r="AP10">
        <v>0.78705962196162493</v>
      </c>
      <c r="AQ10">
        <f t="shared" si="0"/>
        <v>0.78700000000000003</v>
      </c>
    </row>
    <row r="11" spans="1:58" x14ac:dyDescent="0.3">
      <c r="A11" t="s">
        <v>123</v>
      </c>
      <c r="B11">
        <v>680</v>
      </c>
      <c r="C11">
        <v>4.3</v>
      </c>
      <c r="D11">
        <v>43.95</v>
      </c>
      <c r="E11">
        <v>0.65</v>
      </c>
      <c r="F11">
        <v>9.83</v>
      </c>
      <c r="G11">
        <v>0</v>
      </c>
      <c r="H11">
        <v>24.38</v>
      </c>
      <c r="I11">
        <v>0.65</v>
      </c>
      <c r="J11">
        <v>6.46</v>
      </c>
      <c r="K11">
        <v>10.09</v>
      </c>
      <c r="L11">
        <v>0.96</v>
      </c>
      <c r="M11">
        <v>0.56000000000000005</v>
      </c>
      <c r="N11">
        <v>4.5999999999999999E-2</v>
      </c>
      <c r="O11">
        <v>97.58</v>
      </c>
      <c r="P11">
        <v>6.7050000000000001</v>
      </c>
      <c r="Q11">
        <v>1.2949999999999999</v>
      </c>
      <c r="R11">
        <v>8</v>
      </c>
      <c r="S11">
        <v>0.46899999999999997</v>
      </c>
      <c r="T11">
        <v>7.3999999999999996E-2</v>
      </c>
      <c r="U11">
        <v>0.57699999999999996</v>
      </c>
      <c r="V11">
        <v>0</v>
      </c>
      <c r="W11">
        <v>0.88</v>
      </c>
      <c r="X11">
        <v>0</v>
      </c>
      <c r="Y11">
        <v>2</v>
      </c>
      <c r="Z11">
        <v>0.59599999999999997</v>
      </c>
      <c r="AA11">
        <v>2.4039999999999999</v>
      </c>
      <c r="AB11">
        <v>0</v>
      </c>
      <c r="AC11">
        <v>3</v>
      </c>
      <c r="AD11">
        <v>0</v>
      </c>
      <c r="AE11">
        <v>0.121</v>
      </c>
      <c r="AF11">
        <v>8.4000000000000005E-2</v>
      </c>
      <c r="AG11">
        <v>1.649</v>
      </c>
      <c r="AH11">
        <v>0.14599999999999999</v>
      </c>
      <c r="AI11">
        <v>2</v>
      </c>
      <c r="AJ11">
        <v>0.13900000000000001</v>
      </c>
      <c r="AK11">
        <v>0.109</v>
      </c>
      <c r="AL11">
        <v>0.248</v>
      </c>
      <c r="AM11">
        <v>15.247999999999999</v>
      </c>
      <c r="AN11">
        <v>0.32200000000000001</v>
      </c>
      <c r="AO11">
        <v>1.764</v>
      </c>
      <c r="AP11">
        <v>1.7662716718870173</v>
      </c>
      <c r="AQ11">
        <f t="shared" si="0"/>
        <v>1.766</v>
      </c>
    </row>
    <row r="12" spans="1:58" x14ac:dyDescent="0.3">
      <c r="A12" t="s">
        <v>124</v>
      </c>
      <c r="B12">
        <v>680</v>
      </c>
      <c r="C12">
        <v>4.3</v>
      </c>
      <c r="D12">
        <v>44.59</v>
      </c>
      <c r="E12">
        <v>0.81</v>
      </c>
      <c r="F12">
        <v>9.9700000000000006</v>
      </c>
      <c r="G12">
        <v>0.04</v>
      </c>
      <c r="H12">
        <v>22.94</v>
      </c>
      <c r="I12">
        <v>0.68</v>
      </c>
      <c r="J12">
        <v>6.43</v>
      </c>
      <c r="K12">
        <v>10.46</v>
      </c>
      <c r="L12">
        <v>1</v>
      </c>
      <c r="M12">
        <v>0.76</v>
      </c>
      <c r="N12">
        <v>3.6999999999999998E-2</v>
      </c>
      <c r="O12">
        <v>97.73</v>
      </c>
      <c r="P12">
        <v>6.7910000000000004</v>
      </c>
      <c r="Q12">
        <v>1.2090000000000001</v>
      </c>
      <c r="R12">
        <v>8</v>
      </c>
      <c r="S12">
        <v>0.57999999999999996</v>
      </c>
      <c r="T12">
        <v>9.2999999999999999E-2</v>
      </c>
      <c r="U12">
        <v>0.20300000000000001</v>
      </c>
      <c r="V12">
        <v>5.0000000000000001E-3</v>
      </c>
      <c r="W12">
        <v>1.119</v>
      </c>
      <c r="X12">
        <v>0</v>
      </c>
      <c r="Y12">
        <v>2</v>
      </c>
      <c r="Z12">
        <v>0.34499999999999997</v>
      </c>
      <c r="AA12">
        <v>2.6549999999999998</v>
      </c>
      <c r="AB12">
        <v>0</v>
      </c>
      <c r="AC12">
        <v>3</v>
      </c>
      <c r="AD12">
        <v>0</v>
      </c>
      <c r="AE12">
        <v>5.8999999999999997E-2</v>
      </c>
      <c r="AF12">
        <v>8.7999999999999995E-2</v>
      </c>
      <c r="AG12">
        <v>1.708</v>
      </c>
      <c r="AH12">
        <v>0.14499999999999999</v>
      </c>
      <c r="AI12">
        <v>2</v>
      </c>
      <c r="AJ12">
        <v>0.151</v>
      </c>
      <c r="AK12">
        <v>0.14799999999999999</v>
      </c>
      <c r="AL12">
        <v>0.29899999999999999</v>
      </c>
      <c r="AM12">
        <v>15.298999999999999</v>
      </c>
      <c r="AN12">
        <v>0.33400000000000002</v>
      </c>
      <c r="AO12">
        <v>1.79</v>
      </c>
      <c r="AP12">
        <v>1.7914568691959516</v>
      </c>
      <c r="AQ12">
        <f t="shared" si="0"/>
        <v>1.7909999999999999</v>
      </c>
    </row>
    <row r="13" spans="1:58" x14ac:dyDescent="0.3">
      <c r="A13" t="s">
        <v>125</v>
      </c>
      <c r="B13">
        <v>700</v>
      </c>
      <c r="C13">
        <v>2.5</v>
      </c>
      <c r="D13">
        <v>47.08</v>
      </c>
      <c r="E13">
        <v>1.05</v>
      </c>
      <c r="F13">
        <v>8.26</v>
      </c>
      <c r="G13">
        <v>0</v>
      </c>
      <c r="H13">
        <v>16.489999999999998</v>
      </c>
      <c r="I13">
        <v>0.39</v>
      </c>
      <c r="J13">
        <v>12.23</v>
      </c>
      <c r="K13">
        <v>10.65</v>
      </c>
      <c r="L13">
        <v>1.34</v>
      </c>
      <c r="M13">
        <v>0.62</v>
      </c>
      <c r="N13">
        <v>0.10299999999999999</v>
      </c>
      <c r="O13">
        <v>98.22</v>
      </c>
      <c r="P13">
        <v>6.9029999999999996</v>
      </c>
      <c r="Q13">
        <v>1.097</v>
      </c>
      <c r="R13">
        <v>8</v>
      </c>
      <c r="S13">
        <v>0.33</v>
      </c>
      <c r="T13">
        <v>0.115</v>
      </c>
      <c r="U13">
        <v>0.35299999999999998</v>
      </c>
      <c r="V13">
        <v>0</v>
      </c>
      <c r="W13">
        <v>1.202</v>
      </c>
      <c r="X13">
        <v>0</v>
      </c>
      <c r="Y13">
        <v>2</v>
      </c>
      <c r="Z13">
        <v>1.4890000000000001</v>
      </c>
      <c r="AA13">
        <v>1.5109999999999999</v>
      </c>
      <c r="AB13">
        <v>0</v>
      </c>
      <c r="AC13">
        <v>3</v>
      </c>
      <c r="AD13">
        <v>0</v>
      </c>
      <c r="AE13">
        <v>0.155</v>
      </c>
      <c r="AF13">
        <v>4.8000000000000001E-2</v>
      </c>
      <c r="AG13">
        <v>1.6739999999999999</v>
      </c>
      <c r="AH13">
        <v>0.123</v>
      </c>
      <c r="AI13">
        <v>2</v>
      </c>
      <c r="AJ13">
        <v>0.25700000000000001</v>
      </c>
      <c r="AK13">
        <v>0.11700000000000001</v>
      </c>
      <c r="AL13">
        <v>0.374</v>
      </c>
      <c r="AM13">
        <v>15.374000000000001</v>
      </c>
      <c r="AN13">
        <v>0.57099999999999995</v>
      </c>
      <c r="AO13">
        <v>1.4259999999999999</v>
      </c>
      <c r="AP13">
        <v>1.4279125413943254</v>
      </c>
      <c r="AQ13">
        <f t="shared" si="0"/>
        <v>1.4279999999999999</v>
      </c>
    </row>
    <row r="14" spans="1:58" x14ac:dyDescent="0.3">
      <c r="A14" t="s">
        <v>126</v>
      </c>
      <c r="B14">
        <v>690</v>
      </c>
      <c r="C14">
        <v>3</v>
      </c>
      <c r="D14">
        <v>46</v>
      </c>
      <c r="E14">
        <v>1.35</v>
      </c>
      <c r="F14">
        <v>9.5</v>
      </c>
      <c r="G14">
        <v>0</v>
      </c>
      <c r="H14">
        <v>15.72</v>
      </c>
      <c r="I14">
        <v>0.36</v>
      </c>
      <c r="J14">
        <v>12.02</v>
      </c>
      <c r="K14">
        <v>10.23</v>
      </c>
      <c r="L14">
        <v>1.55</v>
      </c>
      <c r="M14">
        <v>0.71</v>
      </c>
      <c r="N14">
        <v>2.5999999999999999E-2</v>
      </c>
      <c r="O14">
        <v>97.48</v>
      </c>
      <c r="P14">
        <v>6.7750000000000004</v>
      </c>
      <c r="Q14">
        <v>1.2250000000000001</v>
      </c>
      <c r="R14">
        <v>8</v>
      </c>
      <c r="S14">
        <v>0.42099999999999999</v>
      </c>
      <c r="T14">
        <v>0.15</v>
      </c>
      <c r="U14">
        <v>0.29399999999999998</v>
      </c>
      <c r="V14">
        <v>0</v>
      </c>
      <c r="W14">
        <v>1.135</v>
      </c>
      <c r="X14">
        <v>0</v>
      </c>
      <c r="Y14">
        <v>2</v>
      </c>
      <c r="Z14">
        <v>1.52</v>
      </c>
      <c r="AA14">
        <v>1.476</v>
      </c>
      <c r="AB14">
        <v>4.0000000000000001E-3</v>
      </c>
      <c r="AC14">
        <v>3</v>
      </c>
      <c r="AD14">
        <v>0</v>
      </c>
      <c r="AE14">
        <v>0.16500000000000001</v>
      </c>
      <c r="AF14">
        <v>4.1000000000000002E-2</v>
      </c>
      <c r="AG14">
        <v>1.615</v>
      </c>
      <c r="AH14">
        <v>0.17799999999999999</v>
      </c>
      <c r="AI14">
        <v>2</v>
      </c>
      <c r="AJ14">
        <v>0.26400000000000001</v>
      </c>
      <c r="AK14">
        <v>0.13300000000000001</v>
      </c>
      <c r="AL14">
        <v>0.39700000000000002</v>
      </c>
      <c r="AM14">
        <v>15.397</v>
      </c>
      <c r="AN14">
        <v>0.57799999999999996</v>
      </c>
      <c r="AO14">
        <v>1.6459999999999999</v>
      </c>
      <c r="AP14">
        <v>1.6502558135565399</v>
      </c>
      <c r="AQ14">
        <f t="shared" si="0"/>
        <v>1.65</v>
      </c>
    </row>
    <row r="15" spans="1:58" x14ac:dyDescent="0.3">
      <c r="A15" t="s">
        <v>127</v>
      </c>
      <c r="B15">
        <v>760</v>
      </c>
      <c r="C15">
        <v>0.8</v>
      </c>
      <c r="D15">
        <v>53.55</v>
      </c>
      <c r="E15">
        <v>0.25</v>
      </c>
      <c r="F15">
        <v>1.63</v>
      </c>
      <c r="G15">
        <v>0</v>
      </c>
      <c r="H15">
        <v>14.59</v>
      </c>
      <c r="I15">
        <v>0.52</v>
      </c>
      <c r="J15">
        <v>17.420000000000002</v>
      </c>
      <c r="K15">
        <v>10.61</v>
      </c>
      <c r="L15">
        <v>0.22</v>
      </c>
      <c r="M15">
        <v>0.22</v>
      </c>
      <c r="N15">
        <v>8.0000000000000002E-3</v>
      </c>
      <c r="O15">
        <v>99.01</v>
      </c>
      <c r="P15">
        <v>7.5910000000000002</v>
      </c>
      <c r="Q15">
        <v>0.26600000000000001</v>
      </c>
      <c r="R15">
        <v>7.8570000000000002</v>
      </c>
      <c r="S15">
        <v>5.0000000000000001E-3</v>
      </c>
      <c r="T15">
        <v>2.7E-2</v>
      </c>
      <c r="U15">
        <v>0.41799999999999998</v>
      </c>
      <c r="V15">
        <v>0</v>
      </c>
      <c r="W15">
        <v>1.6930000000000001</v>
      </c>
      <c r="X15">
        <v>0</v>
      </c>
      <c r="Y15">
        <v>2.1429999999999998</v>
      </c>
      <c r="Z15">
        <v>2.0219999999999998</v>
      </c>
      <c r="AA15">
        <v>0.97799999999999998</v>
      </c>
      <c r="AB15">
        <v>0</v>
      </c>
      <c r="AC15">
        <v>3</v>
      </c>
      <c r="AD15">
        <v>0</v>
      </c>
      <c r="AE15">
        <v>0.32700000000000001</v>
      </c>
      <c r="AF15">
        <v>6.2E-2</v>
      </c>
      <c r="AG15">
        <v>1.611</v>
      </c>
      <c r="AH15">
        <v>0</v>
      </c>
      <c r="AI15">
        <v>2</v>
      </c>
      <c r="AJ15">
        <v>6.0999999999999999E-2</v>
      </c>
      <c r="AK15">
        <v>3.9E-2</v>
      </c>
      <c r="AL15">
        <v>0.1</v>
      </c>
      <c r="AM15">
        <v>15.2</v>
      </c>
      <c r="AN15">
        <v>0.68300000000000005</v>
      </c>
      <c r="AO15">
        <v>0.27100000000000002</v>
      </c>
      <c r="AP15">
        <v>0.27345126440189199</v>
      </c>
      <c r="AQ15">
        <f t="shared" si="0"/>
        <v>0.27300000000000002</v>
      </c>
    </row>
    <row r="16" spans="1:58" x14ac:dyDescent="0.3">
      <c r="A16" t="s">
        <v>128</v>
      </c>
      <c r="B16">
        <v>730</v>
      </c>
      <c r="C16">
        <v>1.5</v>
      </c>
      <c r="D16">
        <v>49.25</v>
      </c>
      <c r="E16">
        <v>0.66</v>
      </c>
      <c r="F16">
        <v>5.1100000000000003</v>
      </c>
      <c r="G16">
        <v>0.05</v>
      </c>
      <c r="H16">
        <v>17.21</v>
      </c>
      <c r="I16">
        <v>0.8</v>
      </c>
      <c r="J16">
        <v>12.54</v>
      </c>
      <c r="K16">
        <v>10.54</v>
      </c>
      <c r="L16">
        <v>0.8</v>
      </c>
      <c r="M16">
        <v>0.32</v>
      </c>
      <c r="N16">
        <v>3.4000000000000002E-2</v>
      </c>
      <c r="O16">
        <v>97.32</v>
      </c>
      <c r="P16">
        <v>7.3159999999999998</v>
      </c>
      <c r="Q16">
        <v>0.68400000000000005</v>
      </c>
      <c r="R16">
        <v>8</v>
      </c>
      <c r="S16">
        <v>0.30399999999999999</v>
      </c>
      <c r="T16">
        <v>7.4999999999999997E-2</v>
      </c>
      <c r="U16">
        <v>0.24399999999999999</v>
      </c>
      <c r="V16">
        <v>3.0000000000000001E-3</v>
      </c>
      <c r="W16">
        <v>1.375</v>
      </c>
      <c r="X16">
        <v>0</v>
      </c>
      <c r="Y16">
        <v>2</v>
      </c>
      <c r="Z16">
        <v>1.173</v>
      </c>
      <c r="AA16">
        <v>1.827</v>
      </c>
      <c r="AB16">
        <v>0</v>
      </c>
      <c r="AC16">
        <v>3</v>
      </c>
      <c r="AD16">
        <v>0</v>
      </c>
      <c r="AE16">
        <v>0.1</v>
      </c>
      <c r="AF16">
        <v>9.8000000000000004E-2</v>
      </c>
      <c r="AG16">
        <v>1.6040000000000001</v>
      </c>
      <c r="AH16">
        <v>0.19800000000000001</v>
      </c>
      <c r="AI16">
        <v>2</v>
      </c>
      <c r="AJ16">
        <v>8.6999999999999994E-2</v>
      </c>
      <c r="AK16">
        <v>9.0999999999999998E-2</v>
      </c>
      <c r="AL16">
        <v>0.17799999999999999</v>
      </c>
      <c r="AM16">
        <v>15.178000000000001</v>
      </c>
      <c r="AN16">
        <v>0.54</v>
      </c>
      <c r="AO16">
        <v>0.88500000000000001</v>
      </c>
      <c r="AP16">
        <v>0.88711625319183285</v>
      </c>
      <c r="AQ16">
        <f t="shared" si="0"/>
        <v>0.88700000000000001</v>
      </c>
    </row>
    <row r="17" spans="1:43" x14ac:dyDescent="0.3">
      <c r="A17" t="s">
        <v>129</v>
      </c>
      <c r="B17">
        <v>680</v>
      </c>
      <c r="C17">
        <v>4.3</v>
      </c>
      <c r="D17">
        <v>44.93</v>
      </c>
      <c r="E17">
        <v>1.92</v>
      </c>
      <c r="F17">
        <v>9.33</v>
      </c>
      <c r="G17">
        <v>0</v>
      </c>
      <c r="H17">
        <v>14.74</v>
      </c>
      <c r="I17">
        <v>0.27</v>
      </c>
      <c r="J17">
        <v>13.78</v>
      </c>
      <c r="K17">
        <v>10.14</v>
      </c>
      <c r="L17">
        <v>1.84</v>
      </c>
      <c r="M17">
        <v>0.51</v>
      </c>
      <c r="N17">
        <v>6.0000000000000001E-3</v>
      </c>
      <c r="O17">
        <v>97.46</v>
      </c>
      <c r="P17">
        <v>6.577</v>
      </c>
      <c r="Q17">
        <v>1.423</v>
      </c>
      <c r="R17">
        <v>8</v>
      </c>
      <c r="S17">
        <v>0.184</v>
      </c>
      <c r="T17">
        <v>0.21099999999999999</v>
      </c>
      <c r="U17">
        <v>0.51300000000000001</v>
      </c>
      <c r="V17">
        <v>0</v>
      </c>
      <c r="W17">
        <v>1.0920000000000001</v>
      </c>
      <c r="X17">
        <v>0</v>
      </c>
      <c r="Y17">
        <v>2</v>
      </c>
      <c r="Z17">
        <v>1.9330000000000001</v>
      </c>
      <c r="AA17">
        <v>1.0669999999999999</v>
      </c>
      <c r="AB17">
        <v>0</v>
      </c>
      <c r="AC17">
        <v>3</v>
      </c>
      <c r="AD17">
        <v>0</v>
      </c>
      <c r="AE17">
        <v>0.22800000000000001</v>
      </c>
      <c r="AF17">
        <v>3.4000000000000002E-2</v>
      </c>
      <c r="AG17">
        <v>1.591</v>
      </c>
      <c r="AH17">
        <v>0.14699999999999999</v>
      </c>
      <c r="AI17">
        <v>2</v>
      </c>
      <c r="AJ17">
        <v>0.373</v>
      </c>
      <c r="AK17">
        <v>9.6000000000000002E-2</v>
      </c>
      <c r="AL17">
        <v>0.46800000000000003</v>
      </c>
      <c r="AM17">
        <v>15.468</v>
      </c>
      <c r="AN17">
        <v>0.626</v>
      </c>
      <c r="AO17">
        <v>1.607</v>
      </c>
      <c r="AP17">
        <v>1.610733980466398</v>
      </c>
      <c r="AQ17">
        <f t="shared" si="0"/>
        <v>1.611</v>
      </c>
    </row>
    <row r="18" spans="1:43" x14ac:dyDescent="0.3">
      <c r="A18" t="s">
        <v>130</v>
      </c>
      <c r="B18">
        <v>810</v>
      </c>
      <c r="C18">
        <v>1</v>
      </c>
      <c r="D18">
        <v>52.82</v>
      </c>
      <c r="E18">
        <v>0.97</v>
      </c>
      <c r="F18">
        <v>4</v>
      </c>
      <c r="G18">
        <v>0.01</v>
      </c>
      <c r="H18">
        <v>7.63</v>
      </c>
      <c r="I18">
        <v>0.12</v>
      </c>
      <c r="J18">
        <v>18.559999999999999</v>
      </c>
      <c r="K18">
        <v>12.11</v>
      </c>
      <c r="L18">
        <v>0.76</v>
      </c>
      <c r="M18">
        <v>0.46</v>
      </c>
      <c r="N18">
        <v>7.5999999999999998E-2</v>
      </c>
      <c r="O18">
        <v>97.51</v>
      </c>
      <c r="P18">
        <v>7.46</v>
      </c>
      <c r="Q18">
        <v>0.54</v>
      </c>
      <c r="R18">
        <v>8</v>
      </c>
      <c r="S18">
        <v>0.125</v>
      </c>
      <c r="T18">
        <v>0.10299999999999999</v>
      </c>
      <c r="U18">
        <v>0.104</v>
      </c>
      <c r="V18">
        <v>1E-3</v>
      </c>
      <c r="W18">
        <v>1.667</v>
      </c>
      <c r="X18">
        <v>0</v>
      </c>
      <c r="Y18">
        <v>2</v>
      </c>
      <c r="Z18">
        <v>2.2490000000000001</v>
      </c>
      <c r="AA18">
        <v>0.751</v>
      </c>
      <c r="AB18">
        <v>0</v>
      </c>
      <c r="AC18">
        <v>3</v>
      </c>
      <c r="AD18">
        <v>0</v>
      </c>
      <c r="AE18">
        <v>4.2999999999999997E-2</v>
      </c>
      <c r="AF18">
        <v>1.4999999999999999E-2</v>
      </c>
      <c r="AG18">
        <v>1.833</v>
      </c>
      <c r="AH18">
        <v>0.109</v>
      </c>
      <c r="AI18">
        <v>2</v>
      </c>
      <c r="AJ18">
        <v>9.8000000000000004E-2</v>
      </c>
      <c r="AK18">
        <v>8.3000000000000004E-2</v>
      </c>
      <c r="AL18">
        <v>0.182</v>
      </c>
      <c r="AM18">
        <v>15.182</v>
      </c>
      <c r="AN18">
        <v>0.81399999999999995</v>
      </c>
      <c r="AO18">
        <v>0.66500000000000004</v>
      </c>
      <c r="AP18">
        <v>0.66655453574344026</v>
      </c>
      <c r="AQ18">
        <f t="shared" si="0"/>
        <v>0.66700000000000004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Table_5_From_paper</vt:lpstr>
      <vt:lpstr>Amphibole_formula_calc</vt:lpstr>
      <vt:lpstr>Sheet1</vt:lpstr>
      <vt:lpstr>Table_5_unformatted</vt:lpstr>
      <vt:lpstr>Table5_transpoted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penny wieser</cp:lastModifiedBy>
  <dcterms:created xsi:type="dcterms:W3CDTF">2019-02-20T21:34:39Z</dcterms:created>
  <dcterms:modified xsi:type="dcterms:W3CDTF">2021-10-17T00:15:08Z</dcterms:modified>
</cp:coreProperties>
</file>