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feldspar\"/>
    </mc:Choice>
  </mc:AlternateContent>
  <xr:revisionPtr revIDLastSave="0" documentId="13_ncr:1_{68B00DFC-3D2D-4B54-847A-06C50020071C}" xr6:coauthVersionLast="47" xr6:coauthVersionMax="47" xr10:uidLastSave="{00000000-0000-0000-0000-000000000000}"/>
  <bookViews>
    <workbookView xWindow="28680" yWindow="-120" windowWidth="21840" windowHeight="13290" tabRatio="500" activeTab="1" xr2:uid="{00000000-000D-0000-FFFF-FFFF00000000}"/>
  </bookViews>
  <sheets>
    <sheet name="Thermodynamic-model (Eq. 31)" sheetId="1" r:id="rId1"/>
    <sheet name="Thermobar_input" sheetId="5" r:id="rId2"/>
    <sheet name="Mafic-ultramafic (Eq. 33)" sheetId="2" r:id="rId3"/>
    <sheet name="Alk-rich maf-ultram (Eq. 34)" sheetId="3" r:id="rId4"/>
    <sheet name="Inter-felsic (Eq. 35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2" i="5"/>
  <c r="B24" i="3"/>
  <c r="I15" i="2"/>
  <c r="I16" i="2"/>
  <c r="I17" i="2"/>
  <c r="I18" i="2"/>
  <c r="I19" i="2"/>
  <c r="I20" i="2"/>
  <c r="I21" i="2"/>
  <c r="I22" i="2"/>
  <c r="I23" i="2"/>
  <c r="I24" i="2"/>
  <c r="K2" i="5"/>
  <c r="C13" i="1"/>
  <c r="C14" i="1"/>
  <c r="C15" i="1"/>
  <c r="C16" i="1"/>
  <c r="C17" i="1"/>
  <c r="C18" i="1"/>
  <c r="C19" i="1"/>
  <c r="C20" i="1"/>
  <c r="C21" i="1"/>
  <c r="B22" i="1"/>
  <c r="C15" i="3"/>
  <c r="C16" i="3"/>
  <c r="C17" i="3"/>
  <c r="C18" i="3"/>
  <c r="C19" i="3"/>
  <c r="C20" i="3"/>
  <c r="C21" i="3"/>
  <c r="C22" i="3"/>
  <c r="C23" i="3"/>
  <c r="C15" i="4"/>
  <c r="C16" i="4"/>
  <c r="C17" i="4"/>
  <c r="D17" i="4" s="1"/>
  <c r="C18" i="4"/>
  <c r="C19" i="4"/>
  <c r="C20" i="4"/>
  <c r="C21" i="4"/>
  <c r="C22" i="4"/>
  <c r="C23" i="4"/>
  <c r="B24" i="4"/>
  <c r="D21" i="1" l="1"/>
  <c r="D17" i="1"/>
  <c r="D19" i="1"/>
  <c r="D20" i="1"/>
  <c r="D15" i="1"/>
  <c r="D13" i="1"/>
  <c r="D18" i="1"/>
  <c r="D16" i="1"/>
  <c r="D14" i="1"/>
  <c r="C22" i="1"/>
  <c r="D22" i="4"/>
  <c r="D23" i="4"/>
  <c r="D20" i="4"/>
  <c r="D19" i="4"/>
  <c r="D21" i="4"/>
  <c r="D18" i="4"/>
  <c r="D16" i="4"/>
  <c r="C24" i="4"/>
  <c r="D15" i="4"/>
  <c r="D18" i="3"/>
  <c r="D16" i="3"/>
  <c r="D17" i="3"/>
  <c r="D22" i="3"/>
  <c r="D15" i="3"/>
  <c r="D19" i="3"/>
  <c r="D21" i="3"/>
  <c r="C24" i="3"/>
  <c r="D20" i="3"/>
  <c r="D23" i="3"/>
  <c r="C15" i="2"/>
  <c r="D22" i="1" l="1"/>
  <c r="F16" i="1" s="1"/>
  <c r="D24" i="4"/>
  <c r="F16" i="4" s="1"/>
  <c r="D24" i="3"/>
  <c r="F21" i="3" s="1"/>
  <c r="F22" i="3"/>
  <c r="F23" i="3"/>
  <c r="F19" i="3"/>
  <c r="F20" i="3"/>
  <c r="C20" i="2"/>
  <c r="C23" i="2"/>
  <c r="C21" i="2"/>
  <c r="C22" i="2"/>
  <c r="C18" i="2"/>
  <c r="C19" i="2"/>
  <c r="C16" i="2"/>
  <c r="C17" i="2"/>
  <c r="F15" i="1" l="1"/>
  <c r="F13" i="1"/>
  <c r="F17" i="1"/>
  <c r="F21" i="1"/>
  <c r="F19" i="1"/>
  <c r="F20" i="1"/>
  <c r="F18" i="1"/>
  <c r="F22" i="1" s="1"/>
  <c r="F14" i="1"/>
  <c r="F15" i="4"/>
  <c r="F18" i="4"/>
  <c r="F19" i="4"/>
  <c r="F20" i="4"/>
  <c r="F21" i="4"/>
  <c r="F22" i="4"/>
  <c r="F23" i="4"/>
  <c r="F17" i="4"/>
  <c r="D15" i="2"/>
  <c r="F24" i="3"/>
  <c r="D19" i="2"/>
  <c r="D21" i="2"/>
  <c r="D18" i="2"/>
  <c r="F18" i="3"/>
  <c r="F16" i="3"/>
  <c r="F17" i="3"/>
  <c r="D20" i="2"/>
  <c r="D22" i="2"/>
  <c r="F15" i="3"/>
  <c r="D16" i="2"/>
  <c r="C24" i="2"/>
  <c r="D17" i="2"/>
  <c r="D23" i="2"/>
  <c r="F23" i="1" l="1"/>
  <c r="F25" i="4"/>
  <c r="F24" i="4"/>
  <c r="D24" i="2"/>
  <c r="F15" i="2" s="1"/>
  <c r="F25" i="3"/>
  <c r="B32" i="3" s="1"/>
  <c r="B32" i="4" l="1"/>
  <c r="F20" i="2"/>
  <c r="F23" i="2"/>
  <c r="F19" i="2"/>
  <c r="F21" i="2"/>
  <c r="F22" i="2"/>
  <c r="F17" i="2"/>
  <c r="F25" i="2" s="1"/>
  <c r="F18" i="2"/>
  <c r="F16" i="2"/>
  <c r="F24" i="2" l="1"/>
  <c r="B32" i="2" s="1"/>
  <c r="B29" i="1"/>
  <c r="B33" i="1" l="1"/>
  <c r="B34" i="1" s="1"/>
  <c r="B36" i="1" s="1"/>
</calcChain>
</file>

<file path=xl/sharedStrings.xml><?xml version="1.0" encoding="utf-8"?>
<sst xmlns="http://schemas.openxmlformats.org/spreadsheetml/2006/main" count="208" uniqueCount="67">
  <si>
    <t>MgO</t>
    <phoneticPr fontId="2" type="noConversion"/>
  </si>
  <si>
    <t>CaO</t>
    <phoneticPr fontId="2" type="noConversion"/>
  </si>
  <si>
    <t>Instructions</t>
    <phoneticPr fontId="2" type="noConversion"/>
  </si>
  <si>
    <t>(wt.%)</t>
    <phoneticPr fontId="2" type="noConversion"/>
  </si>
  <si>
    <r>
      <t>SiO</t>
    </r>
    <r>
      <rPr>
        <vertAlign val="subscript"/>
        <sz val="16"/>
        <rFont val="Times New Roman"/>
        <family val="1"/>
      </rPr>
      <t>2</t>
    </r>
    <phoneticPr fontId="2" type="noConversion"/>
  </si>
  <si>
    <r>
      <t>Liquid with &lt; 52 wt.% SiO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and &lt; 5 wt.% Na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O+K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</si>
  <si>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Liquid with &lt; 52 wt.% SiO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and &gt; 5 wt.% Na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O+K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</si>
  <si>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Liquid with &gt; 52 wt.% SiO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</si>
  <si>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(Plag)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</si>
  <si>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= Ca/(Ca+Na+K)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</si>
  <si>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(Plag)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</si>
  <si>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= Ca/(Ca+Na+K)</t>
    </r>
    <phoneticPr fontId="2" type="noConversion"/>
  </si>
  <si>
    <t>Calculations of plagioclase compositions with the T-independent empirical model for alkali-rich mafic-ultramafic melts (Eq.34)</t>
    <phoneticPr fontId="2" type="noConversion"/>
  </si>
  <si>
    <t>1. Input the liquid composition (B12-B20)</t>
    <phoneticPr fontId="2" type="noConversion"/>
  </si>
  <si>
    <t>Calculations of plagioclase compositions with the T-independent empirical model for intermediate-felsic melts (Eq.34)</t>
    <phoneticPr fontId="2" type="noConversion"/>
  </si>
  <si>
    <t>cations/5</t>
    <phoneticPr fontId="2" type="noConversion"/>
  </si>
  <si>
    <r>
      <t>Si</t>
    </r>
    <r>
      <rPr>
        <vertAlign val="subscript"/>
        <sz val="16"/>
        <rFont val="Times New Roman"/>
        <family val="1"/>
      </rPr>
      <t>8</t>
    </r>
    <phoneticPr fontId="2" type="noConversion"/>
  </si>
  <si>
    <r>
      <t>Ti</t>
    </r>
    <r>
      <rPr>
        <vertAlign val="subscript"/>
        <sz val="16"/>
        <rFont val="Times New Roman"/>
        <family val="1"/>
      </rPr>
      <t>8</t>
    </r>
    <phoneticPr fontId="2" type="noConversion"/>
  </si>
  <si>
    <r>
      <t>Al</t>
    </r>
    <r>
      <rPr>
        <vertAlign val="subscript"/>
        <sz val="16"/>
        <rFont val="Times New Roman"/>
        <family val="1"/>
      </rPr>
      <t>8</t>
    </r>
    <phoneticPr fontId="2" type="noConversion"/>
  </si>
  <si>
    <r>
      <t>Mg</t>
    </r>
    <r>
      <rPr>
        <vertAlign val="subscript"/>
        <sz val="16"/>
        <rFont val="Times New Roman"/>
        <family val="1"/>
      </rPr>
      <t>8</t>
    </r>
    <phoneticPr fontId="2" type="noConversion"/>
  </si>
  <si>
    <r>
      <t>Fe</t>
    </r>
    <r>
      <rPr>
        <vertAlign val="subscript"/>
        <sz val="16"/>
        <rFont val="Times New Roman"/>
        <family val="1"/>
      </rPr>
      <t>8</t>
    </r>
    <phoneticPr fontId="2" type="noConversion"/>
  </si>
  <si>
    <r>
      <t>Ca</t>
    </r>
    <r>
      <rPr>
        <vertAlign val="subscript"/>
        <sz val="16"/>
        <rFont val="Times New Roman"/>
        <family val="1"/>
      </rPr>
      <t>8</t>
    </r>
    <phoneticPr fontId="2" type="noConversion"/>
  </si>
  <si>
    <r>
      <t>Na</t>
    </r>
    <r>
      <rPr>
        <vertAlign val="subscript"/>
        <sz val="16"/>
        <rFont val="Times New Roman"/>
        <family val="1"/>
      </rPr>
      <t>8</t>
    </r>
    <phoneticPr fontId="2" type="noConversion"/>
  </si>
  <si>
    <r>
      <t>K</t>
    </r>
    <r>
      <rPr>
        <vertAlign val="subscript"/>
        <sz val="16"/>
        <rFont val="Times New Roman"/>
        <family val="1"/>
      </rPr>
      <t>8</t>
    </r>
    <phoneticPr fontId="2" type="noConversion"/>
  </si>
  <si>
    <r>
      <t>P</t>
    </r>
    <r>
      <rPr>
        <vertAlign val="subscript"/>
        <sz val="16"/>
        <rFont val="Times New Roman"/>
        <family val="1"/>
      </rPr>
      <t>8</t>
    </r>
    <phoneticPr fontId="2" type="noConversion"/>
  </si>
  <si>
    <r>
      <t>Ca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/Ca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+Na</t>
    </r>
    <r>
      <rPr>
        <vertAlign val="subscript"/>
        <sz val="16"/>
        <rFont val="Times New Roman"/>
        <family val="1"/>
      </rPr>
      <t>8</t>
    </r>
    <phoneticPr fontId="2" type="noConversion"/>
  </si>
  <si>
    <r>
      <t>Al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/Al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+Si</t>
    </r>
    <r>
      <rPr>
        <vertAlign val="subscript"/>
        <sz val="16"/>
        <rFont val="Times New Roman"/>
        <family val="1"/>
      </rPr>
      <t>8</t>
    </r>
    <phoneticPr fontId="2" type="noConversion"/>
  </si>
  <si>
    <t>Ci Param.</t>
    <phoneticPr fontId="2" type="noConversion"/>
  </si>
  <si>
    <t>values</t>
    <phoneticPr fontId="2" type="noConversion"/>
  </si>
  <si>
    <t>-</t>
    <phoneticPr fontId="2" type="noConversion"/>
  </si>
  <si>
    <t>-</t>
    <phoneticPr fontId="2" type="noConversion"/>
  </si>
  <si>
    <t>lnXAn (Plag)</t>
    <phoneticPr fontId="2" type="noConversion"/>
  </si>
  <si>
    <r>
      <t>Y</t>
    </r>
    <r>
      <rPr>
        <vertAlign val="subscript"/>
        <sz val="16"/>
        <rFont val="Times New Roman"/>
        <family val="1"/>
      </rPr>
      <t>i</t>
    </r>
    <phoneticPr fontId="2" type="noConversion"/>
  </si>
  <si>
    <t>Calculations of plagioclase compositions with the T-independent empirical model for mafic-ultramafic melts (Eq.33)</t>
    <phoneticPr fontId="2" type="noConversion"/>
  </si>
  <si>
    <t>Calculations of plagioclase compositions with the thermodynamically-derived model (Eq. 31)</t>
    <phoneticPr fontId="2" type="noConversion"/>
  </si>
  <si>
    <t>2. Calculation of the plagioclase composition</t>
    <phoneticPr fontId="2" type="noConversion"/>
  </si>
  <si>
    <t>To be completed by the user</t>
    <phoneticPr fontId="2" type="noConversion"/>
  </si>
  <si>
    <t>Solution</t>
    <phoneticPr fontId="2" type="noConversion"/>
  </si>
  <si>
    <r>
      <t>TiO</t>
    </r>
    <r>
      <rPr>
        <vertAlign val="subscript"/>
        <sz val="16"/>
        <rFont val="Times New Roman"/>
        <family val="1"/>
      </rPr>
      <t>2</t>
    </r>
    <phoneticPr fontId="2" type="noConversion"/>
  </si>
  <si>
    <r>
      <t>Al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3</t>
    </r>
    <phoneticPr fontId="2" type="noConversion"/>
  </si>
  <si>
    <r>
      <t>FeO</t>
    </r>
    <r>
      <rPr>
        <vertAlign val="subscript"/>
        <sz val="16"/>
        <rFont val="Times New Roman"/>
        <family val="1"/>
      </rPr>
      <t>t</t>
    </r>
    <phoneticPr fontId="2" type="noConversion"/>
  </si>
  <si>
    <t>1. Insert the starting liquid composition</t>
    <phoneticPr fontId="2" type="noConversion"/>
  </si>
  <si>
    <r>
      <t>Na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</si>
  <si>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K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</si>
  <si>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P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5</t>
    </r>
    <phoneticPr fontId="2" type="noConversion"/>
  </si>
  <si>
    <t xml:space="preserve">Molar </t>
    <phoneticPr fontId="2" type="noConversion"/>
  </si>
  <si>
    <t>proportions</t>
    <phoneticPr fontId="2" type="noConversion"/>
  </si>
  <si>
    <t>8-oxygens</t>
    <phoneticPr fontId="2" type="noConversion"/>
  </si>
  <si>
    <t>cations</t>
    <phoneticPr fontId="2" type="noConversion"/>
  </si>
  <si>
    <t>Analysis</t>
    <phoneticPr fontId="2" type="noConversion"/>
  </si>
  <si>
    <t>Temperature (°C)</t>
    <phoneticPr fontId="2" type="noConversion"/>
  </si>
  <si>
    <t>1. Input the liquid composition (B13-B22)</t>
    <phoneticPr fontId="2" type="noConversion"/>
  </si>
  <si>
    <t>Temperature (K)</t>
    <phoneticPr fontId="2" type="noConversion"/>
  </si>
  <si>
    <t>2. Insert temperature (°C)</t>
    <phoneticPr fontId="2" type="noConversion"/>
  </si>
  <si>
    <t>3. Calculation of the plagioclase composition</t>
    <phoneticPr fontId="2" type="noConversion"/>
  </si>
  <si>
    <t>2. Input the temperature (B25)</t>
    <phoneticPr fontId="2" type="noConversion"/>
  </si>
  <si>
    <t>lnaAn (Liq)</t>
    <phoneticPr fontId="2" type="noConversion"/>
  </si>
  <si>
    <t>Total</t>
    <phoneticPr fontId="2" type="noConversion"/>
  </si>
  <si>
    <t>Sample_ID</t>
  </si>
  <si>
    <t>Mafic</t>
  </si>
  <si>
    <t>Alk-rich Mafic</t>
  </si>
  <si>
    <t>Calc_An_Mafic</t>
  </si>
  <si>
    <t>Calc_An_Alk_rich</t>
  </si>
  <si>
    <t>Calc_An_IF</t>
  </si>
  <si>
    <t>T</t>
  </si>
  <si>
    <t>Felsic</t>
  </si>
  <si>
    <t>Calc_An_Thermo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</si>
</sst>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sz val="16"/>
      <color indexed="10"/>
      <name val="Times New Roman"/>
      <family val="1"/>
    </font>
    <font>
      <vertAlign val="subscript"/>
      <sz val="16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4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4" fillId="5" borderId="0" xfId="0" applyFont="1" applyFill="1" applyAlignment="1">
      <alignment horizontal="left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6"/>
  <sheetViews>
    <sheetView topLeftCell="B8" zoomScale="70" zoomScaleNormal="70" workbookViewId="0">
      <selection activeCell="G36" sqref="G36"/>
    </sheetView>
  </sheetViews>
  <sheetFormatPr defaultColWidth="11.5546875" defaultRowHeight="13.2" x14ac:dyDescent="0.25"/>
  <cols>
    <col min="1" max="1" width="26.6640625" customWidth="1"/>
    <col min="2" max="2" width="11.5546875" customWidth="1"/>
    <col min="3" max="4" width="14.33203125" customWidth="1"/>
    <col min="5" max="5" width="17.33203125" customWidth="1"/>
    <col min="6" max="6" width="33.33203125" customWidth="1"/>
    <col min="7" max="7" width="17.33203125" customWidth="1"/>
  </cols>
  <sheetData>
    <row r="2" spans="1:20" ht="22.8" x14ac:dyDescent="0.4">
      <c r="A2" s="2" t="s">
        <v>34</v>
      </c>
      <c r="B2" s="2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</row>
    <row r="4" spans="1:20" ht="21" x14ac:dyDescent="0.4">
      <c r="A4" s="8" t="s">
        <v>2</v>
      </c>
      <c r="B4" s="8"/>
    </row>
    <row r="5" spans="1:20" ht="21" x14ac:dyDescent="0.4">
      <c r="A5" s="7" t="s">
        <v>51</v>
      </c>
      <c r="B5" s="7"/>
      <c r="C5" s="7"/>
      <c r="D5" s="7"/>
      <c r="M5" s="4"/>
      <c r="N5" s="7" t="s">
        <v>36</v>
      </c>
      <c r="O5" s="7"/>
    </row>
    <row r="6" spans="1:20" ht="21" x14ac:dyDescent="0.4">
      <c r="A6" s="7" t="s">
        <v>55</v>
      </c>
      <c r="B6" s="7"/>
      <c r="C6" s="7"/>
      <c r="D6" s="7"/>
      <c r="M6" s="20"/>
      <c r="N6" s="7" t="s">
        <v>37</v>
      </c>
      <c r="O6" s="7"/>
    </row>
    <row r="9" spans="1:20" ht="21" x14ac:dyDescent="0.4">
      <c r="A9" s="6" t="s">
        <v>41</v>
      </c>
      <c r="B9" s="6"/>
      <c r="C9" s="6"/>
      <c r="D9" s="6"/>
      <c r="E9" s="3"/>
      <c r="F9" s="3"/>
      <c r="G9" s="3"/>
      <c r="H9" s="3"/>
      <c r="I9" s="3"/>
      <c r="M9" s="5"/>
      <c r="N9" s="5" t="s">
        <v>64</v>
      </c>
      <c r="O9" s="27">
        <v>1108.671</v>
      </c>
      <c r="P9" s="27">
        <v>1112.1331778507479</v>
      </c>
      <c r="Q9" s="27">
        <v>1112.1331778507479</v>
      </c>
      <c r="R9" s="27">
        <v>1112.1331778507479</v>
      </c>
      <c r="S9" s="27">
        <v>1137.213</v>
      </c>
      <c r="T9" s="27">
        <v>1137.213</v>
      </c>
    </row>
    <row r="10" spans="1:20" ht="21" x14ac:dyDescent="0.4">
      <c r="M10" s="5"/>
      <c r="N10" s="5"/>
      <c r="O10" s="16">
        <v>46.42</v>
      </c>
      <c r="P10">
        <v>46.700969649273915</v>
      </c>
      <c r="Q10">
        <v>46.700969649273915</v>
      </c>
      <c r="R10">
        <v>46.700969649273915</v>
      </c>
      <c r="S10">
        <v>48.24</v>
      </c>
      <c r="T10">
        <v>53</v>
      </c>
    </row>
    <row r="11" spans="1:20" ht="23.4" x14ac:dyDescent="0.5">
      <c r="A11" s="7"/>
      <c r="B11" s="10" t="s">
        <v>49</v>
      </c>
      <c r="C11" s="9" t="s">
        <v>45</v>
      </c>
      <c r="D11" s="9" t="s">
        <v>47</v>
      </c>
      <c r="E11" s="9" t="s">
        <v>32</v>
      </c>
      <c r="F11" s="9" t="s">
        <v>47</v>
      </c>
      <c r="G11" s="9" t="s">
        <v>27</v>
      </c>
      <c r="O11" s="16">
        <v>4.41</v>
      </c>
      <c r="P11">
        <v>5.2381992973483049</v>
      </c>
      <c r="Q11">
        <v>5.2381992973483049</v>
      </c>
      <c r="R11">
        <v>5.2381992973483049</v>
      </c>
      <c r="S11">
        <v>3.59</v>
      </c>
      <c r="T11">
        <v>3.59</v>
      </c>
    </row>
    <row r="12" spans="1:20" ht="21" x14ac:dyDescent="0.4">
      <c r="A12" s="7"/>
      <c r="B12" s="10" t="s">
        <v>3</v>
      </c>
      <c r="C12" s="9" t="s">
        <v>46</v>
      </c>
      <c r="D12" s="9" t="s">
        <v>48</v>
      </c>
      <c r="F12" s="9" t="s">
        <v>15</v>
      </c>
      <c r="G12" s="9" t="s">
        <v>28</v>
      </c>
      <c r="O12" s="16">
        <v>12.43</v>
      </c>
      <c r="P12">
        <v>12.46593749685443</v>
      </c>
      <c r="Q12">
        <v>12.46593749685443</v>
      </c>
      <c r="R12">
        <v>12.46593749685443</v>
      </c>
      <c r="S12">
        <v>16.45</v>
      </c>
      <c r="T12">
        <v>16.45</v>
      </c>
    </row>
    <row r="13" spans="1:20" ht="23.4" x14ac:dyDescent="0.5">
      <c r="A13" s="7" t="s">
        <v>4</v>
      </c>
      <c r="B13">
        <v>53</v>
      </c>
      <c r="C13" s="12">
        <f>(B13/60.085)/((B13/60.085)+(B14/79.879)+(B15/101.9612)+(B16/71.8464)+(B17/40.3044)+(B18/56.0794)+(B19/61.979)+(B20/94.196)+(B21/141.945))</f>
        <v>0.53701405777298283</v>
      </c>
      <c r="D13" s="12">
        <f>8*C13/(C13*2+C14*2+C15*3+C16+C17+C18+C19+C20+C21*5)</f>
        <v>2.428245443125058</v>
      </c>
      <c r="E13" s="9" t="s">
        <v>16</v>
      </c>
      <c r="F13" s="12">
        <f>D13*5/$D$22</f>
        <v>2.3453898706350764</v>
      </c>
      <c r="G13" s="15">
        <v>0.41</v>
      </c>
      <c r="J13" s="7"/>
      <c r="K13" s="7"/>
      <c r="O13" s="16">
        <v>15.5</v>
      </c>
      <c r="P13">
        <v>15.894384024665845</v>
      </c>
      <c r="Q13">
        <v>15.894384024665845</v>
      </c>
      <c r="R13">
        <v>15.894384024665845</v>
      </c>
      <c r="S13">
        <v>10.63</v>
      </c>
      <c r="T13">
        <v>10.63</v>
      </c>
    </row>
    <row r="14" spans="1:20" ht="23.4" x14ac:dyDescent="0.5">
      <c r="A14" s="7" t="s">
        <v>38</v>
      </c>
      <c r="B14">
        <v>3.59</v>
      </c>
      <c r="C14" s="12">
        <f>(B14/79.879)/((B13/60.085)+(B14/79.879)+(B15/101.9612)+(B16/71.8464)+(B17/40.3044)+(B18/56.0794)+(B19/61.979)+(B20/94.196)+(B21/141.945))</f>
        <v>2.7361359973003957E-2</v>
      </c>
      <c r="D14" s="12">
        <f>8*C14/(C13*2+C14*2+C15*3+C16+C17+C18+C19+C20+C21*5)</f>
        <v>0.12372133785041077</v>
      </c>
      <c r="E14" s="9" t="s">
        <v>17</v>
      </c>
      <c r="F14" s="12">
        <f t="shared" ref="F14:F21" si="0">D14*5/$D$22</f>
        <v>0.1194997702548264</v>
      </c>
      <c r="G14" s="15" t="s">
        <v>29</v>
      </c>
      <c r="O14" s="16">
        <v>4.71</v>
      </c>
      <c r="P14">
        <v>4.8822476542660596</v>
      </c>
      <c r="Q14">
        <v>4.8822476542660596</v>
      </c>
      <c r="R14">
        <v>4.8822476542660596</v>
      </c>
      <c r="S14">
        <v>6.13</v>
      </c>
      <c r="T14">
        <v>6.13</v>
      </c>
    </row>
    <row r="15" spans="1:20" ht="23.4" x14ac:dyDescent="0.5">
      <c r="A15" s="7" t="s">
        <v>39</v>
      </c>
      <c r="B15">
        <v>16.45</v>
      </c>
      <c r="C15" s="12">
        <f>(B15/101.9612)/((B13/60.085)+(B14/79.879)+(B15/101.9612)+(B16/71.8464)+(B17/40.3044)+(B18/56.0794)+(B19/61.979)+(B20/94.196)+(B21/141.945))</f>
        <v>9.8221557110295343E-2</v>
      </c>
      <c r="D15" s="12">
        <f>16*C15/(C13*2+C14*2+C15*3+C16+C17+C18+C19+C20+C21*5)</f>
        <v>0.88826742993960228</v>
      </c>
      <c r="E15" s="9" t="s">
        <v>18</v>
      </c>
      <c r="F15" s="12">
        <f t="shared" si="0"/>
        <v>0.85795834127633586</v>
      </c>
      <c r="G15" s="15">
        <v>-1.69</v>
      </c>
      <c r="O15" s="16">
        <v>10.220000000000001</v>
      </c>
      <c r="P15">
        <v>10.35944503873532</v>
      </c>
      <c r="Q15">
        <v>10.35944503873532</v>
      </c>
      <c r="R15">
        <v>10.35944503873532</v>
      </c>
      <c r="S15">
        <v>9.9600000000000009</v>
      </c>
      <c r="T15">
        <v>9.9600000000000009</v>
      </c>
    </row>
    <row r="16" spans="1:20" ht="23.4" x14ac:dyDescent="0.5">
      <c r="A16" s="7" t="s">
        <v>40</v>
      </c>
      <c r="B16">
        <v>10.63</v>
      </c>
      <c r="C16" s="12">
        <f>(B16/71.8464)/((B13/60.085)+(B14/79.879)+(B15/101.9612)+(B16/71.8464)+(B17/40.3044)+(B18/56.0794)+(B19/61.979)+(B20/94.196)+(B21/141.945))</f>
        <v>9.0074965245434804E-2</v>
      </c>
      <c r="D16" s="12">
        <f>8*C16/(C13*2+C14*2+C15*3+C16+C17+C18+C19+C20+C21*5)</f>
        <v>0.40729683093200958</v>
      </c>
      <c r="E16" s="9" t="s">
        <v>20</v>
      </c>
      <c r="F16" s="12">
        <f t="shared" si="0"/>
        <v>0.39339921930639243</v>
      </c>
      <c r="G16" s="15">
        <v>-0.34</v>
      </c>
      <c r="O16" s="16">
        <v>3.22</v>
      </c>
      <c r="P16">
        <v>4.0289822147318795</v>
      </c>
      <c r="Q16">
        <v>5</v>
      </c>
      <c r="R16">
        <v>5</v>
      </c>
      <c r="S16">
        <v>3.59</v>
      </c>
      <c r="T16">
        <v>3.59</v>
      </c>
    </row>
    <row r="17" spans="1:20" ht="23.4" x14ac:dyDescent="0.5">
      <c r="A17" s="7" t="s">
        <v>0</v>
      </c>
      <c r="B17">
        <v>6.13</v>
      </c>
      <c r="C17" s="12">
        <f>(B17/40.3044)/((B13/60.085)+(B14/79.879)+(B15/101.9612)+(B16/71.8464)+(B17/40.3044)+(B18/56.0794)+(B19/61.979)+(B20/94.196)+(B21/141.945))</f>
        <v>9.2594217263092804E-2</v>
      </c>
      <c r="D17" s="12">
        <f>8*C17/(C13*2+C14*2+C15*3+C16+C17+C18+C19+C20+C21*5)</f>
        <v>0.4186882687229132</v>
      </c>
      <c r="E17" s="9" t="s">
        <v>19</v>
      </c>
      <c r="F17" s="12">
        <f t="shared" si="0"/>
        <v>0.40440196323509953</v>
      </c>
      <c r="G17" s="15">
        <v>-0.51</v>
      </c>
      <c r="O17" s="16">
        <v>0.7</v>
      </c>
      <c r="P17">
        <v>1.0638003333389108</v>
      </c>
      <c r="Q17">
        <v>1.0638003333389108</v>
      </c>
      <c r="R17">
        <v>0</v>
      </c>
      <c r="S17">
        <v>1.43</v>
      </c>
      <c r="T17">
        <v>1.43</v>
      </c>
    </row>
    <row r="18" spans="1:20" ht="23.4" x14ac:dyDescent="0.5">
      <c r="A18" s="7" t="s">
        <v>1</v>
      </c>
      <c r="B18">
        <v>9.9600000000000009</v>
      </c>
      <c r="C18" s="12">
        <f>(B18/56.0794)/((B13/60.085)+(B14/79.879)+(B15/101.9612)+(B16/71.8464)+(B17/40.3044)+(B18/56.0794)+(B19/61.979)+(B20/94.196)+(B21/141.945))</f>
        <v>0.10812642163709969</v>
      </c>
      <c r="D18" s="12">
        <f>8*C18/(C13*2+C14*2+C15*3+C16+C17+C18+C19+C20+C21*5)</f>
        <v>0.48892107538216339</v>
      </c>
      <c r="E18" s="9" t="s">
        <v>21</v>
      </c>
      <c r="F18" s="12">
        <f t="shared" si="0"/>
        <v>0.47223831552446471</v>
      </c>
      <c r="G18" s="15">
        <v>-0.5</v>
      </c>
      <c r="O18" s="16">
        <v>0.6</v>
      </c>
      <c r="P18">
        <v>0.91038228379817077</v>
      </c>
      <c r="Q18">
        <v>0.91038228379817077</v>
      </c>
      <c r="R18">
        <v>0.91038228379817077</v>
      </c>
      <c r="S18">
        <v>0.49</v>
      </c>
      <c r="T18">
        <v>0.49</v>
      </c>
    </row>
    <row r="19" spans="1:20" ht="23.4" x14ac:dyDescent="0.5">
      <c r="A19" s="7" t="s">
        <v>42</v>
      </c>
      <c r="B19">
        <v>3.59</v>
      </c>
      <c r="C19" s="12">
        <f>(B19/61.979)/((B13/60.085)+(B14/79.879)+(B15/101.9612)+(B16/71.8464)+(B17/40.3044)+(B18/56.0794)+(B19/61.979)+(B20/94.196)+(B21/141.945))</f>
        <v>3.5263525924645177E-2</v>
      </c>
      <c r="D19" s="12">
        <f>16*C19/(C13*2+C14*2+C15*3+C16+C17+C18+C19+C20+C21*5)</f>
        <v>0.31890597609361115</v>
      </c>
      <c r="E19" s="9" t="s">
        <v>22</v>
      </c>
      <c r="F19" s="12">
        <f t="shared" si="0"/>
        <v>0.30802440014150856</v>
      </c>
      <c r="G19" s="15">
        <v>0.54</v>
      </c>
      <c r="O19">
        <v>0.57967515455881702</v>
      </c>
      <c r="P19">
        <v>0.55600581506163338</v>
      </c>
      <c r="Q19">
        <v>0.5306326012991488</v>
      </c>
      <c r="R19">
        <v>0.52627004299625502</v>
      </c>
      <c r="S19">
        <v>0.65122352283572382</v>
      </c>
      <c r="T19">
        <v>0.63519620327569948</v>
      </c>
    </row>
    <row r="20" spans="1:20" ht="23.4" x14ac:dyDescent="0.5">
      <c r="A20" s="7" t="s">
        <v>43</v>
      </c>
      <c r="B20">
        <v>1.43</v>
      </c>
      <c r="C20" s="12">
        <f>(B20/94.196)/((B13/60.085)+(B14/79.879)+(B15/101.9612)+(B16/71.8464)+(B17/40.3044)+(B18/56.0794)+(B19/61.979)+(B20/94.196)+(B21/141.945))</f>
        <v>9.2422865000965915E-3</v>
      </c>
      <c r="D20" s="12">
        <f>16*C20/(C13*2+C14*2+C15*3+C16+C17+C18+C19+C20+C21*5)</f>
        <v>8.3582691190565217E-2</v>
      </c>
      <c r="E20" s="9" t="s">
        <v>23</v>
      </c>
      <c r="F20" s="12">
        <f t="shared" si="0"/>
        <v>8.0730717660272081E-2</v>
      </c>
      <c r="G20" s="15" t="s">
        <v>30</v>
      </c>
    </row>
    <row r="21" spans="1:20" ht="23.4" x14ac:dyDescent="0.5">
      <c r="A21" s="7" t="s">
        <v>44</v>
      </c>
      <c r="B21">
        <v>0.49</v>
      </c>
      <c r="C21" s="12">
        <f>(B21/141.945)/((B13/60.085)+(B14/79.879)+(B15/101.9612)+(B16/71.8464)+(B17/40.3044)+(B18/56.0794)+(B19/61.979)+(B20/94.196)+(B21/141.945))</f>
        <v>2.1016085733488242E-3</v>
      </c>
      <c r="D21" s="12">
        <f>16*C21/(C13*2+C14*2+C15*3+C16+C17+C18+C19+C20+C21*5)</f>
        <v>1.9005913784194344E-2</v>
      </c>
      <c r="E21" s="9" t="s">
        <v>24</v>
      </c>
      <c r="F21" s="12">
        <f t="shared" si="0"/>
        <v>1.8357401966024096E-2</v>
      </c>
      <c r="G21" s="15" t="s">
        <v>30</v>
      </c>
    </row>
    <row r="22" spans="1:20" ht="23.4" x14ac:dyDescent="0.5">
      <c r="A22" s="7" t="s">
        <v>57</v>
      </c>
      <c r="B22" s="16">
        <f>SUM(B13:B21)</f>
        <v>105.27</v>
      </c>
      <c r="C22" s="12">
        <f>SUM(C13:C21)</f>
        <v>1</v>
      </c>
      <c r="D22" s="12">
        <f>SUM(D13:D21)</f>
        <v>5.1766349670205276</v>
      </c>
      <c r="E22" s="12" t="s">
        <v>25</v>
      </c>
      <c r="F22" s="12">
        <f>F18/(F18+F19)</f>
        <v>0.6052298873737646</v>
      </c>
      <c r="G22" s="15">
        <v>1.99</v>
      </c>
    </row>
    <row r="23" spans="1:20" ht="23.4" x14ac:dyDescent="0.5">
      <c r="A23" s="7"/>
      <c r="B23" s="17"/>
      <c r="C23" s="12"/>
      <c r="D23" s="12"/>
      <c r="E23" s="12" t="s">
        <v>26</v>
      </c>
      <c r="F23" s="12">
        <f>F15/(F15+F13)</f>
        <v>0.26783174494926326</v>
      </c>
      <c r="G23" s="15">
        <v>8.1999999999999993</v>
      </c>
    </row>
    <row r="24" spans="1:20" x14ac:dyDescent="0.25">
      <c r="E24" s="14"/>
      <c r="G24" s="13"/>
    </row>
    <row r="25" spans="1:20" x14ac:dyDescent="0.25">
      <c r="E25" s="13"/>
      <c r="G25" s="13"/>
    </row>
    <row r="26" spans="1:20" ht="21" x14ac:dyDescent="0.4">
      <c r="A26" s="6" t="s">
        <v>53</v>
      </c>
      <c r="B26" s="3"/>
      <c r="C26" s="3"/>
      <c r="D26" s="3"/>
      <c r="E26" s="3"/>
      <c r="F26" s="3"/>
      <c r="G26" s="3"/>
      <c r="H26" s="5"/>
    </row>
    <row r="28" spans="1:20" ht="21" x14ac:dyDescent="0.4">
      <c r="A28" s="11" t="s">
        <v>50</v>
      </c>
      <c r="B28" s="27">
        <v>1137.213</v>
      </c>
    </row>
    <row r="29" spans="1:20" ht="21" x14ac:dyDescent="0.4">
      <c r="A29" s="7" t="s">
        <v>52</v>
      </c>
      <c r="B29" s="9">
        <f>B28+273.15</f>
        <v>1410.3629999999998</v>
      </c>
    </row>
    <row r="31" spans="1:20" ht="21" x14ac:dyDescent="0.4">
      <c r="A31" s="6" t="s">
        <v>54</v>
      </c>
      <c r="B31" s="6"/>
      <c r="C31" s="3"/>
      <c r="D31" s="3"/>
      <c r="E31" s="3"/>
      <c r="F31" s="3"/>
      <c r="G31" s="3"/>
      <c r="H31" s="3"/>
      <c r="I31" s="3"/>
      <c r="J31" s="3"/>
    </row>
    <row r="33" spans="1:13" ht="21" x14ac:dyDescent="0.4">
      <c r="A33" s="9" t="s">
        <v>56</v>
      </c>
      <c r="B33" s="9">
        <f>5.72-(15339/B29)+((G13*F13)+(G15*F15)+(G16*F16)+(G17*F17)+(G18*F18)+(G19*F19)+(G22*F22)+(G23*F23))</f>
        <v>-2.6534221153167916</v>
      </c>
    </row>
    <row r="34" spans="1:13" ht="21" x14ac:dyDescent="0.4">
      <c r="A34" s="9" t="s">
        <v>31</v>
      </c>
      <c r="B34" s="9">
        <f>46.58-0.0018*B29-(5.77*LN(B29))+B33</f>
        <v>-0.45382134627787529</v>
      </c>
    </row>
    <row r="35" spans="1:13" ht="21" x14ac:dyDescent="0.4">
      <c r="A35" s="9"/>
      <c r="B35" s="9"/>
    </row>
    <row r="36" spans="1:13" ht="23.4" x14ac:dyDescent="0.5">
      <c r="A36" s="23" t="s">
        <v>8</v>
      </c>
      <c r="B36" s="19">
        <f>EXP(B34)</f>
        <v>0.63519620327569948</v>
      </c>
      <c r="K36" s="21" t="s">
        <v>9</v>
      </c>
      <c r="L36" s="21"/>
      <c r="M36" s="22"/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tabSelected="1" workbookViewId="0">
      <selection activeCell="L8" sqref="L8"/>
    </sheetView>
  </sheetViews>
  <sheetFormatPr defaultRowHeight="13.2" x14ac:dyDescent="0.25"/>
  <cols>
    <col min="1" max="1" width="16.109375" customWidth="1"/>
    <col min="12" max="12" width="19.5546875" customWidth="1"/>
    <col min="13" max="13" width="15.44140625" customWidth="1"/>
  </cols>
  <sheetData>
    <row r="1" spans="1:16" ht="23.4" x14ac:dyDescent="0.5">
      <c r="A1" s="24" t="s">
        <v>58</v>
      </c>
      <c r="B1" s="7" t="s">
        <v>4</v>
      </c>
      <c r="C1" s="7" t="s">
        <v>38</v>
      </c>
      <c r="D1" s="7" t="s">
        <v>39</v>
      </c>
      <c r="E1" s="7" t="s">
        <v>40</v>
      </c>
      <c r="F1" s="7" t="s">
        <v>0</v>
      </c>
      <c r="G1" s="7" t="s">
        <v>1</v>
      </c>
      <c r="H1" s="7" t="s">
        <v>42</v>
      </c>
      <c r="I1" s="7" t="s">
        <v>43</v>
      </c>
      <c r="J1" s="7" t="s">
        <v>44</v>
      </c>
      <c r="K1" s="7" t="s">
        <v>57</v>
      </c>
      <c r="L1" s="7" t="s">
        <v>61</v>
      </c>
      <c r="M1" s="7" t="s">
        <v>62</v>
      </c>
      <c r="N1" s="7" t="s">
        <v>63</v>
      </c>
      <c r="O1" s="7" t="s">
        <v>66</v>
      </c>
      <c r="P1" s="7" t="s">
        <v>64</v>
      </c>
    </row>
    <row r="2" spans="1:16" ht="21" x14ac:dyDescent="0.4">
      <c r="A2" s="24" t="s">
        <v>59</v>
      </c>
      <c r="B2" s="16">
        <v>46.42</v>
      </c>
      <c r="C2" s="16">
        <v>4.41</v>
      </c>
      <c r="D2" s="16">
        <v>12.43</v>
      </c>
      <c r="E2" s="16">
        <v>15.5</v>
      </c>
      <c r="F2" s="16">
        <v>4.71</v>
      </c>
      <c r="G2" s="16">
        <v>10.220000000000001</v>
      </c>
      <c r="H2" s="16">
        <v>3.22</v>
      </c>
      <c r="I2" s="16">
        <v>0.7</v>
      </c>
      <c r="J2" s="16">
        <v>0.6</v>
      </c>
      <c r="K2" s="16">
        <f>SUM(B2:J2)</f>
        <v>98.20999999999998</v>
      </c>
      <c r="L2">
        <v>0.60086228434955868</v>
      </c>
      <c r="M2">
        <v>0.52764105519800042</v>
      </c>
      <c r="N2">
        <v>0.53558153674041753</v>
      </c>
      <c r="O2">
        <v>0.57967515455881702</v>
      </c>
      <c r="P2">
        <f>20.1*F2+1014+273.15</f>
        <v>1381.8209999999999</v>
      </c>
    </row>
    <row r="3" spans="1:16" x14ac:dyDescent="0.25">
      <c r="A3" s="24" t="s">
        <v>59</v>
      </c>
      <c r="B3">
        <v>46.700969649273915</v>
      </c>
      <c r="C3">
        <v>5.2381992973483049</v>
      </c>
      <c r="D3">
        <v>12.46593749685443</v>
      </c>
      <c r="E3">
        <v>15.894384024665845</v>
      </c>
      <c r="F3">
        <v>4.8822476542660596</v>
      </c>
      <c r="G3">
        <v>10.35944503873532</v>
      </c>
      <c r="H3">
        <v>4.0289822147318795</v>
      </c>
      <c r="I3">
        <v>1.0638003333389108</v>
      </c>
      <c r="J3">
        <v>0.91038228379817077</v>
      </c>
      <c r="L3">
        <v>0.52896147090626777</v>
      </c>
      <c r="M3">
        <v>0.45394456528845684</v>
      </c>
      <c r="N3">
        <v>0.51099495861724442</v>
      </c>
      <c r="O3">
        <v>0.55600581506163338</v>
      </c>
      <c r="P3">
        <f t="shared" ref="P3:P7" si="0">20.1*F3+1014+273.15</f>
        <v>1385.283177850748</v>
      </c>
    </row>
    <row r="4" spans="1:16" x14ac:dyDescent="0.25">
      <c r="A4" s="24" t="s">
        <v>59</v>
      </c>
      <c r="B4">
        <v>46.700969649273915</v>
      </c>
      <c r="C4">
        <v>5.2381992973483049</v>
      </c>
      <c r="D4">
        <v>12.46593749685443</v>
      </c>
      <c r="E4">
        <v>15.894384024665845</v>
      </c>
      <c r="F4">
        <v>4.8822476542660596</v>
      </c>
      <c r="G4">
        <v>10.35944503873532</v>
      </c>
      <c r="H4">
        <v>5</v>
      </c>
      <c r="I4">
        <v>1.0638003333389108</v>
      </c>
      <c r="J4">
        <v>0.91038228379817077</v>
      </c>
      <c r="L4">
        <v>0.48023240750983232</v>
      </c>
      <c r="M4">
        <v>0.39059103180366694</v>
      </c>
      <c r="N4">
        <v>0.48962897394488114</v>
      </c>
      <c r="O4">
        <v>0.5306326012991488</v>
      </c>
      <c r="P4">
        <f t="shared" si="0"/>
        <v>1385.283177850748</v>
      </c>
    </row>
    <row r="5" spans="1:16" x14ac:dyDescent="0.25">
      <c r="A5" s="24" t="s">
        <v>59</v>
      </c>
      <c r="B5">
        <v>46.700969649273915</v>
      </c>
      <c r="C5">
        <v>5.2381992973483049</v>
      </c>
      <c r="D5">
        <v>12.46593749685443</v>
      </c>
      <c r="E5">
        <v>15.894384024665845</v>
      </c>
      <c r="F5">
        <v>4.8822476542660596</v>
      </c>
      <c r="G5">
        <v>10.35944503873532</v>
      </c>
      <c r="H5">
        <v>5</v>
      </c>
      <c r="I5">
        <v>0</v>
      </c>
      <c r="J5">
        <v>0.91038228379817077</v>
      </c>
      <c r="L5">
        <v>0.50205063555115703</v>
      </c>
      <c r="M5">
        <v>0.38993945677809538</v>
      </c>
      <c r="N5">
        <v>0.49061276271630772</v>
      </c>
      <c r="O5">
        <v>0.52627004299625502</v>
      </c>
      <c r="P5">
        <f t="shared" si="0"/>
        <v>1385.283177850748</v>
      </c>
    </row>
    <row r="6" spans="1:16" x14ac:dyDescent="0.25">
      <c r="A6" s="24" t="s">
        <v>60</v>
      </c>
      <c r="B6">
        <v>48.24</v>
      </c>
      <c r="C6">
        <v>3.59</v>
      </c>
      <c r="D6">
        <v>16.45</v>
      </c>
      <c r="E6">
        <v>10.63</v>
      </c>
      <c r="F6">
        <v>6.13</v>
      </c>
      <c r="G6">
        <v>9.9600000000000009</v>
      </c>
      <c r="H6">
        <v>3.59</v>
      </c>
      <c r="I6">
        <v>1.43</v>
      </c>
      <c r="J6">
        <v>0.49</v>
      </c>
      <c r="K6">
        <v>100.51</v>
      </c>
      <c r="L6">
        <v>0.65695704423062085</v>
      </c>
      <c r="M6">
        <v>0.72568765206186514</v>
      </c>
      <c r="N6">
        <v>0.62025506249303364</v>
      </c>
      <c r="O6">
        <v>0.65122352283572382</v>
      </c>
      <c r="P6">
        <f t="shared" si="0"/>
        <v>1410.3629999999998</v>
      </c>
    </row>
    <row r="7" spans="1:16" x14ac:dyDescent="0.25">
      <c r="A7" s="24" t="s">
        <v>65</v>
      </c>
      <c r="B7">
        <v>53</v>
      </c>
      <c r="C7">
        <v>3.59</v>
      </c>
      <c r="D7">
        <v>16.45</v>
      </c>
      <c r="E7">
        <v>10.63</v>
      </c>
      <c r="F7">
        <v>6.13</v>
      </c>
      <c r="G7">
        <v>9.9600000000000009</v>
      </c>
      <c r="H7">
        <v>3.59</v>
      </c>
      <c r="I7">
        <v>1.43</v>
      </c>
      <c r="J7">
        <v>0.49</v>
      </c>
      <c r="L7">
        <v>0.63382985363416433</v>
      </c>
      <c r="O7">
        <v>0.63519620327569948</v>
      </c>
      <c r="P7">
        <f t="shared" si="0"/>
        <v>1410.3629999999998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2"/>
  <sheetViews>
    <sheetView topLeftCell="A13" zoomScaleNormal="100" workbookViewId="0">
      <selection activeCell="B32" sqref="B32"/>
    </sheetView>
  </sheetViews>
  <sheetFormatPr defaultColWidth="11.5546875" defaultRowHeight="13.2" x14ac:dyDescent="0.25"/>
  <cols>
    <col min="1" max="1" width="17.6640625" customWidth="1"/>
    <col min="2" max="2" width="17.109375" customWidth="1"/>
    <col min="3" max="3" width="14.109375" customWidth="1"/>
    <col min="4" max="4" width="13.44140625" customWidth="1"/>
    <col min="5" max="5" width="11.5546875" customWidth="1"/>
    <col min="6" max="6" width="12.6640625" customWidth="1"/>
    <col min="7" max="7" width="14.109375" customWidth="1"/>
  </cols>
  <sheetData>
    <row r="2" spans="1:18" ht="22.8" x14ac:dyDescent="0.4">
      <c r="A2" s="2" t="s">
        <v>33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18" ht="23.4" x14ac:dyDescent="0.5">
      <c r="A4" s="21" t="s">
        <v>5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7" spans="1:18" ht="21" x14ac:dyDescent="0.4">
      <c r="A7" s="8" t="s">
        <v>2</v>
      </c>
      <c r="B7" s="8"/>
    </row>
    <row r="8" spans="1:18" ht="21" x14ac:dyDescent="0.4">
      <c r="A8" s="7" t="s">
        <v>13</v>
      </c>
      <c r="B8" s="7"/>
      <c r="C8" s="7"/>
      <c r="D8" s="7"/>
      <c r="M8" s="4"/>
      <c r="N8" s="7" t="s">
        <v>36</v>
      </c>
    </row>
    <row r="9" spans="1:18" ht="21" x14ac:dyDescent="0.4">
      <c r="M9" s="20"/>
      <c r="N9" s="7" t="s">
        <v>37</v>
      </c>
    </row>
    <row r="11" spans="1:18" ht="21" x14ac:dyDescent="0.4">
      <c r="A11" s="6" t="s">
        <v>41</v>
      </c>
      <c r="B11" s="6"/>
      <c r="C11" s="6"/>
      <c r="D11" s="6"/>
      <c r="E11" s="3"/>
      <c r="F11" s="3"/>
      <c r="G11" s="3"/>
      <c r="H11" s="3"/>
      <c r="I11" s="3"/>
      <c r="J11" s="3"/>
    </row>
    <row r="13" spans="1:18" ht="23.4" x14ac:dyDescent="0.5">
      <c r="A13" s="7"/>
      <c r="B13" s="10" t="s">
        <v>49</v>
      </c>
      <c r="C13" s="9" t="s">
        <v>45</v>
      </c>
      <c r="D13" s="9" t="s">
        <v>47</v>
      </c>
      <c r="E13" s="9" t="s">
        <v>32</v>
      </c>
      <c r="F13" s="9" t="s">
        <v>47</v>
      </c>
      <c r="G13" s="9" t="s">
        <v>27</v>
      </c>
    </row>
    <row r="14" spans="1:18" ht="21" x14ac:dyDescent="0.4">
      <c r="A14" s="7"/>
      <c r="B14" s="10" t="s">
        <v>3</v>
      </c>
      <c r="C14" s="9" t="s">
        <v>46</v>
      </c>
      <c r="D14" s="9" t="s">
        <v>48</v>
      </c>
      <c r="F14" s="9" t="s">
        <v>15</v>
      </c>
      <c r="G14" s="9" t="s">
        <v>28</v>
      </c>
    </row>
    <row r="15" spans="1:18" ht="23.4" x14ac:dyDescent="0.5">
      <c r="A15" s="7" t="s">
        <v>4</v>
      </c>
      <c r="B15">
        <v>53</v>
      </c>
      <c r="C15" s="12">
        <f>(B15/60.085)/((B15/60.085)+(B16/79.879)+(B17/101.9612)+(B18/71.8464)+(B19/40.3044)+(B20/56.0794)+(B21/61.979)+(B22/94.196)+(B23/141.945))</f>
        <v>0.53701405777298283</v>
      </c>
      <c r="D15" s="25">
        <f>8*C15/(C15*2+C16*2+C17*3+C18+C19+C20+C21+C22+C23*5)</f>
        <v>2.428245443125058</v>
      </c>
      <c r="E15" s="9" t="s">
        <v>16</v>
      </c>
      <c r="F15" s="12">
        <f>D15*5/$D$24</f>
        <v>2.3453898706350764</v>
      </c>
      <c r="G15" s="15">
        <v>0.55000000000000004</v>
      </c>
      <c r="H15" s="24">
        <v>46.42</v>
      </c>
      <c r="I15">
        <f ca="1">RAND()</f>
        <v>0.85095313303726661</v>
      </c>
    </row>
    <row r="16" spans="1:18" ht="23.4" x14ac:dyDescent="0.5">
      <c r="A16" s="7" t="s">
        <v>38</v>
      </c>
      <c r="B16">
        <v>3.59</v>
      </c>
      <c r="C16" s="12">
        <f>(B16/79.879)/((B15/60.085)+(B16/79.879)+(B17/101.9612)+(B18/71.8464)+(B19/40.3044)+(B20/56.0794)+(B21/61.979)+(B22/94.196)+(B23/141.945))</f>
        <v>2.7361359973003957E-2</v>
      </c>
      <c r="D16" s="25">
        <f>8*C16/(C15*2+C16*2+C17*3+C18+C19+C20+C21+C22+C23*5)</f>
        <v>0.12372133785041077</v>
      </c>
      <c r="E16" s="9" t="s">
        <v>17</v>
      </c>
      <c r="F16" s="12">
        <f>D16*5/$D$24</f>
        <v>0.1194997702548264</v>
      </c>
      <c r="G16" s="15" t="s">
        <v>29</v>
      </c>
      <c r="H16">
        <v>4.41</v>
      </c>
      <c r="I16">
        <f t="shared" ref="I16:I24" ca="1" si="0">RAND()</f>
        <v>0.52080677727917757</v>
      </c>
    </row>
    <row r="17" spans="1:13" ht="23.4" x14ac:dyDescent="0.5">
      <c r="A17" s="7" t="s">
        <v>39</v>
      </c>
      <c r="B17">
        <v>16.45</v>
      </c>
      <c r="C17" s="12">
        <f>(B17/101.9612)/((B15/60.085)+(B16/79.879)+(B17/101.9612)+(B18/71.8464)+(B19/40.3044)+(B20/56.0794)+(B21/61.979)+(B22/94.196)+(B23/141.945))</f>
        <v>9.8221557110295343E-2</v>
      </c>
      <c r="D17" s="26">
        <f>16*C17/(C15*2+C16*2+C17*3+C18+C19+C20+C21+C22+C23*5)</f>
        <v>0.88826742993960228</v>
      </c>
      <c r="E17" s="9" t="s">
        <v>18</v>
      </c>
      <c r="F17" s="12">
        <f t="shared" ref="F17:F23" si="1">D17*5/$D$24</f>
        <v>0.85795834127633586</v>
      </c>
      <c r="G17" s="15">
        <v>-0.04</v>
      </c>
      <c r="H17">
        <v>12.43</v>
      </c>
      <c r="I17">
        <f t="shared" ca="1" si="0"/>
        <v>0.97966702002058703</v>
      </c>
    </row>
    <row r="18" spans="1:13" ht="23.4" x14ac:dyDescent="0.5">
      <c r="A18" s="7" t="s">
        <v>40</v>
      </c>
      <c r="B18">
        <v>10.63</v>
      </c>
      <c r="C18" s="12">
        <f>(B18/71.8464)/((B15/60.085)+(B16/79.879)+(B17/101.9612)+(B18/71.8464)+(B19/40.3044)+(B20/56.0794)+(B21/61.979)+(B22/94.196)+(B23/141.945))</f>
        <v>9.0074965245434804E-2</v>
      </c>
      <c r="D18" s="25">
        <f>8*C18/(C15*2+C16*2+C17*3+C18+C19+C20+C21+C22+C23*5)</f>
        <v>0.40729683093200958</v>
      </c>
      <c r="E18" s="9" t="s">
        <v>20</v>
      </c>
      <c r="F18" s="12">
        <f t="shared" si="1"/>
        <v>0.39339921930639243</v>
      </c>
      <c r="G18" s="15">
        <v>0.35</v>
      </c>
      <c r="H18">
        <v>15.5</v>
      </c>
      <c r="I18">
        <f t="shared" ca="1" si="0"/>
        <v>9.9817079340678738E-2</v>
      </c>
    </row>
    <row r="19" spans="1:13" ht="23.4" x14ac:dyDescent="0.5">
      <c r="A19" s="7" t="s">
        <v>0</v>
      </c>
      <c r="B19">
        <v>6.13</v>
      </c>
      <c r="C19" s="12">
        <f>(B19/40.3044)/((B15/60.085)+(B16/79.879)+(B17/101.9612)+(B18/71.8464)+(B19/40.3044)+(B20/56.0794)+(B21/61.979)+(B22/94.196)+(B23/141.945))</f>
        <v>9.2594217263092804E-2</v>
      </c>
      <c r="D19" s="25">
        <f>8*C19/(C15*2+C16*2+C17*3+C18+C19+C20+C21+C22+C23*5)</f>
        <v>0.4186882687229132</v>
      </c>
      <c r="E19" s="9" t="s">
        <v>19</v>
      </c>
      <c r="F19" s="12">
        <f t="shared" si="1"/>
        <v>0.40440196323509953</v>
      </c>
      <c r="G19" s="15">
        <v>0.19</v>
      </c>
      <c r="H19">
        <v>4.71</v>
      </c>
      <c r="I19">
        <f t="shared" ca="1" si="0"/>
        <v>0.49937076922216361</v>
      </c>
    </row>
    <row r="20" spans="1:13" ht="23.4" x14ac:dyDescent="0.5">
      <c r="A20" s="7" t="s">
        <v>1</v>
      </c>
      <c r="B20">
        <v>9.9600000000000009</v>
      </c>
      <c r="C20" s="12">
        <f>(B20/56.0794)/((B15/60.085)+(B16/79.879)+(B17/101.9612)+(B18/71.8464)+(B19/40.3044)+(B20/56.0794)+(B21/61.979)+(B22/94.196)+(B23/141.945))</f>
        <v>0.10812642163709969</v>
      </c>
      <c r="D20" s="25">
        <f>8*C20/(C15*2+C16*2+C17*3+C18+C19+C20+C21+C22+C23*5)</f>
        <v>0.48892107538216339</v>
      </c>
      <c r="E20" s="9" t="s">
        <v>21</v>
      </c>
      <c r="F20" s="12">
        <f t="shared" si="1"/>
        <v>0.47223831552446471</v>
      </c>
      <c r="G20" s="15">
        <v>0.19</v>
      </c>
      <c r="H20">
        <v>10.220000000000001</v>
      </c>
      <c r="I20">
        <f t="shared" ca="1" si="0"/>
        <v>0.22827217648482012</v>
      </c>
    </row>
    <row r="21" spans="1:13" ht="23.4" x14ac:dyDescent="0.5">
      <c r="A21" s="7" t="s">
        <v>42</v>
      </c>
      <c r="B21">
        <v>3.59</v>
      </c>
      <c r="C21" s="12">
        <f>(B21/61.979)/((B15/60.085)+(B16/79.879)+(B17/101.9612)+(B18/71.8464)+(B19/40.3044)+(B20/56.0794)+(B21/61.979)+(B22/94.196)+(B23/141.945))</f>
        <v>3.5263525924645177E-2</v>
      </c>
      <c r="D21" s="25">
        <f>16*C21/(C15*2+C16*2+C17*3+C18+C19+C20+C21+C22+C23*5)</f>
        <v>0.31890597609361115</v>
      </c>
      <c r="E21" s="9" t="s">
        <v>22</v>
      </c>
      <c r="F21" s="12">
        <f t="shared" si="1"/>
        <v>0.30802440014150856</v>
      </c>
      <c r="G21" s="15">
        <v>0.45</v>
      </c>
      <c r="H21">
        <v>3.22</v>
      </c>
      <c r="I21">
        <f t="shared" ca="1" si="0"/>
        <v>0.17659044060956974</v>
      </c>
    </row>
    <row r="22" spans="1:13" ht="23.4" x14ac:dyDescent="0.5">
      <c r="A22" s="7" t="s">
        <v>43</v>
      </c>
      <c r="B22">
        <v>1.43</v>
      </c>
      <c r="C22" s="12">
        <f>(B22/94.196)/((B15/60.085)+(B16/79.879)+(B17/101.9612)+(B18/71.8464)+(B19/40.3044)+(B20/56.0794)+(B21/61.979)+(B22/94.196)+(B23/141.945))</f>
        <v>9.2422865000965915E-3</v>
      </c>
      <c r="D22" s="26">
        <f>16*C22/(C15*2+C16*2+C17*3+C18+C19+C20+C21+C22+C23*5)</f>
        <v>8.3582691190565217E-2</v>
      </c>
      <c r="E22" s="9" t="s">
        <v>23</v>
      </c>
      <c r="F22" s="12">
        <f t="shared" si="1"/>
        <v>8.0730717660272081E-2</v>
      </c>
      <c r="G22" s="15" t="s">
        <v>30</v>
      </c>
      <c r="H22">
        <v>0.7</v>
      </c>
      <c r="I22">
        <f t="shared" ca="1" si="0"/>
        <v>0.21946110846723554</v>
      </c>
    </row>
    <row r="23" spans="1:13" ht="23.4" x14ac:dyDescent="0.5">
      <c r="A23" s="7" t="s">
        <v>44</v>
      </c>
      <c r="B23">
        <v>0.49</v>
      </c>
      <c r="C23" s="12">
        <f>(B23/141.945)/((B15/60.085)+(B16/79.879)+(B17/101.9612)+(B18/71.8464)+(B19/40.3044)+(B20/56.0794)+(B21/61.979)+(B22/94.196)+(B23/141.945))</f>
        <v>2.1016085733488242E-3</v>
      </c>
      <c r="D23" s="26">
        <f>16*C23/(C15*2+C16*2+C17*3+C18+C19+C20+C21+C22+C23*5)</f>
        <v>1.9005913784194344E-2</v>
      </c>
      <c r="E23" s="9" t="s">
        <v>24</v>
      </c>
      <c r="F23" s="12">
        <f t="shared" si="1"/>
        <v>1.8357401966024096E-2</v>
      </c>
      <c r="G23" s="15" t="s">
        <v>30</v>
      </c>
      <c r="H23">
        <v>0.6</v>
      </c>
      <c r="I23">
        <f t="shared" ca="1" si="0"/>
        <v>0.88786456056500873</v>
      </c>
    </row>
    <row r="24" spans="1:13" ht="23.4" x14ac:dyDescent="0.5">
      <c r="A24" s="7" t="s">
        <v>57</v>
      </c>
      <c r="B24">
        <v>100.51</v>
      </c>
      <c r="C24" s="12">
        <f>SUM(C15:C23)</f>
        <v>1</v>
      </c>
      <c r="D24" s="25">
        <f>SUM(D15:D23)</f>
        <v>5.1766349670205276</v>
      </c>
      <c r="E24" s="12" t="s">
        <v>25</v>
      </c>
      <c r="F24" s="12">
        <f>F20/(F20+F21)</f>
        <v>0.6052298873737646</v>
      </c>
      <c r="G24" s="15">
        <v>1.0900000000000001</v>
      </c>
      <c r="H24">
        <v>98.20999999999998</v>
      </c>
      <c r="I24">
        <f t="shared" ca="1" si="0"/>
        <v>0.59803144180760637</v>
      </c>
    </row>
    <row r="25" spans="1:13" ht="23.4" x14ac:dyDescent="0.5">
      <c r="A25" s="7"/>
      <c r="B25" s="17"/>
      <c r="C25" s="12"/>
      <c r="D25" s="12"/>
      <c r="E25" s="12" t="s">
        <v>26</v>
      </c>
      <c r="F25" s="12">
        <f>F17/(F17+F15)</f>
        <v>0.26783174494926326</v>
      </c>
      <c r="G25" s="15">
        <v>3.68</v>
      </c>
    </row>
    <row r="26" spans="1:13" x14ac:dyDescent="0.25">
      <c r="E26" s="14"/>
      <c r="G26" s="13"/>
    </row>
    <row r="27" spans="1:13" x14ac:dyDescent="0.25">
      <c r="E27" s="13"/>
      <c r="G27" s="13"/>
    </row>
    <row r="29" spans="1:13" ht="21" x14ac:dyDescent="0.4">
      <c r="A29" s="6" t="s">
        <v>35</v>
      </c>
      <c r="B29" s="6"/>
      <c r="C29" s="3"/>
      <c r="D29" s="3"/>
      <c r="E29" s="3"/>
      <c r="F29" s="3"/>
      <c r="G29" s="3"/>
      <c r="H29" s="3"/>
      <c r="I29" s="3"/>
      <c r="J29" s="3"/>
    </row>
    <row r="31" spans="1:13" ht="21" x14ac:dyDescent="0.4">
      <c r="A31" s="9"/>
      <c r="B31" s="9"/>
    </row>
    <row r="32" spans="1:13" ht="23.4" x14ac:dyDescent="0.5">
      <c r="A32" s="23" t="s">
        <v>8</v>
      </c>
      <c r="B32" s="19">
        <f>-2.71+(G15*F15)+(G17*F17)+(G18*F18)+(G19*F19)+(G20*F20)+(G21*F21)+(G24*F24)+(G25*F25)</f>
        <v>0.63382985363416433</v>
      </c>
      <c r="K32" s="21" t="s">
        <v>9</v>
      </c>
      <c r="L32" s="21"/>
      <c r="M32" s="22"/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2"/>
  <sheetViews>
    <sheetView topLeftCell="A14" zoomScaleNormal="100" workbookViewId="0">
      <selection activeCell="B32" sqref="B32"/>
    </sheetView>
  </sheetViews>
  <sheetFormatPr defaultColWidth="11.5546875" defaultRowHeight="13.2" x14ac:dyDescent="0.25"/>
  <cols>
    <col min="1" max="1" width="16.6640625" customWidth="1"/>
    <col min="2" max="7" width="13.33203125" customWidth="1"/>
  </cols>
  <sheetData>
    <row r="2" spans="1:22" ht="22.8" x14ac:dyDescent="0.4">
      <c r="A2" s="2" t="s">
        <v>12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ht="23.4" x14ac:dyDescent="0.5">
      <c r="A4" s="21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7" spans="1:22" ht="21" x14ac:dyDescent="0.4">
      <c r="A7" s="8" t="s">
        <v>2</v>
      </c>
      <c r="B7" s="8"/>
    </row>
    <row r="8" spans="1:22" ht="21" x14ac:dyDescent="0.4">
      <c r="A8" s="7" t="s">
        <v>13</v>
      </c>
      <c r="B8" s="7"/>
      <c r="C8" s="7"/>
      <c r="D8" s="7"/>
      <c r="N8" s="4"/>
      <c r="O8" s="7" t="s">
        <v>36</v>
      </c>
    </row>
    <row r="9" spans="1:22" ht="21" x14ac:dyDescent="0.4">
      <c r="N9" s="20"/>
      <c r="O9" s="7" t="s">
        <v>37</v>
      </c>
    </row>
    <row r="11" spans="1:22" ht="21" x14ac:dyDescent="0.4">
      <c r="A11" s="6" t="s">
        <v>41</v>
      </c>
      <c r="B11" s="6"/>
      <c r="C11" s="6"/>
      <c r="D11" s="6"/>
      <c r="E11" s="3"/>
      <c r="F11" s="3"/>
      <c r="G11" s="3"/>
      <c r="H11" s="3"/>
      <c r="I11" s="3"/>
      <c r="J11" s="3"/>
    </row>
    <row r="13" spans="1:22" ht="23.4" x14ac:dyDescent="0.5">
      <c r="A13" s="7"/>
      <c r="B13" s="10" t="s">
        <v>49</v>
      </c>
      <c r="C13" s="9" t="s">
        <v>45</v>
      </c>
      <c r="D13" s="9" t="s">
        <v>47</v>
      </c>
      <c r="E13" s="9" t="s">
        <v>32</v>
      </c>
      <c r="F13" s="9" t="s">
        <v>47</v>
      </c>
      <c r="G13" s="9" t="s">
        <v>27</v>
      </c>
    </row>
    <row r="14" spans="1:22" ht="21" x14ac:dyDescent="0.4">
      <c r="A14" s="7"/>
      <c r="B14" s="10" t="s">
        <v>3</v>
      </c>
      <c r="C14" s="9" t="s">
        <v>46</v>
      </c>
      <c r="D14" s="9" t="s">
        <v>48</v>
      </c>
      <c r="F14" s="9" t="s">
        <v>15</v>
      </c>
      <c r="G14" s="9" t="s">
        <v>28</v>
      </c>
    </row>
    <row r="15" spans="1:22" ht="23.4" x14ac:dyDescent="0.5">
      <c r="A15" s="7" t="s">
        <v>4</v>
      </c>
      <c r="B15">
        <v>46.700969649273915</v>
      </c>
      <c r="C15" s="12">
        <f>(B15/60.085)/((B15/60.085)+(B16/79.879)+(B17/101.9612)+(B18/71.8464)+(B19/40.3044)+(B20/56.0794)+(B21/61.979)+(B22/94.196)+(B23/141.945))</f>
        <v>0.49215906410169535</v>
      </c>
      <c r="D15" s="12">
        <f>8*C15/(C15*2+C16*2+C17*3+C18+C19+C20+C21+C22+C23*5)</f>
        <v>2.3095744323194412</v>
      </c>
      <c r="E15" s="9" t="s">
        <v>16</v>
      </c>
      <c r="F15" s="12">
        <f>D15*5/$D$24</f>
        <v>2.1727718012528201</v>
      </c>
      <c r="G15" s="25">
        <v>1.1599999999999999</v>
      </c>
    </row>
    <row r="16" spans="1:22" ht="23.4" x14ac:dyDescent="0.5">
      <c r="A16" s="7" t="s">
        <v>38</v>
      </c>
      <c r="B16">
        <v>5.2381992973483049</v>
      </c>
      <c r="C16" s="12">
        <f>(B16/79.879)/((B15/60.085)+(B16/79.879)+(B17/101.9612)+(B18/71.8464)+(B19/40.3044)+(B20/56.0794)+(B21/61.979)+(B22/94.196)+(B23/141.945))</f>
        <v>4.1523605295689339E-2</v>
      </c>
      <c r="D16" s="12">
        <f>8*C16/(C15*2+C16*2+C17*3+C18+C19+C20+C21+C22+C23*5)</f>
        <v>0.1948594755715643</v>
      </c>
      <c r="E16" s="9" t="s">
        <v>17</v>
      </c>
      <c r="F16" s="12">
        <f t="shared" ref="F16:F23" si="0">D16*5/$D$24</f>
        <v>0.18331739726769217</v>
      </c>
      <c r="G16" s="25" t="s">
        <v>29</v>
      </c>
    </row>
    <row r="17" spans="1:13" ht="23.4" x14ac:dyDescent="0.5">
      <c r="A17" s="7" t="s">
        <v>39</v>
      </c>
      <c r="B17">
        <v>12.46593749685443</v>
      </c>
      <c r="C17" s="12">
        <f>(B17/101.9612)/((B15/60.085)+(B16/79.879)+(B17/101.9612)+(B18/71.8464)+(B19/40.3044)+(B20/56.0794)+(B21/61.979)+(B22/94.196)+(B23/141.945))</f>
        <v>7.7416879601236804E-2</v>
      </c>
      <c r="D17" s="12">
        <f>16*C17/(C15*2+C16*2+C17*3+C18+C19+C20+C21+C22+C23*5)</f>
        <v>0.72659454553913638</v>
      </c>
      <c r="E17" s="9" t="s">
        <v>18</v>
      </c>
      <c r="F17" s="12">
        <f t="shared" si="0"/>
        <v>0.68355629392124639</v>
      </c>
      <c r="G17" s="25">
        <v>-3.14</v>
      </c>
    </row>
    <row r="18" spans="1:13" ht="23.4" x14ac:dyDescent="0.5">
      <c r="A18" s="7" t="s">
        <v>40</v>
      </c>
      <c r="B18">
        <v>15.894384024665845</v>
      </c>
      <c r="C18" s="12">
        <f>(B18/71.8464)/((B15/60.085)+(B16/79.879)+(B17/101.9612)+(B18/71.8464)+(B19/40.3044)+(B20/56.0794)+(B21/61.979)+(B22/94.196)+(B23/141.945))</f>
        <v>0.14008264890603084</v>
      </c>
      <c r="D18" s="12">
        <f>8*C18/(C15*2+C16*2+C17*3+C18+C19+C20+C21+C22+C23*5)</f>
        <v>0.65737142302858842</v>
      </c>
      <c r="E18" s="9" t="s">
        <v>20</v>
      </c>
      <c r="F18" s="12">
        <f t="shared" si="0"/>
        <v>0.61843345289873841</v>
      </c>
      <c r="G18" s="25">
        <v>-0.34</v>
      </c>
    </row>
    <row r="19" spans="1:13" ht="23.4" x14ac:dyDescent="0.5">
      <c r="A19" s="7" t="s">
        <v>0</v>
      </c>
      <c r="B19">
        <v>4.8822476542660596</v>
      </c>
      <c r="C19" s="12">
        <f>(B19/40.3044)/((B15/60.085)+(B16/79.879)+(B17/101.9612)+(B18/71.8464)+(B19/40.3044)+(B20/56.0794)+(B21/61.979)+(B22/94.196)+(B23/141.945))</f>
        <v>7.6703114850955142E-2</v>
      </c>
      <c r="D19" s="12">
        <f>8*C19/(C15*2+C16*2+C17*3+C18+C19+C20+C21+C22+C23*5)</f>
        <v>0.35994776051187916</v>
      </c>
      <c r="E19" s="9" t="s">
        <v>19</v>
      </c>
      <c r="F19" s="12">
        <f t="shared" si="0"/>
        <v>0.33862703579502695</v>
      </c>
      <c r="G19" s="25">
        <v>-0.16</v>
      </c>
    </row>
    <row r="20" spans="1:13" ht="23.4" x14ac:dyDescent="0.5">
      <c r="A20" s="7" t="s">
        <v>1</v>
      </c>
      <c r="B20">
        <v>10.35944503873532</v>
      </c>
      <c r="C20" s="12">
        <f>(B20/56.0794)/((B15/60.085)+(B16/79.879)+(B17/101.9612)+(B18/71.8464)+(B19/40.3044)+(B20/56.0794)+(B21/61.979)+(B22/94.196)+(B23/141.945))</f>
        <v>0.11697115756123853</v>
      </c>
      <c r="D20" s="12">
        <f>8*C20/(C15*2+C16*2+C17*3+C18+C19+C20+C21+C22+C23*5)</f>
        <v>0.54891520755660261</v>
      </c>
      <c r="E20" s="9" t="s">
        <v>21</v>
      </c>
      <c r="F20" s="12">
        <f t="shared" si="0"/>
        <v>0.51640140606339424</v>
      </c>
      <c r="G20" s="25">
        <v>-0.82</v>
      </c>
    </row>
    <row r="21" spans="1:13" ht="23.4" x14ac:dyDescent="0.5">
      <c r="A21" s="7" t="s">
        <v>42</v>
      </c>
      <c r="B21">
        <v>5</v>
      </c>
      <c r="C21" s="12">
        <f>(B21/61.979)/((B15/60.085)+(B16/79.879)+(B17/101.9612)+(B18/71.8464)+(B19/40.3044)+(B20/56.0794)+(B21/61.979)+(B22/94.196)+(B23/141.945))</f>
        <v>5.1082376658274267E-2</v>
      </c>
      <c r="D21" s="12">
        <f>16*C21/(C15*2+C16*2+C17*3+C18+C19+C20+C21+C22+C23*5)</f>
        <v>0.47943260493393508</v>
      </c>
      <c r="E21" s="9" t="s">
        <v>22</v>
      </c>
      <c r="F21" s="12">
        <f t="shared" si="0"/>
        <v>0.45103445467028747</v>
      </c>
      <c r="G21" s="25">
        <v>0.57999999999999996</v>
      </c>
    </row>
    <row r="22" spans="1:13" ht="23.4" x14ac:dyDescent="0.5">
      <c r="A22" s="7" t="s">
        <v>43</v>
      </c>
      <c r="B22">
        <v>0</v>
      </c>
      <c r="C22" s="12">
        <f>(B22/94.196)/((B15/60.085)+(B16/79.879)+(B17/101.9612)+(B18/71.8464)+(B19/40.3044)+(B20/56.0794)+(B21/61.979)+(B22/94.196)+(B23/141.945))</f>
        <v>0</v>
      </c>
      <c r="D22" s="12">
        <f>16*C22/(C15*2+C16*2+C17*3+C18+C19+C20+C21+C22+C23*5)</f>
        <v>0</v>
      </c>
      <c r="E22" s="9" t="s">
        <v>23</v>
      </c>
      <c r="F22" s="12">
        <f t="shared" si="0"/>
        <v>0</v>
      </c>
      <c r="G22" s="25" t="s">
        <v>30</v>
      </c>
    </row>
    <row r="23" spans="1:13" ht="23.4" x14ac:dyDescent="0.5">
      <c r="A23" s="7" t="s">
        <v>44</v>
      </c>
      <c r="B23">
        <v>0.91038228379817077</v>
      </c>
      <c r="C23" s="12">
        <f>(B23/141.945)/((B15/60.085)+(B16/79.879)+(B17/101.9612)+(B18/71.8464)+(B19/40.3044)+(B20/56.0794)+(B21/61.979)+(B22/94.196)+(B23/141.945))</f>
        <v>4.0611530248796058E-3</v>
      </c>
      <c r="D23" s="12">
        <f>16*C23/(C15*2+C16*2+C17*3+C18+C19+C20+C21+C22+C23*5)</f>
        <v>3.8115868938098409E-2</v>
      </c>
      <c r="E23" s="9" t="s">
        <v>24</v>
      </c>
      <c r="F23" s="12">
        <f t="shared" si="0"/>
        <v>3.5858158130793648E-2</v>
      </c>
      <c r="G23" s="25" t="s">
        <v>30</v>
      </c>
    </row>
    <row r="24" spans="1:13" ht="23.4" x14ac:dyDescent="0.5">
      <c r="A24" s="7" t="s">
        <v>57</v>
      </c>
      <c r="B24" s="16">
        <f>SUM(B15:B23)</f>
        <v>101.45156544494203</v>
      </c>
      <c r="C24" s="12">
        <f>SUM(C15:C23)</f>
        <v>1</v>
      </c>
      <c r="D24" s="12">
        <f>SUM(D15:D23)</f>
        <v>5.3148113183992463</v>
      </c>
      <c r="E24" s="12" t="s">
        <v>25</v>
      </c>
      <c r="F24" s="12">
        <f>F20/(F20+F21)</f>
        <v>0.53378360987338935</v>
      </c>
      <c r="G24" s="25">
        <v>2.17</v>
      </c>
    </row>
    <row r="25" spans="1:13" ht="23.4" x14ac:dyDescent="0.5">
      <c r="A25" s="7"/>
      <c r="B25" s="17"/>
      <c r="C25" s="12"/>
      <c r="D25" s="12"/>
      <c r="E25" s="12" t="s">
        <v>26</v>
      </c>
      <c r="F25" s="12">
        <f>F17/(F17+F15)</f>
        <v>0.23931294695317207</v>
      </c>
      <c r="G25" s="25">
        <v>16.48</v>
      </c>
    </row>
    <row r="26" spans="1:13" x14ac:dyDescent="0.25">
      <c r="E26" s="14"/>
      <c r="G26" s="13"/>
    </row>
    <row r="27" spans="1:13" x14ac:dyDescent="0.25">
      <c r="E27" s="13"/>
      <c r="G27" s="13"/>
    </row>
    <row r="29" spans="1:13" ht="21" x14ac:dyDescent="0.4">
      <c r="A29" s="6" t="s">
        <v>35</v>
      </c>
      <c r="B29" s="6"/>
      <c r="C29" s="3"/>
      <c r="D29" s="3"/>
      <c r="E29" s="3"/>
      <c r="F29" s="3"/>
      <c r="G29" s="3"/>
      <c r="H29" s="3"/>
      <c r="I29" s="3"/>
      <c r="J29" s="3"/>
    </row>
    <row r="31" spans="1:13" ht="21" x14ac:dyDescent="0.4">
      <c r="A31" s="9"/>
      <c r="B31" s="9"/>
    </row>
    <row r="32" spans="1:13" ht="23.4" x14ac:dyDescent="0.5">
      <c r="A32" s="18" t="s">
        <v>8</v>
      </c>
      <c r="B32" s="19">
        <f>-4.66+(G15*F15)+(G17*F17)+(G18*F18)+(G19*F19)+(G20*F20)+(G21*F21)+(G24*F24)+(G25*F25)</f>
        <v>0.38993945677809538</v>
      </c>
      <c r="K32" s="21" t="s">
        <v>11</v>
      </c>
      <c r="L32" s="21"/>
      <c r="M32" s="22"/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32"/>
  <sheetViews>
    <sheetView topLeftCell="F12" zoomScaleNormal="100" workbookViewId="0">
      <selection activeCell="Q21" sqref="L13:Q21"/>
    </sheetView>
  </sheetViews>
  <sheetFormatPr defaultColWidth="11.5546875" defaultRowHeight="13.2" x14ac:dyDescent="0.25"/>
  <cols>
    <col min="1" max="1" width="16.6640625" customWidth="1"/>
    <col min="2" max="7" width="14.44140625" customWidth="1"/>
    <col min="8" max="8" width="11.5546875" customWidth="1"/>
  </cols>
  <sheetData>
    <row r="2" spans="1:21" ht="22.8" x14ac:dyDescent="0.4">
      <c r="A2" s="2" t="s">
        <v>14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1:21" ht="23.4" x14ac:dyDescent="0.5">
      <c r="A4" s="21" t="s">
        <v>7</v>
      </c>
      <c r="B4" s="22"/>
      <c r="C4" s="22"/>
      <c r="D4" s="22"/>
      <c r="E4" s="22"/>
      <c r="F4" s="22"/>
      <c r="G4" s="22"/>
      <c r="H4" s="22"/>
      <c r="I4" s="5"/>
      <c r="J4" s="5"/>
    </row>
    <row r="7" spans="1:21" ht="21" x14ac:dyDescent="0.4">
      <c r="A7" s="8" t="s">
        <v>2</v>
      </c>
      <c r="B7" s="8"/>
    </row>
    <row r="8" spans="1:21" ht="21" x14ac:dyDescent="0.4">
      <c r="A8" s="7" t="s">
        <v>13</v>
      </c>
      <c r="B8" s="7"/>
      <c r="C8" s="7"/>
      <c r="D8" s="7"/>
      <c r="N8" s="4"/>
      <c r="O8" s="7" t="s">
        <v>36</v>
      </c>
    </row>
    <row r="9" spans="1:21" ht="21" x14ac:dyDescent="0.4">
      <c r="N9" s="20"/>
      <c r="O9" s="7" t="s">
        <v>37</v>
      </c>
    </row>
    <row r="11" spans="1:21" ht="21" x14ac:dyDescent="0.4">
      <c r="A11" s="6" t="s">
        <v>41</v>
      </c>
      <c r="B11" s="6"/>
      <c r="C11" s="6"/>
      <c r="D11" s="6"/>
      <c r="E11" s="3"/>
      <c r="F11" s="3"/>
      <c r="G11" s="3"/>
      <c r="H11" s="3"/>
      <c r="I11" s="3"/>
    </row>
    <row r="13" spans="1:21" ht="23.4" x14ac:dyDescent="0.5">
      <c r="A13" s="7"/>
      <c r="B13" s="10" t="s">
        <v>49</v>
      </c>
      <c r="C13" s="9" t="s">
        <v>45</v>
      </c>
      <c r="D13" s="9" t="s">
        <v>47</v>
      </c>
      <c r="E13" s="9" t="s">
        <v>32</v>
      </c>
      <c r="F13" s="9" t="s">
        <v>47</v>
      </c>
      <c r="G13" s="9" t="s">
        <v>27</v>
      </c>
      <c r="L13" s="16">
        <v>46.42</v>
      </c>
      <c r="M13">
        <v>46.700969649273915</v>
      </c>
      <c r="N13">
        <v>46.700969649273915</v>
      </c>
      <c r="O13">
        <v>46.700969649273915</v>
      </c>
      <c r="P13">
        <v>48.24</v>
      </c>
      <c r="Q13">
        <v>53</v>
      </c>
    </row>
    <row r="14" spans="1:21" ht="21" x14ac:dyDescent="0.4">
      <c r="A14" s="7"/>
      <c r="B14" s="10" t="s">
        <v>3</v>
      </c>
      <c r="C14" s="9" t="s">
        <v>46</v>
      </c>
      <c r="D14" s="9" t="s">
        <v>48</v>
      </c>
      <c r="F14" s="9" t="s">
        <v>15</v>
      </c>
      <c r="G14" s="9" t="s">
        <v>28</v>
      </c>
      <c r="L14" s="16">
        <v>4.41</v>
      </c>
      <c r="M14">
        <v>5.2381992973483049</v>
      </c>
      <c r="N14">
        <v>5.2381992973483049</v>
      </c>
      <c r="O14">
        <v>5.2381992973483049</v>
      </c>
      <c r="P14">
        <v>3.59</v>
      </c>
      <c r="Q14">
        <v>3.59</v>
      </c>
    </row>
    <row r="15" spans="1:21" ht="23.4" x14ac:dyDescent="0.5">
      <c r="A15" s="7" t="s">
        <v>4</v>
      </c>
      <c r="B15">
        <v>53</v>
      </c>
      <c r="C15" s="12">
        <f>(B15/60.085)/((B15/60.085)+(B16/79.879)+(B17/101.9612)+(B18/71.8464)+(B19/40.3044)+(B20/56.0794)+(B21/61.979)+(B22/94.196)+(B23/141.945))</f>
        <v>0.53701405777298283</v>
      </c>
      <c r="D15" s="12">
        <f>8*C15/(C15*2+C16*2+C17*3+C18+C19+C20+C21+C22+C23*5)</f>
        <v>2.428245443125058</v>
      </c>
      <c r="E15" s="9" t="s">
        <v>16</v>
      </c>
      <c r="F15" s="12">
        <f>D15*5/$D$24</f>
        <v>2.3453898706350764</v>
      </c>
      <c r="G15" s="15">
        <v>-0.22</v>
      </c>
      <c r="L15" s="16">
        <v>12.43</v>
      </c>
      <c r="M15">
        <v>12.46593749685443</v>
      </c>
      <c r="N15">
        <v>12.46593749685443</v>
      </c>
      <c r="O15">
        <v>12.46593749685443</v>
      </c>
      <c r="P15">
        <v>16.45</v>
      </c>
      <c r="Q15">
        <v>16.45</v>
      </c>
    </row>
    <row r="16" spans="1:21" ht="23.4" x14ac:dyDescent="0.5">
      <c r="A16" s="7" t="s">
        <v>38</v>
      </c>
      <c r="B16">
        <v>3.59</v>
      </c>
      <c r="C16" s="12">
        <f>(B16/79.879)/((B15/60.085)+(B16/79.879)+(B17/101.9612)+(B18/71.8464)+(B19/40.3044)+(B20/56.0794)+(B21/61.979)+(B22/94.196)+(B23/141.945))</f>
        <v>2.7361359973003957E-2</v>
      </c>
      <c r="D16" s="12">
        <f>8*C16/(C15*2+C16*2+C17*3+C18+C19+C20+C21+C22+C23*5)</f>
        <v>0.12372133785041077</v>
      </c>
      <c r="E16" s="9" t="s">
        <v>17</v>
      </c>
      <c r="F16" s="12">
        <f t="shared" ref="F16:F23" si="0">D16*5/$D$24</f>
        <v>0.1194997702548264</v>
      </c>
      <c r="G16" s="15" t="s">
        <v>29</v>
      </c>
      <c r="L16" s="16">
        <v>15.5</v>
      </c>
      <c r="M16">
        <v>15.894384024665845</v>
      </c>
      <c r="N16">
        <v>15.894384024665845</v>
      </c>
      <c r="O16">
        <v>15.894384024665845</v>
      </c>
      <c r="P16">
        <v>10.63</v>
      </c>
      <c r="Q16">
        <v>10.63</v>
      </c>
    </row>
    <row r="17" spans="1:17" ht="23.4" x14ac:dyDescent="0.5">
      <c r="A17" s="7" t="s">
        <v>39</v>
      </c>
      <c r="B17">
        <v>16.45</v>
      </c>
      <c r="C17" s="12">
        <f>(B17/101.9612)/((B15/60.085)+(B16/79.879)+(B17/101.9612)+(B18/71.8464)+(B19/40.3044)+(B20/56.0794)+(B21/61.979)+(B22/94.196)+(B23/141.945))</f>
        <v>9.8221557110295343E-2</v>
      </c>
      <c r="D17" s="12">
        <f>16*C17/(C15*2+C16*2+C17*3+C18+C19+C20+C21+C22+C23*5)</f>
        <v>0.88826742993960228</v>
      </c>
      <c r="E17" s="9" t="s">
        <v>18</v>
      </c>
      <c r="F17" s="12">
        <f t="shared" si="0"/>
        <v>0.85795834127633586</v>
      </c>
      <c r="G17" s="15">
        <v>0.94</v>
      </c>
      <c r="L17" s="16">
        <v>4.71</v>
      </c>
      <c r="M17">
        <v>4.8822476542660596</v>
      </c>
      <c r="N17">
        <v>4.8822476542660596</v>
      </c>
      <c r="O17">
        <v>4.8822476542660596</v>
      </c>
      <c r="P17">
        <v>6.13</v>
      </c>
      <c r="Q17">
        <v>6.13</v>
      </c>
    </row>
    <row r="18" spans="1:17" ht="23.4" x14ac:dyDescent="0.5">
      <c r="A18" s="7" t="s">
        <v>40</v>
      </c>
      <c r="B18">
        <v>10.63</v>
      </c>
      <c r="C18" s="12">
        <f>(B18/71.8464)/((B15/60.085)+(B16/79.879)+(B17/101.9612)+(B18/71.8464)+(B19/40.3044)+(B20/56.0794)+(B21/61.979)+(B22/94.196)+(B23/141.945))</f>
        <v>9.0074965245434804E-2</v>
      </c>
      <c r="D18" s="12">
        <f>8*C18/(C15*2+C16*2+C17*3+C18+C19+C20+C21+C22+C23*5)</f>
        <v>0.40729683093200958</v>
      </c>
      <c r="E18" s="9" t="s">
        <v>20</v>
      </c>
      <c r="F18" s="12">
        <f t="shared" si="0"/>
        <v>0.39339921930639243</v>
      </c>
      <c r="G18" s="15">
        <v>-0.49</v>
      </c>
      <c r="L18" s="16">
        <v>10.220000000000001</v>
      </c>
      <c r="M18">
        <v>10.35944503873532</v>
      </c>
      <c r="N18">
        <v>10.35944503873532</v>
      </c>
      <c r="O18">
        <v>10.35944503873532</v>
      </c>
      <c r="P18">
        <v>9.9600000000000009</v>
      </c>
      <c r="Q18">
        <v>9.9600000000000009</v>
      </c>
    </row>
    <row r="19" spans="1:17" ht="23.4" x14ac:dyDescent="0.5">
      <c r="A19" s="7" t="s">
        <v>0</v>
      </c>
      <c r="B19">
        <v>6.13</v>
      </c>
      <c r="C19" s="12">
        <f>(B19/40.3044)/((B15/60.085)+(B16/79.879)+(B17/101.9612)+(B18/71.8464)+(B19/40.3044)+(B20/56.0794)+(B21/61.979)+(B22/94.196)+(B23/141.945))</f>
        <v>9.2594217263092804E-2</v>
      </c>
      <c r="D19" s="12">
        <f>8*C19/(C15*2+C16*2+C17*3+C18+C19+C20+C21+C22+C23*5)</f>
        <v>0.4186882687229132</v>
      </c>
      <c r="E19" s="9" t="s">
        <v>19</v>
      </c>
      <c r="F19" s="12">
        <f t="shared" si="0"/>
        <v>0.40440196323509953</v>
      </c>
      <c r="G19" s="15">
        <v>7.0000000000000007E-2</v>
      </c>
      <c r="L19" s="16">
        <v>3.22</v>
      </c>
      <c r="M19">
        <v>4.0289822147318795</v>
      </c>
      <c r="N19">
        <v>5</v>
      </c>
      <c r="O19">
        <v>5</v>
      </c>
      <c r="P19">
        <v>3.59</v>
      </c>
      <c r="Q19">
        <v>3.59</v>
      </c>
    </row>
    <row r="20" spans="1:17" ht="23.4" x14ac:dyDescent="0.5">
      <c r="A20" s="7" t="s">
        <v>1</v>
      </c>
      <c r="B20">
        <v>9.9600000000000009</v>
      </c>
      <c r="C20" s="12">
        <f>(B20/56.0794)/((B15/60.085)+(B16/79.879)+(B17/101.9612)+(B18/71.8464)+(B19/40.3044)+(B20/56.0794)+(B21/61.979)+(B22/94.196)+(B23/141.945))</f>
        <v>0.10812642163709969</v>
      </c>
      <c r="D20" s="12">
        <f>8*C20/(C15*2+C16*2+C17*3+C18+C19+C20+C21+C22+C23*5)</f>
        <v>0.48892107538216339</v>
      </c>
      <c r="E20" s="9" t="s">
        <v>21</v>
      </c>
      <c r="F20" s="12">
        <f t="shared" si="0"/>
        <v>0.47223831552446471</v>
      </c>
      <c r="G20" s="15">
        <v>0.41</v>
      </c>
      <c r="L20" s="16">
        <v>0.7</v>
      </c>
      <c r="M20">
        <v>1.0638003333389108</v>
      </c>
      <c r="N20">
        <v>1.0638003333389108</v>
      </c>
      <c r="O20">
        <v>0</v>
      </c>
      <c r="P20">
        <v>1.43</v>
      </c>
      <c r="Q20">
        <v>1.43</v>
      </c>
    </row>
    <row r="21" spans="1:17" ht="23.4" x14ac:dyDescent="0.5">
      <c r="A21" s="7" t="s">
        <v>42</v>
      </c>
      <c r="B21">
        <v>3.59</v>
      </c>
      <c r="C21" s="12">
        <f>(B21/61.979)/((B15/60.085)+(B16/79.879)+(B17/101.9612)+(B18/71.8464)+(B19/40.3044)+(B20/56.0794)+(B21/61.979)+(B22/94.196)+(B23/141.945))</f>
        <v>3.5263525924645177E-2</v>
      </c>
      <c r="D21" s="12">
        <f>16*C21/(C15*2+C16*2+C17*3+C18+C19+C20+C21+C22+C23*5)</f>
        <v>0.31890597609361115</v>
      </c>
      <c r="E21" s="9" t="s">
        <v>22</v>
      </c>
      <c r="F21" s="12">
        <f t="shared" si="0"/>
        <v>0.30802440014150856</v>
      </c>
      <c r="G21" s="15">
        <v>-0.04</v>
      </c>
      <c r="L21" s="16">
        <v>0.6</v>
      </c>
      <c r="M21">
        <v>0.91038228379817077</v>
      </c>
      <c r="N21">
        <v>0.91038228379817077</v>
      </c>
      <c r="O21">
        <v>0.91038228379817077</v>
      </c>
      <c r="P21">
        <v>0.49</v>
      </c>
      <c r="Q21">
        <v>0.49</v>
      </c>
    </row>
    <row r="22" spans="1:17" ht="23.4" x14ac:dyDescent="0.5">
      <c r="A22" s="7" t="s">
        <v>43</v>
      </c>
      <c r="B22">
        <v>1.43</v>
      </c>
      <c r="C22" s="12">
        <f>(B22/94.196)/((B15/60.085)+(B16/79.879)+(B17/101.9612)+(B18/71.8464)+(B19/40.3044)+(B20/56.0794)+(B21/61.979)+(B22/94.196)+(B23/141.945))</f>
        <v>9.2422865000965915E-3</v>
      </c>
      <c r="D22" s="12">
        <f>16*C22/(C15*2+C16*2+C17*3+C18+C19+C20+C21+C22+C23*5)</f>
        <v>8.3582691190565217E-2</v>
      </c>
      <c r="E22" s="9" t="s">
        <v>23</v>
      </c>
      <c r="F22" s="12">
        <f t="shared" si="0"/>
        <v>8.0730717660272081E-2</v>
      </c>
      <c r="G22" s="15" t="s">
        <v>30</v>
      </c>
      <c r="L22">
        <v>0.53558153674041753</v>
      </c>
      <c r="M22">
        <v>0.51099495861724442</v>
      </c>
      <c r="N22">
        <v>0.48962897394488114</v>
      </c>
      <c r="O22">
        <v>0.49061276271630772</v>
      </c>
      <c r="P22">
        <v>0.62025506249303364</v>
      </c>
    </row>
    <row r="23" spans="1:17" ht="23.4" x14ac:dyDescent="0.5">
      <c r="A23" s="7" t="s">
        <v>44</v>
      </c>
      <c r="B23">
        <v>0.49</v>
      </c>
      <c r="C23" s="12">
        <f>(B23/141.945)/((B15/60.085)+(B16/79.879)+(B17/101.9612)+(B18/71.8464)+(B19/40.3044)+(B20/56.0794)+(B21/61.979)+(B22/94.196)+(B23/141.945))</f>
        <v>2.1016085733488242E-3</v>
      </c>
      <c r="D23" s="12">
        <f>16*C23/(C15*2+C16*2+C17*3+C18+C19+C20+C21+C22+C23*5)</f>
        <v>1.9005913784194344E-2</v>
      </c>
      <c r="E23" s="9" t="s">
        <v>24</v>
      </c>
      <c r="F23" s="12">
        <f t="shared" si="0"/>
        <v>1.8357401966024096E-2</v>
      </c>
      <c r="G23" s="15" t="s">
        <v>30</v>
      </c>
    </row>
    <row r="24" spans="1:17" ht="23.4" x14ac:dyDescent="0.5">
      <c r="A24" s="7" t="s">
        <v>57</v>
      </c>
      <c r="B24" s="16">
        <f>SUM(B15:B23)</f>
        <v>105.27</v>
      </c>
      <c r="C24" s="12">
        <f>SUM(C15:C23)</f>
        <v>1</v>
      </c>
      <c r="D24" s="12">
        <f>SUM(D15:D23)</f>
        <v>5.1766349670205276</v>
      </c>
      <c r="E24" s="12" t="s">
        <v>25</v>
      </c>
      <c r="F24" s="12">
        <f>F20/(F20+F21)</f>
        <v>0.6052298873737646</v>
      </c>
      <c r="G24" s="15">
        <v>0.31</v>
      </c>
    </row>
    <row r="25" spans="1:17" ht="23.4" x14ac:dyDescent="0.5">
      <c r="A25" s="7"/>
      <c r="B25" s="17"/>
      <c r="C25" s="12"/>
      <c r="D25" s="12"/>
      <c r="E25" s="12" t="s">
        <v>26</v>
      </c>
      <c r="F25" s="12">
        <f>F17/(F17+F15)</f>
        <v>0.26783174494926326</v>
      </c>
      <c r="G25" s="15">
        <v>-3.86</v>
      </c>
    </row>
    <row r="26" spans="1:17" x14ac:dyDescent="0.25">
      <c r="E26" s="14"/>
      <c r="G26" s="13"/>
    </row>
    <row r="27" spans="1:17" x14ac:dyDescent="0.25">
      <c r="E27" s="13"/>
      <c r="G27" s="13"/>
    </row>
    <row r="29" spans="1:17" ht="21" x14ac:dyDescent="0.4">
      <c r="A29" s="6" t="s">
        <v>35</v>
      </c>
      <c r="B29" s="6"/>
      <c r="C29" s="3"/>
      <c r="D29" s="3"/>
      <c r="E29" s="3"/>
      <c r="F29" s="3"/>
      <c r="G29" s="3"/>
      <c r="H29" s="3"/>
      <c r="I29" s="3"/>
      <c r="J29" s="3"/>
    </row>
    <row r="31" spans="1:17" ht="21" x14ac:dyDescent="0.4">
      <c r="A31" s="9"/>
      <c r="B31" s="9"/>
    </row>
    <row r="32" spans="1:17" ht="23.4" x14ac:dyDescent="0.5">
      <c r="A32" s="18" t="s">
        <v>10</v>
      </c>
      <c r="B32" s="19">
        <f>1.17+(G15*F15)+(G17*F17)+(G18*F18)+(G19*F19)+(G20*F20)+(G21*F21)+(G24*F24)+(G25*F25)</f>
        <v>0.63112505216744474</v>
      </c>
      <c r="K32" s="21" t="s">
        <v>9</v>
      </c>
      <c r="L32" s="21"/>
      <c r="M32" s="22"/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Thermodynamic-model (Eq. 31)</vt:lpstr>
      <vt:lpstr>Thermobar_input</vt:lpstr>
      <vt:lpstr>Mafic-ultramafic (Eq. 33)</vt:lpstr>
      <vt:lpstr>Alk-rich maf-ultram (Eq. 34)</vt:lpstr>
      <vt:lpstr>Inter-felsic (Eq. 35)</vt:lpstr>
    </vt:vector>
  </TitlesOfParts>
  <Company>Université de Liège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Namur</dc:creator>
  <cp:lastModifiedBy>penny wieser</cp:lastModifiedBy>
  <dcterms:created xsi:type="dcterms:W3CDTF">2011-05-09T14:37:35Z</dcterms:created>
  <dcterms:modified xsi:type="dcterms:W3CDTF">2021-12-14T12:42:16Z</dcterms:modified>
</cp:coreProperties>
</file>