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ate1904="1" showInkAnnotation="0" autoCompressPictures="0"/>
  <mc:AlternateContent xmlns:mc="http://schemas.openxmlformats.org/markup-compatibility/2006">
    <mc:Choice Requires="x15">
      <x15ac:absPath xmlns:x15ac="http://schemas.microsoft.com/office/spreadsheetml/2010/11/ac" url="C:\Users\penny\OneDrive - Oregon State University\Postdoc\PyMME\MyBarometers\Thermobar_outer\Benchmarking\clinopyroxene\"/>
    </mc:Choice>
  </mc:AlternateContent>
  <xr:revisionPtr revIDLastSave="0" documentId="13_ncr:1_{693C6CD2-E560-4D6C-9D53-E32FC154A4DF}" xr6:coauthVersionLast="47" xr6:coauthVersionMax="47" xr10:uidLastSave="{00000000-0000-0000-0000-000000000000}"/>
  <bookViews>
    <workbookView xWindow="-108" yWindow="-108" windowWidth="23256" windowHeight="12720" tabRatio="828" activeTab="1" xr2:uid="{00000000-000D-0000-FFFF-FFFF00000000}"/>
  </bookViews>
  <sheets>
    <sheet name="Instructions" sheetId="5" r:id="rId1"/>
    <sheet name="Cpx Input &amp; Models" sheetId="1" r:id="rId2"/>
    <sheet name="P v T plot" sheetId="10" r:id="rId3"/>
    <sheet name="Test for Equilibrium" sheetId="4" r:id="rId4"/>
    <sheet name="En-Di-Fs diag" sheetId="14" r:id="rId5"/>
    <sheet name="Rhodes Diag" sheetId="13" r:id="rId6"/>
    <sheet name="Rhodes Diag Calcs" sheetId="11" r:id="rId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B15" i="1" l="1"/>
  <c r="BW15" i="1"/>
  <c r="BQ15" i="1" l="1"/>
  <c r="BP23" i="1"/>
  <c r="BP25" i="1"/>
  <c r="BP27" i="1"/>
  <c r="BP28" i="1"/>
  <c r="BP33" i="1"/>
  <c r="BP39" i="1"/>
  <c r="BO23" i="1"/>
  <c r="BO25" i="1"/>
  <c r="BO27" i="1"/>
  <c r="BO28" i="1"/>
  <c r="BO33" i="1"/>
  <c r="BO39" i="1"/>
  <c r="BN23" i="1"/>
  <c r="BN25" i="1"/>
  <c r="BN27" i="1"/>
  <c r="BN28" i="1"/>
  <c r="BN33" i="1"/>
  <c r="BN39" i="1"/>
  <c r="AC25" i="1"/>
  <c r="AB25" i="1"/>
  <c r="AA25" i="1"/>
  <c r="Y25" i="1"/>
  <c r="X25" i="1"/>
  <c r="W25" i="1"/>
  <c r="V25" i="1"/>
  <c r="DP25" i="1" s="1"/>
  <c r="U25" i="1"/>
  <c r="T25" i="1"/>
  <c r="S25" i="1"/>
  <c r="Q25" i="1"/>
  <c r="P25" i="1"/>
  <c r="O25" i="1"/>
  <c r="N25" i="1"/>
  <c r="GX25" i="1" s="1"/>
  <c r="M25" i="1"/>
  <c r="CU25" i="1" s="1"/>
  <c r="L25" i="1"/>
  <c r="K25" i="1"/>
  <c r="CS25" i="1" s="1"/>
  <c r="J25" i="1"/>
  <c r="H25" i="1"/>
  <c r="G25" i="1"/>
  <c r="F25" i="1"/>
  <c r="GY25" i="1" s="1"/>
  <c r="G24" i="1"/>
  <c r="H24" i="1"/>
  <c r="I24" i="1"/>
  <c r="J24" i="1"/>
  <c r="K24" i="1"/>
  <c r="L24" i="1"/>
  <c r="CT24" i="1" s="1"/>
  <c r="M24" i="1"/>
  <c r="N24" i="1"/>
  <c r="CV24" i="1" s="1"/>
  <c r="O24" i="1"/>
  <c r="P24" i="1"/>
  <c r="Q24" i="1"/>
  <c r="S24" i="1"/>
  <c r="T24" i="1"/>
  <c r="U24" i="1"/>
  <c r="V24" i="1"/>
  <c r="W24" i="1"/>
  <c r="X24" i="1"/>
  <c r="Y24" i="1"/>
  <c r="Z24" i="1"/>
  <c r="AA24" i="1"/>
  <c r="AB24" i="1"/>
  <c r="AC24" i="1"/>
  <c r="F24" i="1"/>
  <c r="CN24" i="1" s="1"/>
  <c r="S23" i="1"/>
  <c r="T23" i="1"/>
  <c r="U23" i="1"/>
  <c r="V23" i="1"/>
  <c r="W23" i="1"/>
  <c r="X23" i="1"/>
  <c r="DR23" i="1" s="1"/>
  <c r="ED23" i="1" s="1"/>
  <c r="Y23" i="1"/>
  <c r="DS23" i="1" s="1"/>
  <c r="EE23" i="1" s="1"/>
  <c r="Z23" i="1"/>
  <c r="AA23" i="1"/>
  <c r="AB23" i="1"/>
  <c r="AC23" i="1"/>
  <c r="G23" i="1"/>
  <c r="H23" i="1"/>
  <c r="I23" i="1"/>
  <c r="J23" i="1"/>
  <c r="K23" i="1"/>
  <c r="L23" i="1"/>
  <c r="M23" i="1"/>
  <c r="N23" i="1"/>
  <c r="GX23" i="1" s="1"/>
  <c r="O23" i="1"/>
  <c r="P23" i="1"/>
  <c r="Q23" i="1"/>
  <c r="F23" i="1"/>
  <c r="U22" i="1"/>
  <c r="V22" i="1"/>
  <c r="W22" i="1"/>
  <c r="X22" i="1"/>
  <c r="Y22" i="1"/>
  <c r="Z22" i="1"/>
  <c r="AA22" i="1"/>
  <c r="DU22" i="1" s="1"/>
  <c r="AB22" i="1"/>
  <c r="DV22" i="1" s="1"/>
  <c r="EH22" i="1" s="1"/>
  <c r="AC22" i="1"/>
  <c r="T22" i="1"/>
  <c r="G22" i="1"/>
  <c r="H22" i="1"/>
  <c r="CP22" i="1" s="1"/>
  <c r="I22" i="1"/>
  <c r="J22" i="1"/>
  <c r="K22" i="1"/>
  <c r="CS22" i="1" s="1"/>
  <c r="L22" i="1"/>
  <c r="F22" i="1"/>
  <c r="G21" i="1"/>
  <c r="CO21" i="1" s="1"/>
  <c r="H21" i="1"/>
  <c r="I21" i="1"/>
  <c r="J21" i="1"/>
  <c r="K21" i="1"/>
  <c r="L21" i="1"/>
  <c r="CT21" i="1" s="1"/>
  <c r="M21" i="1"/>
  <c r="N21" i="1"/>
  <c r="CV21" i="1" s="1"/>
  <c r="O21" i="1"/>
  <c r="CW21" i="1" s="1"/>
  <c r="P21" i="1"/>
  <c r="Q21" i="1"/>
  <c r="S21" i="1"/>
  <c r="T21" i="1"/>
  <c r="DN21" i="1" s="1"/>
  <c r="U21" i="1"/>
  <c r="V21" i="1"/>
  <c r="DP21" i="1" s="1"/>
  <c r="EB21" i="1" s="1"/>
  <c r="W21" i="1"/>
  <c r="DQ21" i="1" s="1"/>
  <c r="X21" i="1"/>
  <c r="Y21" i="1"/>
  <c r="Z21" i="1"/>
  <c r="AA21" i="1"/>
  <c r="AB21" i="1"/>
  <c r="AC21" i="1"/>
  <c r="F21" i="1"/>
  <c r="CN21" i="1" s="1"/>
  <c r="G20" i="1"/>
  <c r="H20" i="1"/>
  <c r="I20" i="1"/>
  <c r="J20" i="1"/>
  <c r="K20" i="1"/>
  <c r="L20" i="1"/>
  <c r="CT20" i="1" s="1"/>
  <c r="M20" i="1"/>
  <c r="N20" i="1"/>
  <c r="GX20" i="1" s="1"/>
  <c r="O20" i="1"/>
  <c r="P20" i="1"/>
  <c r="Q20" i="1"/>
  <c r="S20" i="1"/>
  <c r="T20" i="1"/>
  <c r="U20" i="1"/>
  <c r="V20" i="1"/>
  <c r="DP20" i="1" s="1"/>
  <c r="W20" i="1"/>
  <c r="X20" i="1"/>
  <c r="Y20" i="1"/>
  <c r="Z20" i="1"/>
  <c r="AA20" i="1"/>
  <c r="AB20" i="1"/>
  <c r="AC20" i="1"/>
  <c r="F20" i="1"/>
  <c r="C17" i="1"/>
  <c r="CN17" i="1"/>
  <c r="CO17" i="1"/>
  <c r="CP17" i="1"/>
  <c r="CQ17" i="1"/>
  <c r="CR17" i="1"/>
  <c r="CS17" i="1"/>
  <c r="CT17" i="1"/>
  <c r="CU17" i="1"/>
  <c r="CV17" i="1"/>
  <c r="CW17" i="1"/>
  <c r="CX17" i="1"/>
  <c r="DN17" i="1"/>
  <c r="DZ17" i="1" s="1"/>
  <c r="DO17" i="1"/>
  <c r="EA17" i="1" s="1"/>
  <c r="DP17" i="1"/>
  <c r="DQ17" i="1"/>
  <c r="FU17" i="1" s="1"/>
  <c r="DR17" i="1"/>
  <c r="DS17" i="1"/>
  <c r="EE17" i="1" s="1"/>
  <c r="DT17" i="1"/>
  <c r="DU17" i="1"/>
  <c r="DV17" i="1"/>
  <c r="EH17" i="1" s="1"/>
  <c r="DW17" i="1"/>
  <c r="EI17" i="1" s="1"/>
  <c r="EB17" i="1"/>
  <c r="EC17" i="1"/>
  <c r="ED17" i="1"/>
  <c r="EF17" i="1"/>
  <c r="GX17" i="1"/>
  <c r="GY17" i="1"/>
  <c r="IY17" i="1"/>
  <c r="IZ17" i="1"/>
  <c r="C18" i="1"/>
  <c r="CN18" i="1"/>
  <c r="CO18" i="1"/>
  <c r="CP18" i="1"/>
  <c r="CQ18" i="1"/>
  <c r="CR18" i="1"/>
  <c r="CS18" i="1"/>
  <c r="CT18" i="1"/>
  <c r="CU18" i="1"/>
  <c r="CV18" i="1"/>
  <c r="CW18" i="1"/>
  <c r="CX18" i="1"/>
  <c r="DN18" i="1"/>
  <c r="DO18" i="1"/>
  <c r="EA18" i="1" s="1"/>
  <c r="DP18" i="1"/>
  <c r="DQ18" i="1"/>
  <c r="DR18" i="1"/>
  <c r="ED18" i="1" s="1"/>
  <c r="DS18" i="1"/>
  <c r="DT18" i="1"/>
  <c r="DU18" i="1"/>
  <c r="DV18" i="1"/>
  <c r="DW18" i="1"/>
  <c r="EI18" i="1" s="1"/>
  <c r="DZ18" i="1"/>
  <c r="EB18" i="1"/>
  <c r="EC18" i="1"/>
  <c r="EH18" i="1"/>
  <c r="GX18" i="1"/>
  <c r="GY18" i="1"/>
  <c r="IY18" i="1"/>
  <c r="IZ18" i="1"/>
  <c r="C19" i="1"/>
  <c r="CN19" i="1"/>
  <c r="CO19" i="1"/>
  <c r="CP19" i="1"/>
  <c r="CQ19" i="1"/>
  <c r="CR19" i="1"/>
  <c r="CS19" i="1"/>
  <c r="CT19" i="1"/>
  <c r="CU19" i="1"/>
  <c r="CV19" i="1"/>
  <c r="CW19" i="1"/>
  <c r="CX19" i="1"/>
  <c r="DN19" i="1"/>
  <c r="DO19" i="1"/>
  <c r="DP19" i="1"/>
  <c r="DQ19" i="1"/>
  <c r="EC19" i="1" s="1"/>
  <c r="DR19" i="1"/>
  <c r="DS19" i="1"/>
  <c r="DT19" i="1"/>
  <c r="DU19" i="1"/>
  <c r="EG19" i="1" s="1"/>
  <c r="DV19" i="1"/>
  <c r="DW19" i="1"/>
  <c r="EI19" i="1" s="1"/>
  <c r="DZ19" i="1"/>
  <c r="EA19" i="1"/>
  <c r="EB19" i="1"/>
  <c r="EF19" i="1"/>
  <c r="EH19" i="1"/>
  <c r="GX19" i="1"/>
  <c r="GY19" i="1"/>
  <c r="IY19" i="1"/>
  <c r="IZ19" i="1"/>
  <c r="C20" i="1"/>
  <c r="CO20" i="1"/>
  <c r="CP20" i="1"/>
  <c r="CQ20" i="1"/>
  <c r="CR20" i="1"/>
  <c r="CS20" i="1"/>
  <c r="CU20" i="1"/>
  <c r="CW20" i="1"/>
  <c r="CX20" i="1"/>
  <c r="DN20" i="1"/>
  <c r="DO20" i="1"/>
  <c r="DX20" i="1" s="1"/>
  <c r="DQ20" i="1"/>
  <c r="DR20" i="1"/>
  <c r="ED20" i="1" s="1"/>
  <c r="DS20" i="1"/>
  <c r="EE20" i="1" s="1"/>
  <c r="DT20" i="1"/>
  <c r="DU20" i="1"/>
  <c r="DV20" i="1"/>
  <c r="DW20" i="1"/>
  <c r="EI20" i="1" s="1"/>
  <c r="DZ20" i="1"/>
  <c r="EC20" i="1"/>
  <c r="EF20" i="1"/>
  <c r="EG20" i="1"/>
  <c r="EH20" i="1"/>
  <c r="FU20" i="1"/>
  <c r="IY20" i="1"/>
  <c r="IZ20" i="1"/>
  <c r="C21" i="1"/>
  <c r="CP21" i="1"/>
  <c r="CQ21" i="1"/>
  <c r="CR21" i="1"/>
  <c r="CS21" i="1"/>
  <c r="CU21" i="1"/>
  <c r="CX21" i="1"/>
  <c r="DO21" i="1"/>
  <c r="EA21" i="1" s="1"/>
  <c r="DR21" i="1"/>
  <c r="DS21" i="1"/>
  <c r="EE21" i="1" s="1"/>
  <c r="DT21" i="1"/>
  <c r="DU21" i="1"/>
  <c r="EG21" i="1" s="1"/>
  <c r="DV21" i="1"/>
  <c r="DW21" i="1"/>
  <c r="ED21" i="1"/>
  <c r="GX21" i="1"/>
  <c r="GY21" i="1"/>
  <c r="IY21" i="1"/>
  <c r="IZ21" i="1"/>
  <c r="C22" i="1"/>
  <c r="CN22" i="1"/>
  <c r="CO22" i="1"/>
  <c r="CQ22" i="1"/>
  <c r="CR22" i="1"/>
  <c r="CT22" i="1"/>
  <c r="CU22" i="1"/>
  <c r="CV22" i="1"/>
  <c r="CW22" i="1"/>
  <c r="CX22" i="1"/>
  <c r="DN22" i="1"/>
  <c r="DO22" i="1"/>
  <c r="DP22" i="1"/>
  <c r="DQ22" i="1"/>
  <c r="EC22" i="1" s="1"/>
  <c r="DR22" i="1"/>
  <c r="DS22" i="1"/>
  <c r="EE22" i="1" s="1"/>
  <c r="DT22" i="1"/>
  <c r="EF22" i="1" s="1"/>
  <c r="DW22" i="1"/>
  <c r="DZ22" i="1"/>
  <c r="EA22" i="1"/>
  <c r="EB22" i="1"/>
  <c r="ED22" i="1"/>
  <c r="EI22" i="1"/>
  <c r="GX22" i="1"/>
  <c r="GY22" i="1"/>
  <c r="IY22" i="1"/>
  <c r="IZ22" i="1"/>
  <c r="C23" i="1"/>
  <c r="CN23" i="1"/>
  <c r="CO23" i="1"/>
  <c r="CP23" i="1"/>
  <c r="CQ23" i="1"/>
  <c r="CR23" i="1"/>
  <c r="CS23" i="1"/>
  <c r="CT23" i="1"/>
  <c r="CU23" i="1"/>
  <c r="CV23" i="1"/>
  <c r="CW23" i="1"/>
  <c r="CX23" i="1"/>
  <c r="DN23" i="1"/>
  <c r="DO23" i="1"/>
  <c r="EA23" i="1" s="1"/>
  <c r="DP23" i="1"/>
  <c r="EB23" i="1" s="1"/>
  <c r="DQ23" i="1"/>
  <c r="DT23" i="1"/>
  <c r="DU23" i="1"/>
  <c r="DV23" i="1"/>
  <c r="EH23" i="1" s="1"/>
  <c r="DW23" i="1"/>
  <c r="EI23" i="1" s="1"/>
  <c r="EF23" i="1"/>
  <c r="EG23" i="1"/>
  <c r="GY23" i="1"/>
  <c r="IY23" i="1"/>
  <c r="IZ23" i="1"/>
  <c r="C24" i="1"/>
  <c r="CO24" i="1"/>
  <c r="CP24" i="1"/>
  <c r="CQ24" i="1"/>
  <c r="CR24" i="1"/>
  <c r="CS24" i="1"/>
  <c r="CU24" i="1"/>
  <c r="CW24" i="1"/>
  <c r="CX24" i="1"/>
  <c r="DN24" i="1"/>
  <c r="DZ24" i="1" s="1"/>
  <c r="DO24" i="1"/>
  <c r="EA24" i="1" s="1"/>
  <c r="DP24" i="1"/>
  <c r="DQ24" i="1"/>
  <c r="DR24" i="1"/>
  <c r="DS24" i="1"/>
  <c r="DT24" i="1"/>
  <c r="DU24" i="1"/>
  <c r="DV24" i="1"/>
  <c r="EH24" i="1" s="1"/>
  <c r="DW24" i="1"/>
  <c r="EB24" i="1"/>
  <c r="EC24" i="1"/>
  <c r="ED24" i="1"/>
  <c r="EE24" i="1"/>
  <c r="EG24" i="1"/>
  <c r="GX24" i="1"/>
  <c r="GY24" i="1"/>
  <c r="IY24" i="1"/>
  <c r="IZ24" i="1"/>
  <c r="C25" i="1"/>
  <c r="CO25" i="1"/>
  <c r="CP25" i="1"/>
  <c r="CQ25" i="1"/>
  <c r="CR25" i="1"/>
  <c r="CT25" i="1"/>
  <c r="CW25" i="1"/>
  <c r="CX25" i="1"/>
  <c r="DN25" i="1"/>
  <c r="DO25" i="1"/>
  <c r="DQ25" i="1"/>
  <c r="DR25" i="1"/>
  <c r="DS25" i="1"/>
  <c r="DT25" i="1"/>
  <c r="EF25" i="1" s="1"/>
  <c r="DU25" i="1"/>
  <c r="EG25" i="1" s="1"/>
  <c r="DV25" i="1"/>
  <c r="DW25" i="1"/>
  <c r="ED25" i="1"/>
  <c r="EI25" i="1"/>
  <c r="IY25" i="1"/>
  <c r="IZ25" i="1"/>
  <c r="C26" i="1"/>
  <c r="CN26" i="1"/>
  <c r="CO26" i="1"/>
  <c r="CP26" i="1"/>
  <c r="CQ26" i="1"/>
  <c r="CR26" i="1"/>
  <c r="CS26" i="1"/>
  <c r="CT26" i="1"/>
  <c r="CU26" i="1"/>
  <c r="CV26" i="1"/>
  <c r="CW26" i="1"/>
  <c r="CX26" i="1"/>
  <c r="DN26" i="1"/>
  <c r="DO26" i="1"/>
  <c r="EA26" i="1" s="1"/>
  <c r="DP26" i="1"/>
  <c r="DQ26" i="1"/>
  <c r="DR26" i="1"/>
  <c r="ED26" i="1" s="1"/>
  <c r="DS26" i="1"/>
  <c r="DT26" i="1"/>
  <c r="DU26" i="1"/>
  <c r="DV26" i="1"/>
  <c r="EH26" i="1" s="1"/>
  <c r="DW26" i="1"/>
  <c r="EB26" i="1"/>
  <c r="EC26" i="1"/>
  <c r="EE26" i="1"/>
  <c r="EF26" i="1"/>
  <c r="EG26" i="1"/>
  <c r="FU26" i="1"/>
  <c r="GX26" i="1"/>
  <c r="GY26" i="1"/>
  <c r="IY26" i="1"/>
  <c r="IZ26" i="1"/>
  <c r="C27" i="1"/>
  <c r="CN27" i="1"/>
  <c r="CO27" i="1"/>
  <c r="CP27" i="1"/>
  <c r="CQ27" i="1"/>
  <c r="CR27" i="1"/>
  <c r="CS27" i="1"/>
  <c r="CT27" i="1"/>
  <c r="CU27" i="1"/>
  <c r="CV27" i="1"/>
  <c r="CW27" i="1"/>
  <c r="CX27" i="1"/>
  <c r="DN27" i="1"/>
  <c r="DX27" i="1" s="1"/>
  <c r="DO27" i="1"/>
  <c r="DP27" i="1"/>
  <c r="DQ27" i="1"/>
  <c r="DR27" i="1"/>
  <c r="DS27" i="1"/>
  <c r="DT27" i="1"/>
  <c r="DU27" i="1"/>
  <c r="DV27" i="1"/>
  <c r="DW27" i="1"/>
  <c r="DZ27" i="1"/>
  <c r="EA27" i="1"/>
  <c r="EB27" i="1"/>
  <c r="EE27" i="1"/>
  <c r="EF27" i="1"/>
  <c r="EH27" i="1"/>
  <c r="EI27" i="1"/>
  <c r="GX27" i="1"/>
  <c r="GY27" i="1"/>
  <c r="IY27" i="1"/>
  <c r="IZ27" i="1"/>
  <c r="C28" i="1"/>
  <c r="CN28" i="1"/>
  <c r="CO28" i="1"/>
  <c r="CP28" i="1"/>
  <c r="CQ28" i="1"/>
  <c r="CR28" i="1"/>
  <c r="CS28" i="1"/>
  <c r="CT28" i="1"/>
  <c r="CU28" i="1"/>
  <c r="CV28" i="1"/>
  <c r="CW28" i="1"/>
  <c r="CX28" i="1"/>
  <c r="DN28" i="1"/>
  <c r="DO28" i="1"/>
  <c r="DP28" i="1"/>
  <c r="DQ28" i="1"/>
  <c r="DR28" i="1"/>
  <c r="DS28" i="1"/>
  <c r="EE28" i="1" s="1"/>
  <c r="DT28" i="1"/>
  <c r="EF28" i="1" s="1"/>
  <c r="DU28" i="1"/>
  <c r="DV28" i="1"/>
  <c r="DW28" i="1"/>
  <c r="EI28" i="1" s="1"/>
  <c r="DZ28" i="1"/>
  <c r="EA28" i="1"/>
  <c r="EC28" i="1"/>
  <c r="EH28" i="1"/>
  <c r="FU28" i="1"/>
  <c r="GX28" i="1"/>
  <c r="GY28" i="1"/>
  <c r="IY28" i="1"/>
  <c r="IZ28" i="1"/>
  <c r="C29" i="1"/>
  <c r="CN29" i="1"/>
  <c r="CO29" i="1"/>
  <c r="CP29" i="1"/>
  <c r="CQ29" i="1"/>
  <c r="CR29" i="1"/>
  <c r="CS29" i="1"/>
  <c r="CT29" i="1"/>
  <c r="CU29" i="1"/>
  <c r="CV29" i="1"/>
  <c r="CW29" i="1"/>
  <c r="CX29" i="1"/>
  <c r="DN29" i="1"/>
  <c r="DO29" i="1"/>
  <c r="DP29" i="1"/>
  <c r="EB29" i="1" s="1"/>
  <c r="DQ29" i="1"/>
  <c r="EC29" i="1" s="1"/>
  <c r="DR29" i="1"/>
  <c r="DS29" i="1"/>
  <c r="DT29" i="1"/>
  <c r="EF29" i="1" s="1"/>
  <c r="DU29" i="1"/>
  <c r="DV29" i="1"/>
  <c r="DW29" i="1"/>
  <c r="EA29" i="1"/>
  <c r="ED29" i="1"/>
  <c r="EG29" i="1"/>
  <c r="EI29" i="1"/>
  <c r="GX29" i="1"/>
  <c r="GY29" i="1"/>
  <c r="IY29" i="1"/>
  <c r="IZ29" i="1"/>
  <c r="C30" i="1"/>
  <c r="CN30" i="1"/>
  <c r="CO30" i="1"/>
  <c r="CP30" i="1"/>
  <c r="CQ30" i="1"/>
  <c r="CR30" i="1"/>
  <c r="CS30" i="1"/>
  <c r="CT30" i="1"/>
  <c r="CU30" i="1"/>
  <c r="CV30" i="1"/>
  <c r="CW30" i="1"/>
  <c r="CX30" i="1"/>
  <c r="DN30" i="1"/>
  <c r="DO30" i="1"/>
  <c r="DP30" i="1"/>
  <c r="DQ30" i="1"/>
  <c r="DR30" i="1"/>
  <c r="DS30" i="1"/>
  <c r="DT30" i="1"/>
  <c r="DU30" i="1"/>
  <c r="DV30" i="1"/>
  <c r="EH30" i="1" s="1"/>
  <c r="DW30" i="1"/>
  <c r="DZ30" i="1"/>
  <c r="EB30" i="1"/>
  <c r="ED30" i="1"/>
  <c r="EE30" i="1"/>
  <c r="EF30" i="1"/>
  <c r="EG30" i="1"/>
  <c r="FU30" i="1"/>
  <c r="GX30" i="1"/>
  <c r="GY30" i="1"/>
  <c r="IY30" i="1"/>
  <c r="IZ30" i="1"/>
  <c r="C31" i="1"/>
  <c r="CN31" i="1"/>
  <c r="CO31" i="1"/>
  <c r="CP31" i="1"/>
  <c r="CQ31" i="1"/>
  <c r="CR31" i="1"/>
  <c r="CS31" i="1"/>
  <c r="CT31" i="1"/>
  <c r="CU31" i="1"/>
  <c r="CV31" i="1"/>
  <c r="CW31" i="1"/>
  <c r="CX31" i="1"/>
  <c r="DN31" i="1"/>
  <c r="DO31" i="1"/>
  <c r="EA31" i="1" s="1"/>
  <c r="DP31" i="1"/>
  <c r="DQ31" i="1"/>
  <c r="DR31" i="1"/>
  <c r="DS31" i="1"/>
  <c r="EE31" i="1" s="1"/>
  <c r="DT31" i="1"/>
  <c r="EF31" i="1" s="1"/>
  <c r="DU31" i="1"/>
  <c r="DV31" i="1"/>
  <c r="DW31" i="1"/>
  <c r="DZ31" i="1"/>
  <c r="EC31" i="1"/>
  <c r="EG31" i="1"/>
  <c r="EH31" i="1"/>
  <c r="EI31" i="1"/>
  <c r="FU31" i="1"/>
  <c r="GX31" i="1"/>
  <c r="GY31" i="1"/>
  <c r="IY31" i="1"/>
  <c r="IZ31" i="1"/>
  <c r="C32" i="1"/>
  <c r="CN32" i="1"/>
  <c r="CO32" i="1"/>
  <c r="CP32" i="1"/>
  <c r="CQ32" i="1"/>
  <c r="CR32" i="1"/>
  <c r="CS32" i="1"/>
  <c r="CT32" i="1"/>
  <c r="CU32" i="1"/>
  <c r="CV32" i="1"/>
  <c r="CW32" i="1"/>
  <c r="CX32" i="1"/>
  <c r="DN32" i="1"/>
  <c r="DZ32" i="1" s="1"/>
  <c r="DO32" i="1"/>
  <c r="DP32" i="1"/>
  <c r="DQ32" i="1"/>
  <c r="EC32" i="1" s="1"/>
  <c r="DR32" i="1"/>
  <c r="DS32" i="1"/>
  <c r="DT32" i="1"/>
  <c r="DU32" i="1"/>
  <c r="EG32" i="1" s="1"/>
  <c r="DV32" i="1"/>
  <c r="EH32" i="1" s="1"/>
  <c r="DW32" i="1"/>
  <c r="ED32" i="1"/>
  <c r="EE32" i="1"/>
  <c r="EF32" i="1"/>
  <c r="GX32" i="1"/>
  <c r="GY32" i="1"/>
  <c r="IY32" i="1"/>
  <c r="IZ32" i="1"/>
  <c r="C33" i="1"/>
  <c r="CN33" i="1"/>
  <c r="CO33" i="1"/>
  <c r="CP33" i="1"/>
  <c r="CQ33" i="1"/>
  <c r="CR33" i="1"/>
  <c r="CS33" i="1"/>
  <c r="CT33" i="1"/>
  <c r="CU33" i="1"/>
  <c r="CV33" i="1"/>
  <c r="CW33" i="1"/>
  <c r="CX33" i="1"/>
  <c r="DN33" i="1"/>
  <c r="DO33" i="1"/>
  <c r="EA33" i="1" s="1"/>
  <c r="DP33" i="1"/>
  <c r="DQ33" i="1"/>
  <c r="EC33" i="1" s="1"/>
  <c r="DR33" i="1"/>
  <c r="DS33" i="1"/>
  <c r="DT33" i="1"/>
  <c r="DU33" i="1"/>
  <c r="EG33" i="1" s="1"/>
  <c r="DV33" i="1"/>
  <c r="DW33" i="1"/>
  <c r="EI33" i="1" s="1"/>
  <c r="DZ33" i="1"/>
  <c r="ED33" i="1"/>
  <c r="EE33" i="1"/>
  <c r="EH33" i="1"/>
  <c r="FU33" i="1"/>
  <c r="GX33" i="1"/>
  <c r="GY33" i="1"/>
  <c r="IY33" i="1"/>
  <c r="IZ33" i="1"/>
  <c r="C34" i="1"/>
  <c r="CN34" i="1"/>
  <c r="CO34" i="1"/>
  <c r="CP34" i="1"/>
  <c r="CQ34" i="1"/>
  <c r="CR34" i="1"/>
  <c r="CY34" i="1" s="1"/>
  <c r="DE34" i="1" s="1"/>
  <c r="CS34" i="1"/>
  <c r="CT34" i="1"/>
  <c r="CU34" i="1"/>
  <c r="CV34" i="1"/>
  <c r="CW34" i="1"/>
  <c r="CX34" i="1"/>
  <c r="DI34" i="1"/>
  <c r="DN34" i="1"/>
  <c r="DO34" i="1"/>
  <c r="DP34" i="1"/>
  <c r="EB34" i="1" s="1"/>
  <c r="DQ34" i="1"/>
  <c r="DR34" i="1"/>
  <c r="DS34" i="1"/>
  <c r="EE34" i="1" s="1"/>
  <c r="DT34" i="1"/>
  <c r="EF34" i="1" s="1"/>
  <c r="DU34" i="1"/>
  <c r="EG34" i="1" s="1"/>
  <c r="DV34" i="1"/>
  <c r="DW34" i="1"/>
  <c r="DZ34" i="1"/>
  <c r="EA34" i="1"/>
  <c r="ED34" i="1"/>
  <c r="EH34" i="1"/>
  <c r="EI34" i="1"/>
  <c r="GX34" i="1"/>
  <c r="GY34" i="1"/>
  <c r="IY34" i="1"/>
  <c r="IZ34" i="1"/>
  <c r="C35" i="1"/>
  <c r="CN35" i="1"/>
  <c r="CO35" i="1"/>
  <c r="CP35" i="1"/>
  <c r="CQ35" i="1"/>
  <c r="CR35" i="1"/>
  <c r="CS35" i="1"/>
  <c r="CT35" i="1"/>
  <c r="CU35" i="1"/>
  <c r="CV35" i="1"/>
  <c r="CW35" i="1"/>
  <c r="CX35" i="1"/>
  <c r="DN35" i="1"/>
  <c r="DZ35" i="1" s="1"/>
  <c r="DO35" i="1"/>
  <c r="EA35" i="1" s="1"/>
  <c r="DP35" i="1"/>
  <c r="DQ35" i="1"/>
  <c r="EC35" i="1" s="1"/>
  <c r="DR35" i="1"/>
  <c r="DS35" i="1"/>
  <c r="DT35" i="1"/>
  <c r="DU35" i="1"/>
  <c r="DX35" i="1" s="1"/>
  <c r="DV35" i="1"/>
  <c r="EH35" i="1" s="1"/>
  <c r="DW35" i="1"/>
  <c r="EI35" i="1" s="1"/>
  <c r="EE35" i="1"/>
  <c r="EF35" i="1"/>
  <c r="FU35" i="1"/>
  <c r="GX35" i="1"/>
  <c r="GY35" i="1"/>
  <c r="IY35" i="1"/>
  <c r="IZ35" i="1"/>
  <c r="C36" i="1"/>
  <c r="CN36" i="1"/>
  <c r="CO36" i="1"/>
  <c r="CP36" i="1"/>
  <c r="CQ36" i="1"/>
  <c r="CR36" i="1"/>
  <c r="CS36" i="1"/>
  <c r="CT36" i="1"/>
  <c r="CU36" i="1"/>
  <c r="CV36" i="1"/>
  <c r="CW36" i="1"/>
  <c r="CX36" i="1"/>
  <c r="DN36" i="1"/>
  <c r="DO36" i="1"/>
  <c r="EA36" i="1" s="1"/>
  <c r="DP36" i="1"/>
  <c r="DQ36" i="1"/>
  <c r="DR36" i="1"/>
  <c r="DS36" i="1"/>
  <c r="DT36" i="1"/>
  <c r="EF36" i="1" s="1"/>
  <c r="DU36" i="1"/>
  <c r="DV36" i="1"/>
  <c r="DW36" i="1"/>
  <c r="EI36" i="1" s="1"/>
  <c r="DZ36" i="1"/>
  <c r="EC36" i="1"/>
  <c r="ED36" i="1"/>
  <c r="EG36" i="1"/>
  <c r="GX36" i="1"/>
  <c r="GY36" i="1"/>
  <c r="IY36" i="1"/>
  <c r="IZ36" i="1"/>
  <c r="C37" i="1"/>
  <c r="CN37" i="1"/>
  <c r="CO37" i="1"/>
  <c r="CP37" i="1"/>
  <c r="CQ37" i="1"/>
  <c r="CR37" i="1"/>
  <c r="CS37" i="1"/>
  <c r="CT37" i="1"/>
  <c r="CU37" i="1"/>
  <c r="CV37" i="1"/>
  <c r="CW37" i="1"/>
  <c r="CX37" i="1"/>
  <c r="DN37" i="1"/>
  <c r="DO37" i="1"/>
  <c r="DP37" i="1"/>
  <c r="DQ37" i="1"/>
  <c r="DR37" i="1"/>
  <c r="DS37" i="1"/>
  <c r="DT37" i="1"/>
  <c r="DU37" i="1"/>
  <c r="EG37" i="1" s="1"/>
  <c r="DV37" i="1"/>
  <c r="DW37" i="1"/>
  <c r="EA37" i="1"/>
  <c r="EC37" i="1"/>
  <c r="EE37" i="1"/>
  <c r="EF37" i="1"/>
  <c r="EI37" i="1"/>
  <c r="FU37" i="1"/>
  <c r="GX37" i="1"/>
  <c r="GY37" i="1"/>
  <c r="IY37" i="1"/>
  <c r="IZ37" i="1"/>
  <c r="C38" i="1"/>
  <c r="CN38" i="1"/>
  <c r="CO38" i="1"/>
  <c r="CP38" i="1"/>
  <c r="CQ38" i="1"/>
  <c r="CR38" i="1"/>
  <c r="CS38" i="1"/>
  <c r="CT38" i="1"/>
  <c r="CU38" i="1"/>
  <c r="CV38" i="1"/>
  <c r="CW38" i="1"/>
  <c r="CX38" i="1"/>
  <c r="DN38" i="1"/>
  <c r="DO38" i="1"/>
  <c r="EA38" i="1" s="1"/>
  <c r="DP38" i="1"/>
  <c r="EB38" i="1" s="1"/>
  <c r="DQ38" i="1"/>
  <c r="DR38" i="1"/>
  <c r="DS38" i="1"/>
  <c r="DT38" i="1"/>
  <c r="DU38" i="1"/>
  <c r="EG38" i="1" s="1"/>
  <c r="DV38" i="1"/>
  <c r="DW38" i="1"/>
  <c r="DZ38" i="1"/>
  <c r="EE38" i="1"/>
  <c r="EH38" i="1"/>
  <c r="EI38" i="1"/>
  <c r="GX38" i="1"/>
  <c r="GY38" i="1"/>
  <c r="IY38" i="1"/>
  <c r="IZ38" i="1"/>
  <c r="C39" i="1"/>
  <c r="CN39" i="1"/>
  <c r="CO39" i="1"/>
  <c r="CP39" i="1"/>
  <c r="CQ39" i="1"/>
  <c r="CR39" i="1"/>
  <c r="CS39" i="1"/>
  <c r="CT39" i="1"/>
  <c r="CU39" i="1"/>
  <c r="CV39" i="1"/>
  <c r="CW39" i="1"/>
  <c r="CX39" i="1"/>
  <c r="DN39" i="1"/>
  <c r="DZ39" i="1" s="1"/>
  <c r="DO39" i="1"/>
  <c r="DP39" i="1"/>
  <c r="DQ39" i="1"/>
  <c r="DR39" i="1"/>
  <c r="DS39" i="1"/>
  <c r="EE39" i="1" s="1"/>
  <c r="DT39" i="1"/>
  <c r="DU39" i="1"/>
  <c r="EG39" i="1" s="1"/>
  <c r="DV39" i="1"/>
  <c r="DW39" i="1"/>
  <c r="EI39" i="1" s="1"/>
  <c r="EC39" i="1"/>
  <c r="EH39" i="1"/>
  <c r="FU39" i="1"/>
  <c r="GX39" i="1"/>
  <c r="GY39" i="1"/>
  <c r="IY39" i="1"/>
  <c r="IZ39" i="1"/>
  <c r="C40" i="1"/>
  <c r="CN40" i="1"/>
  <c r="CO40" i="1"/>
  <c r="CP40" i="1"/>
  <c r="CQ40" i="1"/>
  <c r="CR40" i="1"/>
  <c r="CS40" i="1"/>
  <c r="CT40" i="1"/>
  <c r="CU40" i="1"/>
  <c r="CV40" i="1"/>
  <c r="CW40" i="1"/>
  <c r="CX40" i="1"/>
  <c r="DN40" i="1"/>
  <c r="DO40" i="1"/>
  <c r="DP40" i="1"/>
  <c r="DQ40" i="1"/>
  <c r="DR40" i="1"/>
  <c r="DS40" i="1"/>
  <c r="DT40" i="1"/>
  <c r="EF40" i="1" s="1"/>
  <c r="DU40" i="1"/>
  <c r="EG40" i="1" s="1"/>
  <c r="DV40" i="1"/>
  <c r="DW40" i="1"/>
  <c r="EA40" i="1"/>
  <c r="EC40" i="1"/>
  <c r="ED40" i="1"/>
  <c r="EE40" i="1"/>
  <c r="EI40" i="1"/>
  <c r="FU40" i="1"/>
  <c r="GX40" i="1"/>
  <c r="GY40" i="1"/>
  <c r="IY40" i="1"/>
  <c r="IZ40" i="1"/>
  <c r="C41" i="1"/>
  <c r="CN41" i="1"/>
  <c r="CO41" i="1"/>
  <c r="CP41" i="1"/>
  <c r="CQ41" i="1"/>
  <c r="CR41" i="1"/>
  <c r="CS41" i="1"/>
  <c r="CT41" i="1"/>
  <c r="CY41" i="1" s="1"/>
  <c r="CU41" i="1"/>
  <c r="CV41" i="1"/>
  <c r="CW41" i="1"/>
  <c r="CX41" i="1"/>
  <c r="DN41" i="1"/>
  <c r="DX41" i="1" s="1"/>
  <c r="DO41" i="1"/>
  <c r="EA41" i="1" s="1"/>
  <c r="DP41" i="1"/>
  <c r="DQ41" i="1"/>
  <c r="DR41" i="1"/>
  <c r="DS41" i="1"/>
  <c r="FU41" i="1" s="1"/>
  <c r="DT41" i="1"/>
  <c r="DU41" i="1"/>
  <c r="DV41" i="1"/>
  <c r="DW41" i="1"/>
  <c r="EI41" i="1" s="1"/>
  <c r="EB41" i="1"/>
  <c r="EC41" i="1"/>
  <c r="ED41" i="1"/>
  <c r="EE41" i="1"/>
  <c r="EG41" i="1"/>
  <c r="GX41" i="1"/>
  <c r="GY41" i="1"/>
  <c r="IY41" i="1"/>
  <c r="IZ41" i="1"/>
  <c r="C42" i="1"/>
  <c r="CN42" i="1"/>
  <c r="CY42" i="1" s="1"/>
  <c r="CO42" i="1"/>
  <c r="CP42" i="1"/>
  <c r="CQ42" i="1"/>
  <c r="CR42" i="1"/>
  <c r="CS42" i="1"/>
  <c r="CT42" i="1"/>
  <c r="CU42" i="1"/>
  <c r="CV42" i="1"/>
  <c r="CW42" i="1"/>
  <c r="CX42" i="1"/>
  <c r="DN42" i="1"/>
  <c r="DX42" i="1" s="1"/>
  <c r="DO42" i="1"/>
  <c r="DP42" i="1"/>
  <c r="DQ42" i="1"/>
  <c r="DR42" i="1"/>
  <c r="DS42" i="1"/>
  <c r="FU42" i="1" s="1"/>
  <c r="DT42" i="1"/>
  <c r="EF42" i="1" s="1"/>
  <c r="DU42" i="1"/>
  <c r="DV42" i="1"/>
  <c r="DW42" i="1"/>
  <c r="EA42" i="1"/>
  <c r="EB42" i="1"/>
  <c r="ED42" i="1"/>
  <c r="EE42" i="1"/>
  <c r="EG42" i="1"/>
  <c r="EI42" i="1"/>
  <c r="GX42" i="1"/>
  <c r="GY42" i="1"/>
  <c r="IY42" i="1"/>
  <c r="IZ42" i="1"/>
  <c r="CY29" i="1" l="1"/>
  <c r="DH29" i="1" s="1"/>
  <c r="CY39" i="1"/>
  <c r="DK34" i="1"/>
  <c r="DC34" i="1"/>
  <c r="DF34" i="1"/>
  <c r="DX39" i="1"/>
  <c r="EG35" i="1"/>
  <c r="DX25" i="1"/>
  <c r="CV25" i="1"/>
  <c r="CN25" i="1"/>
  <c r="CY25" i="1" s="1"/>
  <c r="DD25" i="1" s="1"/>
  <c r="EA25" i="1"/>
  <c r="DX23" i="1"/>
  <c r="DZ23" i="1"/>
  <c r="FU22" i="1"/>
  <c r="EC21" i="1"/>
  <c r="FU21" i="1"/>
  <c r="CV20" i="1"/>
  <c r="DI20" i="1" s="1"/>
  <c r="EA20" i="1"/>
  <c r="EJ20" i="1" s="1"/>
  <c r="EK20" i="1" s="1"/>
  <c r="ER20" i="1" s="1"/>
  <c r="GY20" i="1"/>
  <c r="CN20" i="1"/>
  <c r="CY20" i="1" s="1"/>
  <c r="DG20" i="1" s="1"/>
  <c r="DI42" i="1"/>
  <c r="DE42" i="1"/>
  <c r="DK42" i="1"/>
  <c r="DF42" i="1"/>
  <c r="DC42" i="1"/>
  <c r="DD42" i="1"/>
  <c r="DE41" i="1"/>
  <c r="DH41" i="1"/>
  <c r="DK41" i="1"/>
  <c r="DF41" i="1"/>
  <c r="DC41" i="1"/>
  <c r="DD41" i="1"/>
  <c r="DA39" i="1"/>
  <c r="DI39" i="1"/>
  <c r="DB39" i="1"/>
  <c r="DJ39" i="1"/>
  <c r="DE39" i="1"/>
  <c r="DG39" i="1"/>
  <c r="DD39" i="1"/>
  <c r="DH39" i="1"/>
  <c r="DH42" i="1"/>
  <c r="DJ42" i="1"/>
  <c r="DB42" i="1"/>
  <c r="DG37" i="1"/>
  <c r="FM34" i="1"/>
  <c r="ED38" i="1"/>
  <c r="ED37" i="1"/>
  <c r="FU36" i="1"/>
  <c r="EE36" i="1"/>
  <c r="DX36" i="1"/>
  <c r="EC42" i="1"/>
  <c r="DG42" i="1"/>
  <c r="EC38" i="1"/>
  <c r="FU38" i="1"/>
  <c r="CY37" i="1"/>
  <c r="CY35" i="1"/>
  <c r="DJ35" i="1" s="1"/>
  <c r="EH41" i="1"/>
  <c r="DZ41" i="1"/>
  <c r="EQ39" i="1"/>
  <c r="EB39" i="1"/>
  <c r="DK39" i="1"/>
  <c r="DC39" i="1"/>
  <c r="ED31" i="1"/>
  <c r="DX31" i="1"/>
  <c r="DG41" i="1"/>
  <c r="DA42" i="1"/>
  <c r="DJ41" i="1"/>
  <c r="DB41" i="1"/>
  <c r="EA39" i="1"/>
  <c r="EJ39" i="1" s="1"/>
  <c r="EK39" i="1" s="1"/>
  <c r="EN39" i="1" s="1"/>
  <c r="DJ37" i="1"/>
  <c r="DB37" i="1"/>
  <c r="EB35" i="1"/>
  <c r="EJ35" i="1" s="1"/>
  <c r="EK35" i="1" s="1"/>
  <c r="FU34" i="1"/>
  <c r="DX34" i="1"/>
  <c r="EC34" i="1"/>
  <c r="CY36" i="1"/>
  <c r="DI36" i="1" s="1"/>
  <c r="DF39" i="1"/>
  <c r="EF41" i="1"/>
  <c r="DI41" i="1"/>
  <c r="DA41" i="1"/>
  <c r="DX38" i="1"/>
  <c r="CY38" i="1"/>
  <c r="DE38" i="1" s="1"/>
  <c r="EH37" i="1"/>
  <c r="DX37" i="1"/>
  <c r="DZ37" i="1"/>
  <c r="EJ34" i="1"/>
  <c r="EK34" i="1" s="1"/>
  <c r="EN34" i="1" s="1"/>
  <c r="CY32" i="1"/>
  <c r="EU39" i="1"/>
  <c r="EF39" i="1"/>
  <c r="DZ42" i="1"/>
  <c r="EH42" i="1"/>
  <c r="EH40" i="1"/>
  <c r="DX40" i="1"/>
  <c r="DZ40" i="1"/>
  <c r="EJ40" i="1" s="1"/>
  <c r="EK40" i="1" s="1"/>
  <c r="EQ40" i="1" s="1"/>
  <c r="CY40" i="1"/>
  <c r="DC40" i="1" s="1"/>
  <c r="DH37" i="1"/>
  <c r="ED35" i="1"/>
  <c r="DG34" i="1"/>
  <c r="DB34" i="1"/>
  <c r="DJ34" i="1"/>
  <c r="DH34" i="1"/>
  <c r="DA34" i="1"/>
  <c r="EF33" i="1"/>
  <c r="CY30" i="1"/>
  <c r="EB40" i="1"/>
  <c r="ED39" i="1"/>
  <c r="EF38" i="1"/>
  <c r="EJ38" i="1" s="1"/>
  <c r="EK38" i="1" s="1"/>
  <c r="EB37" i="1"/>
  <c r="DE37" i="1"/>
  <c r="EB36" i="1"/>
  <c r="DD34" i="1"/>
  <c r="DM34" i="1" s="1"/>
  <c r="EI32" i="1"/>
  <c r="EA32" i="1"/>
  <c r="EJ32" i="1" s="1"/>
  <c r="EK32" i="1" s="1"/>
  <c r="EX32" i="1" s="1"/>
  <c r="FE32" i="1" s="1"/>
  <c r="BY32" i="1" s="1"/>
  <c r="DX32" i="1"/>
  <c r="EH36" i="1"/>
  <c r="DX33" i="1"/>
  <c r="EB33" i="1"/>
  <c r="DC31" i="1"/>
  <c r="FU32" i="1"/>
  <c r="CY33" i="1"/>
  <c r="DA33" i="1" s="1"/>
  <c r="EB32" i="1"/>
  <c r="FU27" i="1"/>
  <c r="EC27" i="1"/>
  <c r="CY31" i="1"/>
  <c r="DI31" i="1" s="1"/>
  <c r="EH29" i="1"/>
  <c r="DX29" i="1"/>
  <c r="DZ29" i="1"/>
  <c r="EG28" i="1"/>
  <c r="DX26" i="1"/>
  <c r="DZ26" i="1"/>
  <c r="EB31" i="1"/>
  <c r="EJ31" i="1" s="1"/>
  <c r="EK31" i="1" s="1"/>
  <c r="EI30" i="1"/>
  <c r="EA30" i="1"/>
  <c r="EJ30" i="1" s="1"/>
  <c r="EK30" i="1" s="1"/>
  <c r="EB25" i="1"/>
  <c r="FU29" i="1"/>
  <c r="EE29" i="1"/>
  <c r="ED28" i="1"/>
  <c r="DX28" i="1"/>
  <c r="DZ25" i="1"/>
  <c r="EB28" i="1"/>
  <c r="EJ28" i="1" s="1"/>
  <c r="EK28" i="1" s="1"/>
  <c r="EH25" i="1"/>
  <c r="FU24" i="1"/>
  <c r="EC30" i="1"/>
  <c r="CY28" i="1"/>
  <c r="DI28" i="1" s="1"/>
  <c r="EG27" i="1"/>
  <c r="EJ27" i="1" s="1"/>
  <c r="EK27" i="1" s="1"/>
  <c r="ER27" i="1" s="1"/>
  <c r="CY27" i="1"/>
  <c r="DC26" i="1"/>
  <c r="FU25" i="1"/>
  <c r="EE25" i="1"/>
  <c r="CY23" i="1"/>
  <c r="DH27" i="1"/>
  <c r="CY26" i="1"/>
  <c r="DB26" i="1" s="1"/>
  <c r="ED27" i="1"/>
  <c r="EI26" i="1"/>
  <c r="EC25" i="1"/>
  <c r="EF24" i="1"/>
  <c r="EJ24" i="1" s="1"/>
  <c r="EK24" i="1" s="1"/>
  <c r="DX30" i="1"/>
  <c r="CY24" i="1"/>
  <c r="DH24" i="1" s="1"/>
  <c r="DF27" i="1"/>
  <c r="DK27" i="1"/>
  <c r="DC27" i="1"/>
  <c r="EI24" i="1"/>
  <c r="EF21" i="1"/>
  <c r="EB20" i="1"/>
  <c r="ED19" i="1"/>
  <c r="EJ19" i="1" s="1"/>
  <c r="EK19" i="1" s="1"/>
  <c r="ET19" i="1" s="1"/>
  <c r="DX24" i="1"/>
  <c r="EJ23" i="1"/>
  <c r="EK23" i="1" s="1"/>
  <c r="EW23" i="1" s="1"/>
  <c r="EC23" i="1"/>
  <c r="DX21" i="1"/>
  <c r="DZ21" i="1"/>
  <c r="EH21" i="1"/>
  <c r="FU23" i="1"/>
  <c r="DX22" i="1"/>
  <c r="DF22" i="1"/>
  <c r="CY21" i="1"/>
  <c r="DH21" i="1" s="1"/>
  <c r="EG22" i="1"/>
  <c r="EJ22" i="1" s="1"/>
  <c r="EK22" i="1" s="1"/>
  <c r="CY17" i="1"/>
  <c r="DI17" i="1" s="1"/>
  <c r="CY22" i="1"/>
  <c r="DH22" i="1" s="1"/>
  <c r="EI21" i="1"/>
  <c r="EE18" i="1"/>
  <c r="FU18" i="1"/>
  <c r="CY19" i="1"/>
  <c r="DH19" i="1" s="1"/>
  <c r="CY18" i="1"/>
  <c r="DG18" i="1" s="1"/>
  <c r="DX17" i="1"/>
  <c r="EG17" i="1"/>
  <c r="EJ17" i="1" s="1"/>
  <c r="EK17" i="1" s="1"/>
  <c r="DX18" i="1"/>
  <c r="DX19" i="1"/>
  <c r="FU19" i="1"/>
  <c r="EE19" i="1"/>
  <c r="EG18" i="1"/>
  <c r="EF18" i="1"/>
  <c r="DE29" i="1" l="1"/>
  <c r="DJ29" i="1"/>
  <c r="DG29" i="1"/>
  <c r="DC29" i="1"/>
  <c r="DA29" i="1"/>
  <c r="DI29" i="1"/>
  <c r="DK29" i="1"/>
  <c r="DB29" i="1"/>
  <c r="DF29" i="1"/>
  <c r="DD29" i="1"/>
  <c r="DD40" i="1"/>
  <c r="DC38" i="1"/>
  <c r="DJ38" i="1"/>
  <c r="DH38" i="1"/>
  <c r="DI35" i="1"/>
  <c r="DB35" i="1"/>
  <c r="DA35" i="1"/>
  <c r="DG36" i="1"/>
  <c r="EQ32" i="1"/>
  <c r="EN32" i="1"/>
  <c r="ET32" i="1"/>
  <c r="EJ26" i="1"/>
  <c r="EK26" i="1" s="1"/>
  <c r="DH26" i="1"/>
  <c r="ER24" i="1"/>
  <c r="EX24" i="1"/>
  <c r="FE24" i="1" s="1"/>
  <c r="BY24" i="1" s="1"/>
  <c r="DE24" i="1"/>
  <c r="ET23" i="1"/>
  <c r="ER23" i="1"/>
  <c r="DK22" i="1"/>
  <c r="DC21" i="1"/>
  <c r="EJ21" i="1"/>
  <c r="EK21" i="1" s="1"/>
  <c r="EU21" i="1" s="1"/>
  <c r="DK21" i="1"/>
  <c r="DE21" i="1"/>
  <c r="DB21" i="1"/>
  <c r="DJ21" i="1"/>
  <c r="DB20" i="1"/>
  <c r="DH20" i="1"/>
  <c r="DA20" i="1"/>
  <c r="DL20" i="1" s="1"/>
  <c r="DF20" i="1"/>
  <c r="DD20" i="1"/>
  <c r="DE20" i="1"/>
  <c r="DC20" i="1"/>
  <c r="DJ20" i="1"/>
  <c r="DK20" i="1"/>
  <c r="EJ18" i="1"/>
  <c r="EK18" i="1" s="1"/>
  <c r="EQ18" i="1" s="1"/>
  <c r="DG19" i="1"/>
  <c r="DF19" i="1"/>
  <c r="DE19" i="1"/>
  <c r="EN17" i="1"/>
  <c r="EW17" i="1"/>
  <c r="EX17" i="1"/>
  <c r="FE17" i="1" s="1"/>
  <c r="BY17" i="1" s="1"/>
  <c r="ER17" i="1"/>
  <c r="ES17" i="1"/>
  <c r="EU17" i="1"/>
  <c r="EM17" i="1"/>
  <c r="ET17" i="1"/>
  <c r="EQ17" i="1"/>
  <c r="EV17" i="1"/>
  <c r="FY21" i="1"/>
  <c r="ER35" i="1"/>
  <c r="EN35" i="1"/>
  <c r="EU35" i="1"/>
  <c r="EV35" i="1"/>
  <c r="EX35" i="1"/>
  <c r="FE35" i="1" s="1"/>
  <c r="BY35" i="1" s="1"/>
  <c r="EQ35" i="1"/>
  <c r="ES35" i="1"/>
  <c r="EM35" i="1"/>
  <c r="EW35" i="1"/>
  <c r="ET35" i="1"/>
  <c r="ET30" i="1"/>
  <c r="EQ30" i="1"/>
  <c r="ES30" i="1"/>
  <c r="EV30" i="1"/>
  <c r="EW30" i="1"/>
  <c r="EN30" i="1"/>
  <c r="ER30" i="1"/>
  <c r="EM30" i="1"/>
  <c r="EX30" i="1"/>
  <c r="FE30" i="1" s="1"/>
  <c r="BY30" i="1" s="1"/>
  <c r="EU30" i="1"/>
  <c r="EM22" i="1"/>
  <c r="EQ22" i="1"/>
  <c r="ET22" i="1"/>
  <c r="EW22" i="1"/>
  <c r="EU22" i="1"/>
  <c r="EX22" i="1"/>
  <c r="FE22" i="1" s="1"/>
  <c r="BY22" i="1" s="1"/>
  <c r="ES22" i="1"/>
  <c r="EN22" i="1"/>
  <c r="EV22" i="1"/>
  <c r="ER22" i="1"/>
  <c r="ET38" i="1"/>
  <c r="EX38" i="1"/>
  <c r="FE38" i="1" s="1"/>
  <c r="BY38" i="1" s="1"/>
  <c r="EN38" i="1"/>
  <c r="EQ38" i="1"/>
  <c r="ER38" i="1"/>
  <c r="EV38" i="1"/>
  <c r="EW38" i="1"/>
  <c r="EM38" i="1"/>
  <c r="ES38" i="1"/>
  <c r="EU38" i="1"/>
  <c r="ER31" i="1"/>
  <c r="EW31" i="1"/>
  <c r="ET31" i="1"/>
  <c r="EU31" i="1"/>
  <c r="EM31" i="1"/>
  <c r="EX31" i="1"/>
  <c r="FE31" i="1" s="1"/>
  <c r="BY31" i="1" s="1"/>
  <c r="ES31" i="1"/>
  <c r="EQ31" i="1"/>
  <c r="EN31" i="1"/>
  <c r="EV31" i="1"/>
  <c r="CA20" i="1"/>
  <c r="EW28" i="1"/>
  <c r="EU28" i="1"/>
  <c r="EM28" i="1"/>
  <c r="EX28" i="1"/>
  <c r="FE28" i="1" s="1"/>
  <c r="BY28" i="1" s="1"/>
  <c r="ET28" i="1"/>
  <c r="ER28" i="1"/>
  <c r="ES28" i="1"/>
  <c r="EN28" i="1"/>
  <c r="EV28" i="1"/>
  <c r="EQ28" i="1"/>
  <c r="IO23" i="1"/>
  <c r="DC23" i="1"/>
  <c r="DK23" i="1"/>
  <c r="DF23" i="1"/>
  <c r="DA23" i="1"/>
  <c r="DH23" i="1"/>
  <c r="DI23" i="1"/>
  <c r="DH32" i="1"/>
  <c r="DF32" i="1"/>
  <c r="DJ32" i="1"/>
  <c r="DK32" i="1"/>
  <c r="DB32" i="1"/>
  <c r="DE32" i="1"/>
  <c r="DD18" i="1"/>
  <c r="DE18" i="1"/>
  <c r="DF18" i="1"/>
  <c r="DC18" i="1"/>
  <c r="DK18" i="1"/>
  <c r="ER21" i="1"/>
  <c r="DB17" i="1"/>
  <c r="DD17" i="1"/>
  <c r="EM21" i="1"/>
  <c r="EM24" i="1"/>
  <c r="DB23" i="1"/>
  <c r="DK26" i="1"/>
  <c r="DA28" i="1"/>
  <c r="DF31" i="1"/>
  <c r="DD32" i="1"/>
  <c r="DE33" i="1"/>
  <c r="DJ33" i="1"/>
  <c r="EJ33" i="1"/>
  <c r="EK33" i="1" s="1"/>
  <c r="DF35" i="1"/>
  <c r="DA32" i="1"/>
  <c r="DL42" i="1"/>
  <c r="EV40" i="1"/>
  <c r="DL39" i="1"/>
  <c r="DH18" i="1"/>
  <c r="DI18" i="1"/>
  <c r="FM20" i="1"/>
  <c r="DM20" i="1"/>
  <c r="DA17" i="1"/>
  <c r="DJ17" i="1"/>
  <c r="DA21" i="1"/>
  <c r="DD21" i="1"/>
  <c r="DF21" i="1"/>
  <c r="DG21" i="1"/>
  <c r="DI21" i="1"/>
  <c r="DE23" i="1"/>
  <c r="EN27" i="1"/>
  <c r="DJ23" i="1"/>
  <c r="DD27" i="1"/>
  <c r="DM27" i="1" s="1"/>
  <c r="DB27" i="1"/>
  <c r="DG27" i="1"/>
  <c r="DI27" i="1"/>
  <c r="DJ27" i="1"/>
  <c r="DA27" i="1"/>
  <c r="DE27" i="1"/>
  <c r="ES34" i="1"/>
  <c r="DG32" i="1"/>
  <c r="EW40" i="1"/>
  <c r="DI32" i="1"/>
  <c r="DL41" i="1"/>
  <c r="DK38" i="1"/>
  <c r="EJ41" i="1"/>
  <c r="EK41" i="1" s="1"/>
  <c r="DA37" i="1"/>
  <c r="DK37" i="1"/>
  <c r="DI37" i="1"/>
  <c r="DD37" i="1"/>
  <c r="DC37" i="1"/>
  <c r="DF37" i="1"/>
  <c r="FM42" i="1"/>
  <c r="DM42" i="1"/>
  <c r="EV19" i="1"/>
  <c r="EW19" i="1"/>
  <c r="EQ19" i="1"/>
  <c r="ER19" i="1"/>
  <c r="ES21" i="1"/>
  <c r="EQ21" i="1"/>
  <c r="ET21" i="1"/>
  <c r="EV21" i="1"/>
  <c r="DE25" i="1"/>
  <c r="DB28" i="1"/>
  <c r="DG28" i="1"/>
  <c r="DH28" i="1"/>
  <c r="DC28" i="1"/>
  <c r="DE28" i="1"/>
  <c r="DJ28" i="1"/>
  <c r="DF28" i="1"/>
  <c r="DB31" i="1"/>
  <c r="DJ31" i="1"/>
  <c r="DE31" i="1"/>
  <c r="DG31" i="1"/>
  <c r="DB33" i="1"/>
  <c r="DL34" i="1"/>
  <c r="DE35" i="1"/>
  <c r="DH35" i="1"/>
  <c r="DK35" i="1"/>
  <c r="DG35" i="1"/>
  <c r="DC35" i="1"/>
  <c r="ET20" i="1"/>
  <c r="EU20" i="1"/>
  <c r="EX20" i="1"/>
  <c r="FE20" i="1" s="1"/>
  <c r="BY20" i="1" s="1"/>
  <c r="ES20" i="1"/>
  <c r="EW20" i="1"/>
  <c r="EM20" i="1"/>
  <c r="EM23" i="1"/>
  <c r="EX27" i="1"/>
  <c r="FE27" i="1" s="1"/>
  <c r="BY27" i="1" s="1"/>
  <c r="DD26" i="1"/>
  <c r="DI26" i="1"/>
  <c r="DA26" i="1"/>
  <c r="DF26" i="1"/>
  <c r="DG26" i="1"/>
  <c r="EJ29" i="1"/>
  <c r="EK29" i="1" s="1"/>
  <c r="DD35" i="1"/>
  <c r="DE36" i="1"/>
  <c r="DF30" i="1"/>
  <c r="DI30" i="1"/>
  <c r="DD30" i="1"/>
  <c r="DG30" i="1"/>
  <c r="DH30" i="1"/>
  <c r="DA30" i="1"/>
  <c r="DC30" i="1"/>
  <c r="DK30" i="1"/>
  <c r="EW34" i="1"/>
  <c r="ET34" i="1"/>
  <c r="EX34" i="1"/>
  <c r="FE34" i="1" s="1"/>
  <c r="BY34" i="1" s="1"/>
  <c r="EQ34" i="1"/>
  <c r="EU34" i="1"/>
  <c r="EM34" i="1"/>
  <c r="ER34" i="1"/>
  <c r="ER39" i="1"/>
  <c r="EM39" i="1"/>
  <c r="EV39" i="1"/>
  <c r="ET39" i="1"/>
  <c r="EX39" i="1"/>
  <c r="FE39" i="1" s="1"/>
  <c r="BY39" i="1" s="1"/>
  <c r="EW39" i="1"/>
  <c r="DD36" i="1"/>
  <c r="DC33" i="1"/>
  <c r="DA18" i="1"/>
  <c r="EU19" i="1"/>
  <c r="IN19" i="1" s="1"/>
  <c r="DC19" i="1"/>
  <c r="DK19" i="1"/>
  <c r="DD19" i="1"/>
  <c r="FM19" i="1" s="1"/>
  <c r="DI19" i="1"/>
  <c r="DA19" i="1"/>
  <c r="DB19" i="1"/>
  <c r="DJ19" i="1"/>
  <c r="BQ19" i="1" s="1"/>
  <c r="EN21" i="1"/>
  <c r="DG25" i="1"/>
  <c r="DG23" i="1"/>
  <c r="DB24" i="1"/>
  <c r="DJ26" i="1"/>
  <c r="EW24" i="1"/>
  <c r="EV27" i="1"/>
  <c r="DH31" i="1"/>
  <c r="DB36" i="1"/>
  <c r="ES32" i="1"/>
  <c r="EW32" i="1"/>
  <c r="ER32" i="1"/>
  <c r="EM32" i="1"/>
  <c r="EU32" i="1"/>
  <c r="EV32" i="1"/>
  <c r="EJ36" i="1"/>
  <c r="EK36" i="1" s="1"/>
  <c r="DB30" i="1"/>
  <c r="BQ34" i="1"/>
  <c r="DA40" i="1"/>
  <c r="EJ42" i="1"/>
  <c r="EK42" i="1" s="1"/>
  <c r="DD38" i="1"/>
  <c r="DG38" i="1"/>
  <c r="DF38" i="1"/>
  <c r="DI38" i="1"/>
  <c r="DA38" i="1"/>
  <c r="DB38" i="1"/>
  <c r="BQ41" i="1"/>
  <c r="BQ39" i="1"/>
  <c r="DM41" i="1"/>
  <c r="FM41" i="1"/>
  <c r="ES23" i="1"/>
  <c r="EU23" i="1"/>
  <c r="IN23" i="1" s="1"/>
  <c r="EQ23" i="1"/>
  <c r="EX23" i="1"/>
  <c r="FE23" i="1" s="1"/>
  <c r="BY23" i="1" s="1"/>
  <c r="EN23" i="1"/>
  <c r="EV23" i="1"/>
  <c r="EQ27" i="1"/>
  <c r="EU27" i="1"/>
  <c r="ET27" i="1"/>
  <c r="CA27" i="1" s="1"/>
  <c r="EW27" i="1"/>
  <c r="EM27" i="1"/>
  <c r="DK31" i="1"/>
  <c r="DM19" i="1"/>
  <c r="DF17" i="1"/>
  <c r="DG17" i="1"/>
  <c r="DH17" i="1"/>
  <c r="DC17" i="1"/>
  <c r="DK17" i="1"/>
  <c r="DE17" i="1"/>
  <c r="EW21" i="1"/>
  <c r="ES19" i="1"/>
  <c r="ES24" i="1"/>
  <c r="ET24" i="1"/>
  <c r="IO24" i="1" s="1"/>
  <c r="EN24" i="1"/>
  <c r="EV24" i="1"/>
  <c r="EQ24" i="1"/>
  <c r="DD31" i="1"/>
  <c r="EN20" i="1"/>
  <c r="EM19" i="1"/>
  <c r="EN19" i="1"/>
  <c r="EX21" i="1"/>
  <c r="FE21" i="1" s="1"/>
  <c r="BY21" i="1" s="1"/>
  <c r="DG22" i="1"/>
  <c r="DI22" i="1"/>
  <c r="DJ22" i="1"/>
  <c r="DA22" i="1"/>
  <c r="DD22" i="1"/>
  <c r="FM22" i="1" s="1"/>
  <c r="DE22" i="1"/>
  <c r="DB22" i="1"/>
  <c r="DB18" i="1"/>
  <c r="DD23" i="1"/>
  <c r="CA23" i="1" s="1"/>
  <c r="EQ20" i="1"/>
  <c r="DE26" i="1"/>
  <c r="DB25" i="1"/>
  <c r="DI24" i="1"/>
  <c r="DA24" i="1"/>
  <c r="DD24" i="1"/>
  <c r="DC24" i="1"/>
  <c r="DK24" i="1"/>
  <c r="DF24" i="1"/>
  <c r="DG24" i="1"/>
  <c r="EU24" i="1"/>
  <c r="ES27" i="1"/>
  <c r="EJ25" i="1"/>
  <c r="EK25" i="1" s="1"/>
  <c r="DC32" i="1"/>
  <c r="DE30" i="1"/>
  <c r="EV26" i="1"/>
  <c r="EN26" i="1"/>
  <c r="EQ26" i="1"/>
  <c r="DJ36" i="1"/>
  <c r="BQ36" i="1" s="1"/>
  <c r="DJ30" i="1"/>
  <c r="DG40" i="1"/>
  <c r="DH40" i="1"/>
  <c r="DB40" i="1"/>
  <c r="DE40" i="1"/>
  <c r="DF40" i="1"/>
  <c r="DJ40" i="1"/>
  <c r="EJ37" i="1"/>
  <c r="EK37" i="1" s="1"/>
  <c r="DK40" i="1"/>
  <c r="ES40" i="1"/>
  <c r="ES39" i="1"/>
  <c r="EX19" i="1"/>
  <c r="FE19" i="1" s="1"/>
  <c r="BY19" i="1" s="1"/>
  <c r="DC22" i="1"/>
  <c r="EV20" i="1"/>
  <c r="DJ18" i="1"/>
  <c r="BQ18" i="1" s="1"/>
  <c r="DJ25" i="1"/>
  <c r="DJ24" i="1"/>
  <c r="DD28" i="1"/>
  <c r="DK28" i="1"/>
  <c r="DA31" i="1"/>
  <c r="DI40" i="1"/>
  <c r="EV34" i="1"/>
  <c r="BQ42" i="1"/>
  <c r="DF25" i="1"/>
  <c r="DK25" i="1"/>
  <c r="DA25" i="1"/>
  <c r="DC25" i="1"/>
  <c r="DH25" i="1"/>
  <c r="DI25" i="1"/>
  <c r="DF33" i="1"/>
  <c r="DI33" i="1"/>
  <c r="DD33" i="1"/>
  <c r="DG33" i="1"/>
  <c r="DH33" i="1"/>
  <c r="EX40" i="1"/>
  <c r="FE40" i="1" s="1"/>
  <c r="BY40" i="1" s="1"/>
  <c r="ET40" i="1"/>
  <c r="EN40" i="1"/>
  <c r="ER40" i="1"/>
  <c r="EU40" i="1"/>
  <c r="EM40" i="1"/>
  <c r="IP39" i="1"/>
  <c r="IS39" i="1" s="1"/>
  <c r="DM39" i="1"/>
  <c r="FM39" i="1"/>
  <c r="DK33" i="1"/>
  <c r="DC36" i="1"/>
  <c r="DK36" i="1"/>
  <c r="DA36" i="1"/>
  <c r="DF36" i="1"/>
  <c r="DH36" i="1"/>
  <c r="IE15" i="1"/>
  <c r="BQ29" i="1" l="1"/>
  <c r="DL29" i="1"/>
  <c r="FM29" i="1"/>
  <c r="DM29" i="1"/>
  <c r="DL33" i="1"/>
  <c r="DL35" i="1"/>
  <c r="FT39" i="1"/>
  <c r="IF39" i="1"/>
  <c r="FY39" i="1"/>
  <c r="GM39" i="1" s="1"/>
  <c r="EX26" i="1"/>
  <c r="FE26" i="1" s="1"/>
  <c r="BY26" i="1" s="1"/>
  <c r="EU26" i="1"/>
  <c r="FY26" i="1" s="1"/>
  <c r="GN26" i="1" s="1"/>
  <c r="ER26" i="1"/>
  <c r="EY26" i="1" s="1"/>
  <c r="FA26" i="1" s="1"/>
  <c r="EW26" i="1"/>
  <c r="FT26" i="1" s="1"/>
  <c r="ES26" i="1"/>
  <c r="EM26" i="1"/>
  <c r="ET26" i="1"/>
  <c r="CA24" i="1"/>
  <c r="FX23" i="1"/>
  <c r="FT21" i="1"/>
  <c r="BQ20" i="1"/>
  <c r="IO20" i="1"/>
  <c r="EM18" i="1"/>
  <c r="EV18" i="1"/>
  <c r="FY18" i="1" s="1"/>
  <c r="ER18" i="1"/>
  <c r="EX18" i="1"/>
  <c r="FE18" i="1" s="1"/>
  <c r="BY18" i="1" s="1"/>
  <c r="EU18" i="1"/>
  <c r="EW18" i="1"/>
  <c r="ES18" i="1"/>
  <c r="EN18" i="1"/>
  <c r="EY18" i="1" s="1"/>
  <c r="FA18" i="1" s="1"/>
  <c r="ET18" i="1"/>
  <c r="BQ28" i="1"/>
  <c r="DL28" i="1"/>
  <c r="GN21" i="1"/>
  <c r="GM21" i="1"/>
  <c r="DL24" i="1"/>
  <c r="FM17" i="1"/>
  <c r="DM17" i="1"/>
  <c r="DL38" i="1"/>
  <c r="FT32" i="1"/>
  <c r="FY32" i="1"/>
  <c r="IF32" i="1"/>
  <c r="IP32" i="1"/>
  <c r="IS32" i="1" s="1"/>
  <c r="FX39" i="1"/>
  <c r="IO39" i="1"/>
  <c r="IR39" i="1" s="1"/>
  <c r="CA39" i="1"/>
  <c r="EO20" i="1"/>
  <c r="EY20" i="1"/>
  <c r="FA20" i="1" s="1"/>
  <c r="BQ32" i="1"/>
  <c r="DL21" i="1"/>
  <c r="DL23" i="1"/>
  <c r="FT28" i="1"/>
  <c r="FY28" i="1"/>
  <c r="IP28" i="1"/>
  <c r="IS28" i="1" s="1"/>
  <c r="IF28" i="1"/>
  <c r="IO27" i="1"/>
  <c r="FT30" i="1"/>
  <c r="FY30" i="1"/>
  <c r="IF30" i="1"/>
  <c r="IP30" i="1"/>
  <c r="IS30" i="1" s="1"/>
  <c r="FT17" i="1"/>
  <c r="FY17" i="1"/>
  <c r="IF17" i="1"/>
  <c r="IP17" i="1"/>
  <c r="IS17" i="1" s="1"/>
  <c r="BQ40" i="1"/>
  <c r="DM22" i="1"/>
  <c r="EY32" i="1"/>
  <c r="FA32" i="1" s="1"/>
  <c r="EO32" i="1"/>
  <c r="FX34" i="1"/>
  <c r="IO34" i="1"/>
  <c r="CA34" i="1"/>
  <c r="EO23" i="1"/>
  <c r="EY23" i="1"/>
  <c r="FA23" i="1" s="1"/>
  <c r="DL37" i="1"/>
  <c r="DM23" i="1"/>
  <c r="FM23" i="1"/>
  <c r="EY31" i="1"/>
  <c r="FA31" i="1" s="1"/>
  <c r="EO31" i="1"/>
  <c r="EP31" i="1" s="1"/>
  <c r="CA38" i="1"/>
  <c r="IO38" i="1"/>
  <c r="FX38" i="1"/>
  <c r="IN30" i="1"/>
  <c r="IM30" i="1" s="1"/>
  <c r="IF35" i="1"/>
  <c r="FY35" i="1"/>
  <c r="IP35" i="1"/>
  <c r="IS35" i="1" s="1"/>
  <c r="FT35" i="1"/>
  <c r="FX24" i="1"/>
  <c r="BQ17" i="1"/>
  <c r="DM30" i="1"/>
  <c r="FM30" i="1"/>
  <c r="CA32" i="1"/>
  <c r="IO32" i="1"/>
  <c r="FX32" i="1"/>
  <c r="DL19" i="1"/>
  <c r="EQ29" i="1"/>
  <c r="EU29" i="1"/>
  <c r="EN29" i="1"/>
  <c r="ES29" i="1"/>
  <c r="EX29" i="1"/>
  <c r="FE29" i="1" s="1"/>
  <c r="BY29" i="1" s="1"/>
  <c r="EV29" i="1"/>
  <c r="EW29" i="1"/>
  <c r="ER29" i="1"/>
  <c r="EM29" i="1"/>
  <c r="ET29" i="1"/>
  <c r="FM28" i="1"/>
  <c r="DM28" i="1"/>
  <c r="ER41" i="1"/>
  <c r="ET41" i="1"/>
  <c r="ES41" i="1"/>
  <c r="EV41" i="1"/>
  <c r="EX41" i="1"/>
  <c r="FE41" i="1" s="1"/>
  <c r="BY41" i="1" s="1"/>
  <c r="EN41" i="1"/>
  <c r="EQ41" i="1"/>
  <c r="EW41" i="1"/>
  <c r="EU41" i="1"/>
  <c r="EM41" i="1"/>
  <c r="DL17" i="1"/>
  <c r="DL32" i="1"/>
  <c r="FX21" i="1"/>
  <c r="IO21" i="1"/>
  <c r="CA21" i="1"/>
  <c r="FY31" i="1"/>
  <c r="IF31" i="1"/>
  <c r="IP31" i="1"/>
  <c r="IS31" i="1" s="1"/>
  <c r="FT31" i="1"/>
  <c r="EY30" i="1"/>
  <c r="FA30" i="1" s="1"/>
  <c r="EO30" i="1"/>
  <c r="IN35" i="1"/>
  <c r="FT18" i="1"/>
  <c r="IP18" i="1"/>
  <c r="IS18" i="1" s="1"/>
  <c r="FX17" i="1"/>
  <c r="IO17" i="1"/>
  <c r="IR17" i="1" s="1"/>
  <c r="CA17" i="1"/>
  <c r="BQ35" i="1"/>
  <c r="DM38" i="1"/>
  <c r="FM38" i="1"/>
  <c r="EO34" i="1"/>
  <c r="EY34" i="1"/>
  <c r="FA34" i="1" s="1"/>
  <c r="BQ33" i="1"/>
  <c r="ER37" i="1"/>
  <c r="EV37" i="1"/>
  <c r="EN37" i="1"/>
  <c r="ET37" i="1"/>
  <c r="EX37" i="1"/>
  <c r="FE37" i="1" s="1"/>
  <c r="BY37" i="1" s="1"/>
  <c r="ES37" i="1"/>
  <c r="EQ37" i="1"/>
  <c r="EM37" i="1"/>
  <c r="EW37" i="1"/>
  <c r="EU37" i="1"/>
  <c r="BQ24" i="1"/>
  <c r="BQ22" i="1"/>
  <c r="BQ38" i="1"/>
  <c r="BQ23" i="1"/>
  <c r="FT34" i="1"/>
  <c r="FY34" i="1"/>
  <c r="IF34" i="1"/>
  <c r="IP34" i="1"/>
  <c r="IS34" i="1" s="1"/>
  <c r="BQ26" i="1"/>
  <c r="IN21" i="1"/>
  <c r="DL27" i="1"/>
  <c r="DM35" i="1"/>
  <c r="FM35" i="1"/>
  <c r="IN31" i="1"/>
  <c r="FT22" i="1"/>
  <c r="FY22" i="1"/>
  <c r="IP22" i="1"/>
  <c r="IS22" i="1" s="1"/>
  <c r="IF22" i="1"/>
  <c r="FX30" i="1"/>
  <c r="CA30" i="1"/>
  <c r="IO30" i="1"/>
  <c r="IR30" i="1" s="1"/>
  <c r="CA35" i="1"/>
  <c r="FX35" i="1"/>
  <c r="IO35" i="1"/>
  <c r="IR35" i="1" s="1"/>
  <c r="EO18" i="1"/>
  <c r="EP18" i="1" s="1"/>
  <c r="FT27" i="1"/>
  <c r="FY27" i="1"/>
  <c r="IF27" i="1"/>
  <c r="IP27" i="1"/>
  <c r="IS27" i="1" s="1"/>
  <c r="IN40" i="1"/>
  <c r="EO27" i="1"/>
  <c r="EY27" i="1"/>
  <c r="FA27" i="1" s="1"/>
  <c r="BQ25" i="1"/>
  <c r="EP34" i="1"/>
  <c r="BQ30" i="1"/>
  <c r="DM26" i="1"/>
  <c r="FM26" i="1"/>
  <c r="FT20" i="1"/>
  <c r="FY20" i="1"/>
  <c r="IF20" i="1"/>
  <c r="IP20" i="1"/>
  <c r="IS20" i="1" s="1"/>
  <c r="DM37" i="1"/>
  <c r="FM37" i="1"/>
  <c r="BQ37" i="1"/>
  <c r="ET33" i="1"/>
  <c r="EM33" i="1"/>
  <c r="ES33" i="1"/>
  <c r="EW33" i="1"/>
  <c r="EN33" i="1"/>
  <c r="ER33" i="1"/>
  <c r="EU33" i="1"/>
  <c r="EX33" i="1"/>
  <c r="FE33" i="1" s="1"/>
  <c r="BY33" i="1" s="1"/>
  <c r="EV33" i="1"/>
  <c r="EQ33" i="1"/>
  <c r="FM27" i="1"/>
  <c r="DM32" i="1"/>
  <c r="FM32" i="1"/>
  <c r="CA28" i="1"/>
  <c r="IO28" i="1"/>
  <c r="FX28" i="1"/>
  <c r="FY38" i="1"/>
  <c r="IF38" i="1"/>
  <c r="IP38" i="1"/>
  <c r="IS38" i="1" s="1"/>
  <c r="FT38" i="1"/>
  <c r="EY35" i="1"/>
  <c r="FA35" i="1" s="1"/>
  <c r="EO35" i="1"/>
  <c r="EP35" i="1" s="1"/>
  <c r="GB35" i="1" s="1"/>
  <c r="EZ17" i="1"/>
  <c r="FT19" i="1"/>
  <c r="IP19" i="1"/>
  <c r="IS19" i="1" s="1"/>
  <c r="IF19" i="1"/>
  <c r="FY19" i="1"/>
  <c r="EO21" i="1"/>
  <c r="EY21" i="1"/>
  <c r="FA21" i="1" s="1"/>
  <c r="EY28" i="1"/>
  <c r="FA28" i="1" s="1"/>
  <c r="EO28" i="1"/>
  <c r="EO22" i="1"/>
  <c r="EY22" i="1"/>
  <c r="FA22" i="1" s="1"/>
  <c r="EO17" i="1"/>
  <c r="EY17" i="1"/>
  <c r="FA17" i="1" s="1"/>
  <c r="EU25" i="1"/>
  <c r="EN25" i="1"/>
  <c r="ES25" i="1"/>
  <c r="EV25" i="1"/>
  <c r="EX25" i="1"/>
  <c r="FE25" i="1" s="1"/>
  <c r="BY25" i="1" s="1"/>
  <c r="ET25" i="1"/>
  <c r="EM25" i="1"/>
  <c r="EQ25" i="1"/>
  <c r="EW25" i="1"/>
  <c r="ER25" i="1"/>
  <c r="DL22" i="1"/>
  <c r="EP27" i="1"/>
  <c r="FB27" i="1" s="1"/>
  <c r="DL18" i="1"/>
  <c r="FT24" i="1"/>
  <c r="IF24" i="1"/>
  <c r="FY24" i="1"/>
  <c r="IP24" i="1"/>
  <c r="IS24" i="1" s="1"/>
  <c r="DL30" i="1"/>
  <c r="EO40" i="1"/>
  <c r="EY40" i="1"/>
  <c r="FA40" i="1" s="1"/>
  <c r="DL25" i="1"/>
  <c r="DM24" i="1"/>
  <c r="FM24" i="1"/>
  <c r="EP20" i="1"/>
  <c r="FB20" i="1" s="1"/>
  <c r="FM36" i="1"/>
  <c r="DM36" i="1"/>
  <c r="FY40" i="1"/>
  <c r="IF40" i="1"/>
  <c r="IP40" i="1"/>
  <c r="IS40" i="1" s="1"/>
  <c r="FT40" i="1"/>
  <c r="EO26" i="1"/>
  <c r="FM40" i="1"/>
  <c r="DM40" i="1"/>
  <c r="IN32" i="1"/>
  <c r="IN24" i="1"/>
  <c r="FY23" i="1"/>
  <c r="IF23" i="1"/>
  <c r="IP23" i="1"/>
  <c r="IS23" i="1" s="1"/>
  <c r="FT23" i="1"/>
  <c r="EQ42" i="1"/>
  <c r="EU42" i="1"/>
  <c r="EN42" i="1"/>
  <c r="EX42" i="1"/>
  <c r="FE42" i="1" s="1"/>
  <c r="BY42" i="1" s="1"/>
  <c r="EW42" i="1"/>
  <c r="ES42" i="1"/>
  <c r="ER42" i="1"/>
  <c r="EV42" i="1"/>
  <c r="EM42" i="1"/>
  <c r="ET42" i="1"/>
  <c r="IN39" i="1"/>
  <c r="DL26" i="1"/>
  <c r="IN20" i="1"/>
  <c r="IM20" i="1" s="1"/>
  <c r="IF26" i="1"/>
  <c r="BQ21" i="1"/>
  <c r="DM18" i="1"/>
  <c r="FM18" i="1"/>
  <c r="IN28" i="1"/>
  <c r="FX20" i="1"/>
  <c r="FX31" i="1"/>
  <c r="IO31" i="1"/>
  <c r="CA31" i="1"/>
  <c r="IN38" i="1"/>
  <c r="IN22" i="1"/>
  <c r="IP21" i="1"/>
  <c r="IS21" i="1" s="1"/>
  <c r="CA18" i="1"/>
  <c r="FX18" i="1"/>
  <c r="IO18" i="1"/>
  <c r="EP17" i="1"/>
  <c r="GB17" i="1"/>
  <c r="EY39" i="1"/>
  <c r="FA39" i="1" s="1"/>
  <c r="EO39" i="1"/>
  <c r="DL36" i="1"/>
  <c r="CA40" i="1"/>
  <c r="IO40" i="1"/>
  <c r="IR40" i="1" s="1"/>
  <c r="FX40" i="1"/>
  <c r="FM33" i="1"/>
  <c r="DM33" i="1"/>
  <c r="DM25" i="1"/>
  <c r="FM25" i="1"/>
  <c r="DL31" i="1"/>
  <c r="EO19" i="1"/>
  <c r="EY19" i="1"/>
  <c r="FA19" i="1" s="1"/>
  <c r="IN27" i="1"/>
  <c r="DL40" i="1"/>
  <c r="EX36" i="1"/>
  <c r="FE36" i="1" s="1"/>
  <c r="BY36" i="1" s="1"/>
  <c r="ES36" i="1"/>
  <c r="EN36" i="1"/>
  <c r="EU36" i="1"/>
  <c r="EV36" i="1"/>
  <c r="ER36" i="1"/>
  <c r="ET36" i="1"/>
  <c r="EQ36" i="1"/>
  <c r="EW36" i="1"/>
  <c r="EM36" i="1"/>
  <c r="IN34" i="1"/>
  <c r="IM34" i="1" s="1"/>
  <c r="BQ31" i="1"/>
  <c r="CA19" i="1"/>
  <c r="FX19" i="1"/>
  <c r="IO19" i="1"/>
  <c r="IM19" i="1" s="1"/>
  <c r="BQ27" i="1"/>
  <c r="DM21" i="1"/>
  <c r="FM21" i="1"/>
  <c r="DM31" i="1"/>
  <c r="FM31" i="1"/>
  <c r="EO24" i="1"/>
  <c r="EP24" i="1" s="1"/>
  <c r="EY24" i="1"/>
  <c r="FA24" i="1" s="1"/>
  <c r="FX27" i="1"/>
  <c r="EO38" i="1"/>
  <c r="EY38" i="1"/>
  <c r="FA38" i="1" s="1"/>
  <c r="IO22" i="1"/>
  <c r="IR22" i="1" s="1"/>
  <c r="CA22" i="1"/>
  <c r="FX22" i="1"/>
  <c r="EP22" i="1"/>
  <c r="GB22" i="1" s="1"/>
  <c r="IF21" i="1"/>
  <c r="IN18" i="1"/>
  <c r="IN17" i="1"/>
  <c r="IR4" i="1"/>
  <c r="IS4" i="1"/>
  <c r="IR5" i="1"/>
  <c r="IS9" i="1"/>
  <c r="IR9" i="1"/>
  <c r="IS8" i="1"/>
  <c r="IR8" i="1"/>
  <c r="IZ16" i="1"/>
  <c r="IY16" i="1"/>
  <c r="IZ15" i="1"/>
  <c r="IY15" i="1"/>
  <c r="IV14" i="1"/>
  <c r="IU14" i="1"/>
  <c r="IW14" i="1"/>
  <c r="IS11" i="1"/>
  <c r="IR11" i="1"/>
  <c r="IS10" i="1"/>
  <c r="IR10" i="1"/>
  <c r="IS7" i="1"/>
  <c r="IR7" i="1"/>
  <c r="IP6" i="1"/>
  <c r="IS6" i="1" s="1"/>
  <c r="DS16" i="1"/>
  <c r="DQ16" i="1"/>
  <c r="EC16" i="1" s="1"/>
  <c r="DS15" i="1"/>
  <c r="EE15" i="1" s="1"/>
  <c r="DQ15" i="1"/>
  <c r="CS16" i="1"/>
  <c r="CN16" i="1"/>
  <c r="CO16" i="1"/>
  <c r="CP16" i="1"/>
  <c r="CQ16" i="1"/>
  <c r="CR16" i="1"/>
  <c r="CT16" i="1"/>
  <c r="CU16" i="1"/>
  <c r="CV16" i="1"/>
  <c r="CW10" i="1"/>
  <c r="CW16" i="1"/>
  <c r="CX10" i="1"/>
  <c r="CX16" i="1" s="1"/>
  <c r="CS15" i="1"/>
  <c r="CN15" i="1"/>
  <c r="CO15" i="1"/>
  <c r="CP15" i="1"/>
  <c r="CQ15" i="1"/>
  <c r="CR15" i="1"/>
  <c r="CT15" i="1"/>
  <c r="CU15" i="1"/>
  <c r="CV15" i="1"/>
  <c r="CW15" i="1"/>
  <c r="CX15" i="1"/>
  <c r="K41" i="11"/>
  <c r="N41" i="11" s="1"/>
  <c r="L6" i="11"/>
  <c r="F41" i="11"/>
  <c r="I41" i="11" s="1"/>
  <c r="G6" i="11"/>
  <c r="G19" i="11" s="1"/>
  <c r="H19" i="11" s="1"/>
  <c r="D41" i="11"/>
  <c r="B41" i="11"/>
  <c r="C41" i="11" s="1"/>
  <c r="K40" i="11"/>
  <c r="N40" i="11" s="1"/>
  <c r="F40" i="11"/>
  <c r="I40" i="11"/>
  <c r="D40" i="11"/>
  <c r="B40" i="11"/>
  <c r="C40" i="11"/>
  <c r="K39" i="11"/>
  <c r="N39" i="11" s="1"/>
  <c r="F39" i="11"/>
  <c r="I39" i="11" s="1"/>
  <c r="D39" i="11"/>
  <c r="B39" i="11"/>
  <c r="C39" i="11"/>
  <c r="K38" i="11"/>
  <c r="N38" i="11" s="1"/>
  <c r="F38" i="11"/>
  <c r="I38" i="11" s="1"/>
  <c r="D38" i="11"/>
  <c r="B38" i="11"/>
  <c r="C38" i="11" s="1"/>
  <c r="K37" i="11"/>
  <c r="N37" i="11" s="1"/>
  <c r="L37" i="11"/>
  <c r="M37" i="11" s="1"/>
  <c r="F37" i="11"/>
  <c r="I37" i="11" s="1"/>
  <c r="D37" i="11"/>
  <c r="B37" i="11"/>
  <c r="C37" i="11" s="1"/>
  <c r="K36" i="11"/>
  <c r="N36" i="11" s="1"/>
  <c r="F36" i="11"/>
  <c r="I36" i="11"/>
  <c r="D36" i="11"/>
  <c r="B36" i="11"/>
  <c r="C36" i="11" s="1"/>
  <c r="K35" i="11"/>
  <c r="N35" i="11" s="1"/>
  <c r="F35" i="11"/>
  <c r="I35" i="11" s="1"/>
  <c r="D35" i="11"/>
  <c r="B35" i="11"/>
  <c r="C35" i="11"/>
  <c r="K34" i="11"/>
  <c r="N34" i="11"/>
  <c r="F34" i="11"/>
  <c r="I34" i="11" s="1"/>
  <c r="D34" i="11"/>
  <c r="B34" i="11"/>
  <c r="C34" i="11" s="1"/>
  <c r="K33" i="11"/>
  <c r="N33" i="11" s="1"/>
  <c r="L33" i="11"/>
  <c r="M33" i="11" s="1"/>
  <c r="F33" i="11"/>
  <c r="I33" i="11" s="1"/>
  <c r="G33" i="11"/>
  <c r="H33" i="11" s="1"/>
  <c r="D33" i="11"/>
  <c r="B33" i="11"/>
  <c r="C33" i="11" s="1"/>
  <c r="K32" i="11"/>
  <c r="N32" i="11" s="1"/>
  <c r="F32" i="11"/>
  <c r="I32" i="11"/>
  <c r="D32" i="11"/>
  <c r="B32" i="11"/>
  <c r="C32" i="11" s="1"/>
  <c r="K31" i="11"/>
  <c r="N31" i="11" s="1"/>
  <c r="L31" i="11"/>
  <c r="M31" i="11" s="1"/>
  <c r="F31" i="11"/>
  <c r="I31" i="11" s="1"/>
  <c r="D31" i="11"/>
  <c r="B31" i="11"/>
  <c r="C31" i="11" s="1"/>
  <c r="K30" i="11"/>
  <c r="N30" i="11"/>
  <c r="F30" i="11"/>
  <c r="I30" i="11" s="1"/>
  <c r="D30" i="11"/>
  <c r="B30" i="11"/>
  <c r="C30" i="11" s="1"/>
  <c r="K29" i="11"/>
  <c r="N29" i="11" s="1"/>
  <c r="F29" i="11"/>
  <c r="I29" i="11"/>
  <c r="G29" i="11"/>
  <c r="H29" i="11" s="1"/>
  <c r="D29" i="11"/>
  <c r="B29" i="11"/>
  <c r="C29" i="11"/>
  <c r="K28" i="11"/>
  <c r="N28" i="11" s="1"/>
  <c r="F28" i="11"/>
  <c r="I28" i="11"/>
  <c r="D28" i="11"/>
  <c r="B28" i="11"/>
  <c r="C28" i="11" s="1"/>
  <c r="K27" i="11"/>
  <c r="N27" i="11" s="1"/>
  <c r="L27" i="11"/>
  <c r="M27" i="11" s="1"/>
  <c r="F27" i="11"/>
  <c r="I27" i="11" s="1"/>
  <c r="D27" i="11"/>
  <c r="B27" i="11"/>
  <c r="C27" i="11" s="1"/>
  <c r="K26" i="11"/>
  <c r="N26" i="11" s="1"/>
  <c r="F26" i="11"/>
  <c r="I26" i="11"/>
  <c r="D26" i="11"/>
  <c r="B26" i="11"/>
  <c r="C26" i="11" s="1"/>
  <c r="K25" i="11"/>
  <c r="N25" i="11" s="1"/>
  <c r="F25" i="11"/>
  <c r="I25" i="11" s="1"/>
  <c r="D25" i="11"/>
  <c r="B25" i="11"/>
  <c r="C25" i="11" s="1"/>
  <c r="K24" i="11"/>
  <c r="L24" i="11" s="1"/>
  <c r="M24" i="11" s="1"/>
  <c r="N24" i="11"/>
  <c r="F24" i="11"/>
  <c r="I24" i="11"/>
  <c r="G24" i="11"/>
  <c r="H24" i="11" s="1"/>
  <c r="D24" i="11"/>
  <c r="B24" i="11"/>
  <c r="C24" i="11"/>
  <c r="K23" i="11"/>
  <c r="N23" i="11" s="1"/>
  <c r="F23" i="11"/>
  <c r="I23" i="11" s="1"/>
  <c r="G23" i="11"/>
  <c r="H23" i="11" s="1"/>
  <c r="D23" i="11"/>
  <c r="B23" i="11"/>
  <c r="C23" i="11" s="1"/>
  <c r="K22" i="11"/>
  <c r="N22" i="11"/>
  <c r="F22" i="11"/>
  <c r="I22" i="11" s="1"/>
  <c r="D22" i="11"/>
  <c r="B22" i="11"/>
  <c r="C22" i="11" s="1"/>
  <c r="K21" i="11"/>
  <c r="L21" i="11" s="1"/>
  <c r="M21" i="11" s="1"/>
  <c r="N21" i="11"/>
  <c r="F21" i="11"/>
  <c r="I21" i="11" s="1"/>
  <c r="D21" i="11"/>
  <c r="B21" i="11"/>
  <c r="C21" i="11" s="1"/>
  <c r="K20" i="11"/>
  <c r="N20" i="11"/>
  <c r="L20" i="11"/>
  <c r="M20" i="11" s="1"/>
  <c r="F20" i="11"/>
  <c r="I20" i="11" s="1"/>
  <c r="D20" i="11"/>
  <c r="B20" i="11"/>
  <c r="C20" i="11" s="1"/>
  <c r="K19" i="11"/>
  <c r="N19" i="11" s="1"/>
  <c r="L19" i="11"/>
  <c r="M19" i="11"/>
  <c r="F19" i="11"/>
  <c r="I19" i="11" s="1"/>
  <c r="D19" i="11"/>
  <c r="B19" i="11"/>
  <c r="C19" i="11"/>
  <c r="K18" i="11"/>
  <c r="N18" i="11"/>
  <c r="F18" i="11"/>
  <c r="I18" i="11" s="1"/>
  <c r="D18" i="11"/>
  <c r="B18" i="11"/>
  <c r="C18" i="11" s="1"/>
  <c r="K17" i="11"/>
  <c r="N17" i="11"/>
  <c r="L17" i="11"/>
  <c r="M17" i="11" s="1"/>
  <c r="F17" i="11"/>
  <c r="I17" i="11" s="1"/>
  <c r="D17" i="11"/>
  <c r="B17" i="11"/>
  <c r="C17" i="11" s="1"/>
  <c r="K16" i="11"/>
  <c r="N16" i="11"/>
  <c r="L16" i="11"/>
  <c r="M16" i="11" s="1"/>
  <c r="F16" i="11"/>
  <c r="I16" i="11"/>
  <c r="G16" i="11"/>
  <c r="H16" i="11" s="1"/>
  <c r="D16" i="11"/>
  <c r="B16" i="11"/>
  <c r="C16" i="11" s="1"/>
  <c r="K15" i="11"/>
  <c r="N15" i="11" s="1"/>
  <c r="F15" i="11"/>
  <c r="I15" i="11" s="1"/>
  <c r="G15" i="11"/>
  <c r="H15" i="11" s="1"/>
  <c r="D15" i="11"/>
  <c r="B15" i="11"/>
  <c r="C15" i="11"/>
  <c r="K14" i="11"/>
  <c r="N14" i="11" s="1"/>
  <c r="F14" i="11"/>
  <c r="I14" i="11"/>
  <c r="D14" i="11"/>
  <c r="B14" i="11"/>
  <c r="C14" i="11" s="1"/>
  <c r="K13" i="11"/>
  <c r="L13" i="11" s="1"/>
  <c r="M13" i="11" s="1"/>
  <c r="N13" i="11"/>
  <c r="F13" i="11"/>
  <c r="I13" i="11" s="1"/>
  <c r="G13" i="11"/>
  <c r="H13" i="11" s="1"/>
  <c r="D13" i="11"/>
  <c r="B13" i="11"/>
  <c r="C13" i="11"/>
  <c r="K12" i="11"/>
  <c r="L12" i="11" s="1"/>
  <c r="M12" i="11" s="1"/>
  <c r="N12" i="11"/>
  <c r="F12" i="11"/>
  <c r="I12" i="11"/>
  <c r="G12" i="11"/>
  <c r="H12" i="11"/>
  <c r="D12" i="11"/>
  <c r="B12" i="11"/>
  <c r="C12" i="11" s="1"/>
  <c r="K11" i="11"/>
  <c r="N11" i="11" s="1"/>
  <c r="F11" i="11"/>
  <c r="I11" i="11" s="1"/>
  <c r="G11" i="11"/>
  <c r="H11" i="11" s="1"/>
  <c r="D11" i="11"/>
  <c r="B11" i="11"/>
  <c r="C11" i="11"/>
  <c r="K10" i="11"/>
  <c r="N10" i="11" s="1"/>
  <c r="F10" i="11"/>
  <c r="I10" i="11" s="1"/>
  <c r="D10" i="11"/>
  <c r="B10" i="11"/>
  <c r="C10" i="11" s="1"/>
  <c r="C15" i="1"/>
  <c r="DU15" i="1"/>
  <c r="DN15" i="1"/>
  <c r="DO15" i="1"/>
  <c r="EA15" i="1" s="1"/>
  <c r="DP15" i="1"/>
  <c r="EB15" i="1" s="1"/>
  <c r="EC15" i="1"/>
  <c r="DR15" i="1"/>
  <c r="ED15" i="1" s="1"/>
  <c r="DT15" i="1"/>
  <c r="EF15" i="1" s="1"/>
  <c r="EG15" i="1"/>
  <c r="DV15" i="1"/>
  <c r="EH15" i="1" s="1"/>
  <c r="DW15" i="1"/>
  <c r="EI15" i="1" s="1"/>
  <c r="C16" i="1"/>
  <c r="DU16" i="1"/>
  <c r="EG16" i="1" s="1"/>
  <c r="DN16" i="1"/>
  <c r="DZ16" i="1" s="1"/>
  <c r="DO16" i="1"/>
  <c r="EA16" i="1"/>
  <c r="DP16" i="1"/>
  <c r="EB16" i="1" s="1"/>
  <c r="DR16" i="1"/>
  <c r="ED16" i="1" s="1"/>
  <c r="DT16" i="1"/>
  <c r="EF16" i="1" s="1"/>
  <c r="DV16" i="1"/>
  <c r="EH16" i="1" s="1"/>
  <c r="DW16" i="1"/>
  <c r="EI16" i="1" s="1"/>
  <c r="GX16" i="1"/>
  <c r="GY16" i="1"/>
  <c r="DX15" i="1"/>
  <c r="GX15" i="1"/>
  <c r="GY15" i="1"/>
  <c r="BS5" i="1"/>
  <c r="BS6" i="1"/>
  <c r="BS7" i="1"/>
  <c r="BS4" i="1"/>
  <c r="BU14" i="1"/>
  <c r="BV14" i="1"/>
  <c r="BX14" i="1"/>
  <c r="BY14" i="1"/>
  <c r="BW14" i="1"/>
  <c r="IM38" i="1" l="1"/>
  <c r="GN39" i="1"/>
  <c r="IM39" i="1"/>
  <c r="EZ35" i="1"/>
  <c r="IR32" i="1"/>
  <c r="FB31" i="1"/>
  <c r="FJ31" i="1" s="1"/>
  <c r="EZ31" i="1"/>
  <c r="HG31" i="1" s="1"/>
  <c r="HH31" i="1" s="1"/>
  <c r="HJ31" i="1" s="1"/>
  <c r="IR31" i="1"/>
  <c r="IM32" i="1"/>
  <c r="IM27" i="1"/>
  <c r="CA26" i="1"/>
  <c r="IN26" i="1"/>
  <c r="IO26" i="1"/>
  <c r="IR26" i="1" s="1"/>
  <c r="FX26" i="1"/>
  <c r="IP26" i="1"/>
  <c r="IS26" i="1" s="1"/>
  <c r="GM26" i="1"/>
  <c r="EZ22" i="1"/>
  <c r="IR21" i="1"/>
  <c r="IM17" i="1"/>
  <c r="IF18" i="1"/>
  <c r="FU16" i="1"/>
  <c r="GD35" i="1"/>
  <c r="HG35" i="1"/>
  <c r="GC35" i="1"/>
  <c r="FC24" i="1"/>
  <c r="FB24" i="1"/>
  <c r="GB24" i="1"/>
  <c r="FC18" i="1"/>
  <c r="FD18" i="1" s="1"/>
  <c r="GB18" i="1"/>
  <c r="FB18" i="1"/>
  <c r="EZ18" i="1"/>
  <c r="FZ18" i="1" s="1"/>
  <c r="GA18" i="1" s="1"/>
  <c r="FJ20" i="1"/>
  <c r="BW20" i="1"/>
  <c r="GC22" i="1"/>
  <c r="HG22" i="1"/>
  <c r="HI22" i="1" s="1"/>
  <c r="GD22" i="1"/>
  <c r="GN27" i="1"/>
  <c r="GM27" i="1"/>
  <c r="CA33" i="1"/>
  <c r="IO33" i="1"/>
  <c r="IR33" i="1" s="1"/>
  <c r="FX33" i="1"/>
  <c r="IM18" i="1"/>
  <c r="FX36" i="1"/>
  <c r="CA36" i="1"/>
  <c r="IO36" i="1"/>
  <c r="GB31" i="1"/>
  <c r="IN42" i="1"/>
  <c r="FT42" i="1"/>
  <c r="FY42" i="1"/>
  <c r="IF42" i="1"/>
  <c r="IP42" i="1"/>
  <c r="IS42" i="1" s="1"/>
  <c r="GN23" i="1"/>
  <c r="GM23" i="1"/>
  <c r="FX25" i="1"/>
  <c r="IO25" i="1"/>
  <c r="CA25" i="1"/>
  <c r="IM40" i="1"/>
  <c r="IN37" i="1"/>
  <c r="GD17" i="1"/>
  <c r="GM31" i="1"/>
  <c r="GN31" i="1"/>
  <c r="IR20" i="1"/>
  <c r="BW27" i="1"/>
  <c r="FJ27" i="1"/>
  <c r="EP32" i="1"/>
  <c r="EZ32" i="1" s="1"/>
  <c r="FX41" i="1"/>
  <c r="IO41" i="1"/>
  <c r="CA41" i="1"/>
  <c r="FZ22" i="1"/>
  <c r="GA22" i="1" s="1"/>
  <c r="FC22" i="1"/>
  <c r="EO42" i="1"/>
  <c r="EP42" i="1" s="1"/>
  <c r="EY42" i="1"/>
  <c r="FA42" i="1" s="1"/>
  <c r="EZ20" i="1"/>
  <c r="FZ20" i="1" s="1"/>
  <c r="GA20" i="1" s="1"/>
  <c r="EP23" i="1"/>
  <c r="FT25" i="1"/>
  <c r="FY25" i="1"/>
  <c r="IP25" i="1"/>
  <c r="IS25" i="1" s="1"/>
  <c r="IF25" i="1"/>
  <c r="EP21" i="1"/>
  <c r="GC17" i="1"/>
  <c r="EP38" i="1"/>
  <c r="GM28" i="1"/>
  <c r="GN28" i="1"/>
  <c r="FY33" i="1"/>
  <c r="IP33" i="1"/>
  <c r="IS33" i="1" s="1"/>
  <c r="FT33" i="1"/>
  <c r="IF33" i="1"/>
  <c r="EO41" i="1"/>
  <c r="EP41" i="1" s="1"/>
  <c r="EY41" i="1"/>
  <c r="FA41" i="1" s="1"/>
  <c r="IP41" i="1"/>
  <c r="IS41" i="1" s="1"/>
  <c r="IF41" i="1"/>
  <c r="FY41" i="1"/>
  <c r="FT41" i="1"/>
  <c r="IR19" i="1"/>
  <c r="IP36" i="1"/>
  <c r="IS36" i="1" s="1"/>
  <c r="FT36" i="1"/>
  <c r="FY36" i="1"/>
  <c r="IF36" i="1"/>
  <c r="IM24" i="1"/>
  <c r="EP40" i="1"/>
  <c r="EP19" i="1"/>
  <c r="FZ34" i="1"/>
  <c r="GA34" i="1" s="1"/>
  <c r="FC34" i="1"/>
  <c r="GB34" i="1"/>
  <c r="GN34" i="1"/>
  <c r="GM34" i="1"/>
  <c r="FT37" i="1"/>
  <c r="IP37" i="1"/>
  <c r="IS37" i="1" s="1"/>
  <c r="FY37" i="1"/>
  <c r="IF37" i="1"/>
  <c r="FB34" i="1"/>
  <c r="EZ40" i="1"/>
  <c r="IN29" i="1"/>
  <c r="IP29" i="1"/>
  <c r="IS29" i="1" s="1"/>
  <c r="FY29" i="1"/>
  <c r="IF29" i="1"/>
  <c r="FT29" i="1"/>
  <c r="GM30" i="1"/>
  <c r="GN30" i="1"/>
  <c r="FB22" i="1"/>
  <c r="CA42" i="1"/>
  <c r="FX42" i="1"/>
  <c r="IO42" i="1"/>
  <c r="IR42" i="1" s="1"/>
  <c r="EO25" i="1"/>
  <c r="EP25" i="1" s="1"/>
  <c r="EY25" i="1"/>
  <c r="FA25" i="1" s="1"/>
  <c r="GM19" i="1"/>
  <c r="GN19" i="1"/>
  <c r="IR28" i="1"/>
  <c r="EP33" i="1"/>
  <c r="FB33" i="1" s="1"/>
  <c r="EY33" i="1"/>
  <c r="FA33" i="1" s="1"/>
  <c r="EO33" i="1"/>
  <c r="IM31" i="1"/>
  <c r="IM21" i="1"/>
  <c r="CA37" i="1"/>
  <c r="FX37" i="1"/>
  <c r="IO37" i="1"/>
  <c r="EO29" i="1"/>
  <c r="EY29" i="1"/>
  <c r="FA29" i="1" s="1"/>
  <c r="IR34" i="1"/>
  <c r="IR27" i="1"/>
  <c r="GM32" i="1"/>
  <c r="GN32" i="1"/>
  <c r="IR24" i="1"/>
  <c r="FZ35" i="1"/>
  <c r="GA35" i="1" s="1"/>
  <c r="FC35" i="1"/>
  <c r="IR23" i="1"/>
  <c r="EO36" i="1"/>
  <c r="EP36" i="1" s="1"/>
  <c r="EY36" i="1"/>
  <c r="FA36" i="1" s="1"/>
  <c r="FZ17" i="1"/>
  <c r="GA17" i="1" s="1"/>
  <c r="FC17" i="1"/>
  <c r="FD17" i="1" s="1"/>
  <c r="IM22" i="1"/>
  <c r="IM28" i="1"/>
  <c r="GM40" i="1"/>
  <c r="GN40" i="1"/>
  <c r="FC20" i="1"/>
  <c r="FD20" i="1" s="1"/>
  <c r="GN24" i="1"/>
  <c r="GM24" i="1"/>
  <c r="IN25" i="1"/>
  <c r="IM25" i="1" s="1"/>
  <c r="HG17" i="1"/>
  <c r="GM38" i="1"/>
  <c r="GN38" i="1"/>
  <c r="IN33" i="1"/>
  <c r="GM22" i="1"/>
  <c r="GN22" i="1"/>
  <c r="EZ24" i="1"/>
  <c r="EY37" i="1"/>
  <c r="FA37" i="1" s="1"/>
  <c r="EO37" i="1"/>
  <c r="CA29" i="1"/>
  <c r="IO29" i="1"/>
  <c r="FX29" i="1"/>
  <c r="EZ27" i="1"/>
  <c r="GM35" i="1"/>
  <c r="GN35" i="1"/>
  <c r="IR38" i="1"/>
  <c r="EZ23" i="1"/>
  <c r="GM17" i="1"/>
  <c r="GN17" i="1"/>
  <c r="FB35" i="1"/>
  <c r="EP28" i="1"/>
  <c r="GN20" i="1"/>
  <c r="GM20" i="1"/>
  <c r="IN41" i="1"/>
  <c r="IM41" i="1" s="1"/>
  <c r="IM23" i="1"/>
  <c r="IN36" i="1"/>
  <c r="IM36" i="1" s="1"/>
  <c r="FC31" i="1"/>
  <c r="FZ31" i="1"/>
  <c r="GA31" i="1" s="1"/>
  <c r="EP39" i="1"/>
  <c r="IR18" i="1"/>
  <c r="FC27" i="1"/>
  <c r="FD27" i="1" s="1"/>
  <c r="FD22" i="1"/>
  <c r="FB17" i="1"/>
  <c r="EZ34" i="1"/>
  <c r="FD34" i="1"/>
  <c r="GM18" i="1"/>
  <c r="GN18" i="1"/>
  <c r="IM35" i="1"/>
  <c r="GB27" i="1"/>
  <c r="EP26" i="1"/>
  <c r="EP30" i="1"/>
  <c r="EZ30" i="1" s="1"/>
  <c r="GB20" i="1"/>
  <c r="EE16" i="1"/>
  <c r="EJ16" i="1" s="1"/>
  <c r="EK16" i="1" s="1"/>
  <c r="G27" i="11"/>
  <c r="H27" i="11" s="1"/>
  <c r="G36" i="11"/>
  <c r="H36" i="11" s="1"/>
  <c r="G40" i="11"/>
  <c r="H40" i="11" s="1"/>
  <c r="G20" i="11"/>
  <c r="H20" i="11" s="1"/>
  <c r="G21" i="11"/>
  <c r="H21" i="11" s="1"/>
  <c r="G39" i="11"/>
  <c r="H39" i="11" s="1"/>
  <c r="G17" i="11"/>
  <c r="H17" i="11" s="1"/>
  <c r="L36" i="11"/>
  <c r="M36" i="11" s="1"/>
  <c r="L15" i="11"/>
  <c r="M15" i="11" s="1"/>
  <c r="DX16" i="1"/>
  <c r="FU15" i="1"/>
  <c r="IS5" i="1"/>
  <c r="IR6" i="1"/>
  <c r="L11" i="11"/>
  <c r="M11" i="11" s="1"/>
  <c r="G41" i="11"/>
  <c r="H41" i="11" s="1"/>
  <c r="G38" i="11"/>
  <c r="H38" i="11" s="1"/>
  <c r="G34" i="11"/>
  <c r="H34" i="11" s="1"/>
  <c r="G30" i="11"/>
  <c r="H30" i="11" s="1"/>
  <c r="G26" i="11"/>
  <c r="H26" i="11" s="1"/>
  <c r="G22" i="11"/>
  <c r="H22" i="11" s="1"/>
  <c r="G18" i="11"/>
  <c r="H18" i="11" s="1"/>
  <c r="G14" i="11"/>
  <c r="H14" i="11" s="1"/>
  <c r="G10" i="11"/>
  <c r="H10" i="11" s="1"/>
  <c r="L38" i="11"/>
  <c r="M38" i="11" s="1"/>
  <c r="L34" i="11"/>
  <c r="M34" i="11" s="1"/>
  <c r="L30" i="11"/>
  <c r="M30" i="11" s="1"/>
  <c r="L26" i="11"/>
  <c r="M26" i="11" s="1"/>
  <c r="L22" i="11"/>
  <c r="M22" i="11" s="1"/>
  <c r="L18" i="11"/>
  <c r="M18" i="11" s="1"/>
  <c r="L14" i="11"/>
  <c r="M14" i="11" s="1"/>
  <c r="L10" i="11"/>
  <c r="M10" i="11" s="1"/>
  <c r="CY15" i="1"/>
  <c r="DG15" i="1" s="1"/>
  <c r="DZ15" i="1"/>
  <c r="EJ15" i="1" s="1"/>
  <c r="EK15" i="1" s="1"/>
  <c r="EM15" i="1" s="1"/>
  <c r="L25" i="11"/>
  <c r="M25" i="11" s="1"/>
  <c r="G28" i="11"/>
  <c r="H28" i="11" s="1"/>
  <c r="L28" i="11"/>
  <c r="M28" i="11" s="1"/>
  <c r="G31" i="11"/>
  <c r="H31" i="11" s="1"/>
  <c r="L35" i="11"/>
  <c r="M35" i="11" s="1"/>
  <c r="G37" i="11"/>
  <c r="H37" i="11" s="1"/>
  <c r="L23" i="11"/>
  <c r="M23" i="11" s="1"/>
  <c r="G25" i="11"/>
  <c r="H25" i="11" s="1"/>
  <c r="L29" i="11"/>
  <c r="M29" i="11" s="1"/>
  <c r="G32" i="11"/>
  <c r="H32" i="11" s="1"/>
  <c r="L32" i="11"/>
  <c r="M32" i="11" s="1"/>
  <c r="G35" i="11"/>
  <c r="H35" i="11" s="1"/>
  <c r="L39" i="11"/>
  <c r="M39" i="11" s="1"/>
  <c r="L40" i="11"/>
  <c r="M40" i="11" s="1"/>
  <c r="L41" i="11"/>
  <c r="M41" i="11" s="1"/>
  <c r="CY16" i="1"/>
  <c r="DF16" i="1" s="1"/>
  <c r="HS31" i="1" l="1"/>
  <c r="HL31" i="1"/>
  <c r="HM31" i="1" s="1"/>
  <c r="GD31" i="1"/>
  <c r="BW31" i="1"/>
  <c r="HI31" i="1"/>
  <c r="GC31" i="1"/>
  <c r="HK31" i="1"/>
  <c r="IR29" i="1"/>
  <c r="IM26" i="1"/>
  <c r="GB25" i="1"/>
  <c r="EZ25" i="1"/>
  <c r="GD25" i="1" s="1"/>
  <c r="DG16" i="1"/>
  <c r="HI30" i="1"/>
  <c r="GD30" i="1"/>
  <c r="HG30" i="1"/>
  <c r="FC36" i="1"/>
  <c r="FD36" i="1" s="1"/>
  <c r="GB36" i="1"/>
  <c r="FB36" i="1"/>
  <c r="FC42" i="1"/>
  <c r="GB42" i="1"/>
  <c r="FB42" i="1"/>
  <c r="EZ42" i="1"/>
  <c r="FZ42" i="1" s="1"/>
  <c r="GA42" i="1" s="1"/>
  <c r="GD32" i="1"/>
  <c r="HG32" i="1"/>
  <c r="BX20" i="1"/>
  <c r="FF20" i="1"/>
  <c r="BX27" i="1"/>
  <c r="FF27" i="1"/>
  <c r="FC41" i="1"/>
  <c r="GB41" i="1"/>
  <c r="EZ41" i="1"/>
  <c r="FB41" i="1"/>
  <c r="GE18" i="1"/>
  <c r="BX17" i="1"/>
  <c r="FF17" i="1"/>
  <c r="FK17" i="1" s="1"/>
  <c r="FJ33" i="1"/>
  <c r="BW33" i="1"/>
  <c r="GE17" i="1"/>
  <c r="GF17" i="1"/>
  <c r="GM33" i="1"/>
  <c r="GN33" i="1"/>
  <c r="BV24" i="1"/>
  <c r="FJ18" i="1"/>
  <c r="BW18" i="1"/>
  <c r="GE31" i="1"/>
  <c r="GF31" i="1"/>
  <c r="GC24" i="1"/>
  <c r="GD24" i="1"/>
  <c r="HG24" i="1"/>
  <c r="HI24" i="1" s="1"/>
  <c r="GM41" i="1"/>
  <c r="GN41" i="1"/>
  <c r="BV22" i="1"/>
  <c r="FI22" i="1"/>
  <c r="GM42" i="1"/>
  <c r="GN42" i="1"/>
  <c r="HH35" i="1"/>
  <c r="EZ33" i="1"/>
  <c r="BV35" i="1"/>
  <c r="FC30" i="1"/>
  <c r="FZ30" i="1"/>
  <c r="GA30" i="1" s="1"/>
  <c r="GB30" i="1"/>
  <c r="GC30" i="1" s="1"/>
  <c r="FB30" i="1"/>
  <c r="BV31" i="1"/>
  <c r="FC28" i="1"/>
  <c r="FB28" i="1"/>
  <c r="GB28" i="1"/>
  <c r="GE35" i="1"/>
  <c r="GF35" i="1"/>
  <c r="FD35" i="1"/>
  <c r="FZ19" i="1"/>
  <c r="GA19" i="1" s="1"/>
  <c r="FC19" i="1"/>
  <c r="FB19" i="1"/>
  <c r="GB19" i="1"/>
  <c r="GN36" i="1"/>
  <c r="GM36" i="1"/>
  <c r="FD41" i="1"/>
  <c r="FC38" i="1"/>
  <c r="FB38" i="1"/>
  <c r="EZ38" i="1"/>
  <c r="FZ38" i="1" s="1"/>
  <c r="GA38" i="1" s="1"/>
  <c r="GB38" i="1"/>
  <c r="FZ23" i="1"/>
  <c r="GA23" i="1" s="1"/>
  <c r="FC23" i="1"/>
  <c r="GB23" i="1"/>
  <c r="FB23" i="1"/>
  <c r="EZ36" i="1"/>
  <c r="FZ36" i="1" s="1"/>
  <c r="GA36" i="1" s="1"/>
  <c r="GE22" i="1"/>
  <c r="GF22" i="1"/>
  <c r="GG17" i="1"/>
  <c r="IR36" i="1"/>
  <c r="EZ19" i="1"/>
  <c r="GG35" i="1"/>
  <c r="GC23" i="1"/>
  <c r="GD23" i="1"/>
  <c r="HG23" i="1"/>
  <c r="HI23" i="1" s="1"/>
  <c r="HH17" i="1"/>
  <c r="GM29" i="1"/>
  <c r="GN29" i="1"/>
  <c r="BW17" i="1"/>
  <c r="FJ17" i="1"/>
  <c r="FC26" i="1"/>
  <c r="FB26" i="1"/>
  <c r="GB26" i="1"/>
  <c r="FC39" i="1"/>
  <c r="GB39" i="1"/>
  <c r="EZ39" i="1"/>
  <c r="FZ39" i="1" s="1"/>
  <c r="GA39" i="1" s="1"/>
  <c r="FB39" i="1"/>
  <c r="FJ35" i="1"/>
  <c r="BW35" i="1"/>
  <c r="IR37" i="1"/>
  <c r="BX18" i="1"/>
  <c r="FF18" i="1"/>
  <c r="FK18" i="1" s="1"/>
  <c r="FC25" i="1"/>
  <c r="FD25" i="1" s="1"/>
  <c r="GD20" i="1"/>
  <c r="GC20" i="1"/>
  <c r="HG20" i="1"/>
  <c r="HI20" i="1" s="1"/>
  <c r="HI17" i="1"/>
  <c r="BV18" i="1"/>
  <c r="FI18" i="1"/>
  <c r="BV27" i="1"/>
  <c r="FI27" i="1"/>
  <c r="HH22" i="1"/>
  <c r="BX34" i="1"/>
  <c r="FF34" i="1"/>
  <c r="FD24" i="1"/>
  <c r="FI24" i="1" s="1"/>
  <c r="IM29" i="1"/>
  <c r="FZ40" i="1"/>
  <c r="GA40" i="1" s="1"/>
  <c r="FC40" i="1"/>
  <c r="FB40" i="1"/>
  <c r="GB40" i="1"/>
  <c r="IM37" i="1"/>
  <c r="BW24" i="1"/>
  <c r="FJ24" i="1"/>
  <c r="HI35" i="1"/>
  <c r="GE20" i="1"/>
  <c r="FZ33" i="1"/>
  <c r="GA33" i="1" s="1"/>
  <c r="FC33" i="1"/>
  <c r="GE34" i="1"/>
  <c r="GB33" i="1"/>
  <c r="BV20" i="1"/>
  <c r="FI20" i="1"/>
  <c r="BX22" i="1"/>
  <c r="FF22" i="1"/>
  <c r="FK22" i="1" s="1"/>
  <c r="GD27" i="1"/>
  <c r="GC27" i="1"/>
  <c r="HG27" i="1"/>
  <c r="HI27" i="1" s="1"/>
  <c r="GC34" i="1"/>
  <c r="HG34" i="1"/>
  <c r="HI34" i="1" s="1"/>
  <c r="GD34" i="1"/>
  <c r="BW22" i="1"/>
  <c r="FJ22" i="1"/>
  <c r="BV34" i="1"/>
  <c r="FI34" i="1"/>
  <c r="FC21" i="1"/>
  <c r="EZ21" i="1"/>
  <c r="GB21" i="1"/>
  <c r="FB21" i="1"/>
  <c r="GN25" i="1"/>
  <c r="GM25" i="1"/>
  <c r="IR41" i="1"/>
  <c r="FD31" i="1"/>
  <c r="FI31" i="1" s="1"/>
  <c r="EZ26" i="1"/>
  <c r="HG40" i="1"/>
  <c r="GC40" i="1"/>
  <c r="GD40" i="1"/>
  <c r="IM42" i="1"/>
  <c r="HG18" i="1"/>
  <c r="HI18" i="1" s="1"/>
  <c r="GC18" i="1"/>
  <c r="GD18" i="1"/>
  <c r="FL34" i="1"/>
  <c r="BW34" i="1"/>
  <c r="FJ34" i="1"/>
  <c r="FK34" i="1"/>
  <c r="EP37" i="1"/>
  <c r="EZ37" i="1" s="1"/>
  <c r="FZ27" i="1"/>
  <c r="GA27" i="1" s="1"/>
  <c r="IM33" i="1"/>
  <c r="BV17" i="1"/>
  <c r="FI17" i="1"/>
  <c r="FL17" i="1" s="1"/>
  <c r="EP29" i="1"/>
  <c r="EZ29" i="1" s="1"/>
  <c r="GM37" i="1"/>
  <c r="GN37" i="1"/>
  <c r="GG31" i="1"/>
  <c r="FB25" i="1"/>
  <c r="FD42" i="1"/>
  <c r="FZ32" i="1"/>
  <c r="GA32" i="1" s="1"/>
  <c r="FC32" i="1"/>
  <c r="GB32" i="1"/>
  <c r="GC32" i="1" s="1"/>
  <c r="FB32" i="1"/>
  <c r="IR25" i="1"/>
  <c r="GG22" i="1"/>
  <c r="FZ24" i="1"/>
  <c r="GA24" i="1" s="1"/>
  <c r="EZ28" i="1"/>
  <c r="EO15" i="1"/>
  <c r="DF15" i="1"/>
  <c r="DD15" i="1"/>
  <c r="DH15" i="1"/>
  <c r="DA15" i="1"/>
  <c r="DC15" i="1"/>
  <c r="DI15" i="1"/>
  <c r="DE15" i="1"/>
  <c r="DK15" i="1"/>
  <c r="DJ15" i="1"/>
  <c r="DB15" i="1"/>
  <c r="EU15" i="1"/>
  <c r="EV15" i="1"/>
  <c r="EQ15" i="1"/>
  <c r="EX15" i="1"/>
  <c r="FE15" i="1" s="1"/>
  <c r="BY15" i="1" s="1"/>
  <c r="EN15" i="1"/>
  <c r="ES15" i="1"/>
  <c r="EW15" i="1"/>
  <c r="ER15" i="1"/>
  <c r="ET15" i="1"/>
  <c r="IN15" i="1" s="1"/>
  <c r="EM16" i="1"/>
  <c r="EU16" i="1"/>
  <c r="EV16" i="1"/>
  <c r="EQ16" i="1"/>
  <c r="EX16" i="1"/>
  <c r="FE16" i="1" s="1"/>
  <c r="BY16" i="1" s="1"/>
  <c r="EN16" i="1"/>
  <c r="ES16" i="1"/>
  <c r="EW16" i="1"/>
  <c r="ER16" i="1"/>
  <c r="ET16" i="1"/>
  <c r="DC16" i="1"/>
  <c r="DD16" i="1"/>
  <c r="FM16" i="1" s="1"/>
  <c r="DA16" i="1"/>
  <c r="DB16" i="1"/>
  <c r="DI16" i="1"/>
  <c r="DE16" i="1"/>
  <c r="DK16" i="1"/>
  <c r="DJ16" i="1"/>
  <c r="DH16" i="1"/>
  <c r="FZ25" i="1" l="1"/>
  <c r="GA25" i="1" s="1"/>
  <c r="GF25" i="1" s="1"/>
  <c r="HG25" i="1"/>
  <c r="HI25" i="1" s="1"/>
  <c r="GC25" i="1"/>
  <c r="IN16" i="1"/>
  <c r="AV18" i="1"/>
  <c r="AW18" i="1" s="1"/>
  <c r="GE38" i="1"/>
  <c r="AV22" i="1"/>
  <c r="AW22" i="1" s="1"/>
  <c r="BX36" i="1"/>
  <c r="FF36" i="1"/>
  <c r="GE36" i="1"/>
  <c r="GE42" i="1"/>
  <c r="BV21" i="1"/>
  <c r="FD21" i="1"/>
  <c r="HJ17" i="1"/>
  <c r="HK17" i="1"/>
  <c r="FL31" i="1"/>
  <c r="GD41" i="1"/>
  <c r="HG41" i="1"/>
  <c r="GC41" i="1"/>
  <c r="HG37" i="1"/>
  <c r="HI37" i="1" s="1"/>
  <c r="GD37" i="1"/>
  <c r="GG20" i="1"/>
  <c r="BV39" i="1"/>
  <c r="FD39" i="1"/>
  <c r="GH35" i="1"/>
  <c r="GI35" i="1" s="1"/>
  <c r="GG18" i="1"/>
  <c r="HH40" i="1"/>
  <c r="GC19" i="1"/>
  <c r="GD19" i="1"/>
  <c r="HG19" i="1"/>
  <c r="HI19" i="1" s="1"/>
  <c r="BV38" i="1"/>
  <c r="FD38" i="1"/>
  <c r="FI38" i="1" s="1"/>
  <c r="FJ30" i="1"/>
  <c r="BW30" i="1"/>
  <c r="HJ35" i="1"/>
  <c r="FZ41" i="1"/>
  <c r="GA41" i="1" s="1"/>
  <c r="HH32" i="1"/>
  <c r="BV33" i="1"/>
  <c r="BX35" i="1"/>
  <c r="FF35" i="1"/>
  <c r="BT20" i="1"/>
  <c r="FG20" i="1"/>
  <c r="FK20" i="1"/>
  <c r="GE33" i="1"/>
  <c r="FJ42" i="1"/>
  <c r="BW42" i="1"/>
  <c r="FL42" i="1"/>
  <c r="BX42" i="1"/>
  <c r="FF42" i="1"/>
  <c r="FK42" i="1" s="1"/>
  <c r="FZ29" i="1"/>
  <c r="GA29" i="1" s="1"/>
  <c r="FC29" i="1"/>
  <c r="FB29" i="1"/>
  <c r="GB29" i="1"/>
  <c r="GC29" i="1" s="1"/>
  <c r="BW21" i="1"/>
  <c r="FJ21" i="1"/>
  <c r="FL20" i="1"/>
  <c r="GF20" i="1"/>
  <c r="GH20" i="1" s="1"/>
  <c r="GI20" i="1" s="1"/>
  <c r="BX24" i="1"/>
  <c r="FF24" i="1"/>
  <c r="HH23" i="1"/>
  <c r="FI35" i="1"/>
  <c r="GH31" i="1"/>
  <c r="GI31" i="1" s="1"/>
  <c r="FL18" i="1"/>
  <c r="BT17" i="1"/>
  <c r="FG17" i="1"/>
  <c r="GG32" i="1"/>
  <c r="HH30" i="1"/>
  <c r="FL27" i="1"/>
  <c r="FJ23" i="1"/>
  <c r="BW23" i="1"/>
  <c r="GE27" i="1"/>
  <c r="GF27" i="1"/>
  <c r="HI40" i="1"/>
  <c r="FJ32" i="1"/>
  <c r="BW32" i="1"/>
  <c r="FC37" i="1"/>
  <c r="FZ37" i="1"/>
  <c r="GA37" i="1" s="1"/>
  <c r="GB37" i="1"/>
  <c r="GC37" i="1" s="1"/>
  <c r="FB37" i="1"/>
  <c r="HH18" i="1"/>
  <c r="FD33" i="1"/>
  <c r="FI33" i="1" s="1"/>
  <c r="HH27" i="1"/>
  <c r="BT34" i="1"/>
  <c r="FG34" i="1"/>
  <c r="BW26" i="1"/>
  <c r="FJ26" i="1"/>
  <c r="GG23" i="1"/>
  <c r="BV23" i="1"/>
  <c r="FD23" i="1"/>
  <c r="BX41" i="1"/>
  <c r="FF41" i="1"/>
  <c r="FJ19" i="1"/>
  <c r="BW19" i="1"/>
  <c r="FJ28" i="1"/>
  <c r="BW28" i="1"/>
  <c r="BV41" i="1"/>
  <c r="FI41" i="1"/>
  <c r="BV42" i="1"/>
  <c r="FI42" i="1"/>
  <c r="GG30" i="1"/>
  <c r="GG40" i="1"/>
  <c r="GE39" i="1"/>
  <c r="BT22" i="1"/>
  <c r="FG22" i="1"/>
  <c r="HI26" i="1"/>
  <c r="GC26" i="1"/>
  <c r="HG26" i="1"/>
  <c r="GD26" i="1"/>
  <c r="GC21" i="1"/>
  <c r="HG21" i="1"/>
  <c r="HI21" i="1" s="1"/>
  <c r="GD21" i="1"/>
  <c r="BW40" i="1"/>
  <c r="FJ40" i="1"/>
  <c r="BV25" i="1"/>
  <c r="FI25" i="1"/>
  <c r="FJ39" i="1"/>
  <c r="BW39" i="1"/>
  <c r="GF23" i="1"/>
  <c r="GE23" i="1"/>
  <c r="BV28" i="1"/>
  <c r="FD28" i="1"/>
  <c r="GE30" i="1"/>
  <c r="GF30" i="1"/>
  <c r="GC33" i="1"/>
  <c r="GD33" i="1"/>
  <c r="GF33" i="1" s="1"/>
  <c r="HG33" i="1"/>
  <c r="HI33" i="1" s="1"/>
  <c r="GH17" i="1"/>
  <c r="GI17" i="1" s="1"/>
  <c r="GF18" i="1"/>
  <c r="GH18" i="1" s="1"/>
  <c r="GI18" i="1" s="1"/>
  <c r="BT27" i="1"/>
  <c r="FG27" i="1"/>
  <c r="FK27" i="1"/>
  <c r="HI32" i="1"/>
  <c r="BX25" i="1"/>
  <c r="FF25" i="1"/>
  <c r="FK25" i="1" s="1"/>
  <c r="FJ38" i="1"/>
  <c r="BW38" i="1"/>
  <c r="HG42" i="1"/>
  <c r="GC42" i="1"/>
  <c r="GD42" i="1"/>
  <c r="AV17" i="1"/>
  <c r="AW17" i="1" s="1"/>
  <c r="GC28" i="1"/>
  <c r="HG28" i="1"/>
  <c r="HI28" i="1" s="1"/>
  <c r="GD28" i="1"/>
  <c r="BV32" i="1"/>
  <c r="FD32" i="1"/>
  <c r="FI32" i="1" s="1"/>
  <c r="AV34" i="1"/>
  <c r="AW34" i="1" s="1"/>
  <c r="BX31" i="1"/>
  <c r="FF31" i="1"/>
  <c r="FZ21" i="1"/>
  <c r="GA21" i="1" s="1"/>
  <c r="FH22" i="1"/>
  <c r="FL22" i="1"/>
  <c r="GG27" i="1"/>
  <c r="BV40" i="1"/>
  <c r="FD40" i="1"/>
  <c r="HJ22" i="1"/>
  <c r="HK22" i="1" s="1"/>
  <c r="GG25" i="1"/>
  <c r="GC39" i="1"/>
  <c r="GD39" i="1"/>
  <c r="HG39" i="1"/>
  <c r="FZ26" i="1"/>
  <c r="GA26" i="1" s="1"/>
  <c r="GH22" i="1"/>
  <c r="GI22" i="1" s="1"/>
  <c r="BV19" i="1"/>
  <c r="FD19" i="1"/>
  <c r="FZ28" i="1"/>
  <c r="GA28" i="1" s="1"/>
  <c r="BV30" i="1"/>
  <c r="FD30" i="1"/>
  <c r="HH24" i="1"/>
  <c r="AV36" i="1"/>
  <c r="AW36" i="1" s="1"/>
  <c r="FL36" i="1"/>
  <c r="FK36" i="1"/>
  <c r="BW36" i="1"/>
  <c r="FJ36" i="1"/>
  <c r="GF32" i="1"/>
  <c r="GE32" i="1"/>
  <c r="HH34" i="1"/>
  <c r="GC36" i="1"/>
  <c r="HG36" i="1"/>
  <c r="GD36" i="1"/>
  <c r="GF36" i="1" s="1"/>
  <c r="BV36" i="1"/>
  <c r="FI36" i="1"/>
  <c r="HH25" i="1"/>
  <c r="GD29" i="1"/>
  <c r="HG29" i="1"/>
  <c r="HI29" i="1" s="1"/>
  <c r="FJ25" i="1"/>
  <c r="BW25" i="1"/>
  <c r="FL25" i="1"/>
  <c r="GF24" i="1"/>
  <c r="GE24" i="1"/>
  <c r="GJ34" i="1"/>
  <c r="GG34" i="1"/>
  <c r="GF34" i="1"/>
  <c r="GH34" i="1" s="1"/>
  <c r="GI34" i="1" s="1"/>
  <c r="FL24" i="1"/>
  <c r="GE40" i="1"/>
  <c r="GF40" i="1"/>
  <c r="HH20" i="1"/>
  <c r="BT18" i="1"/>
  <c r="FG18" i="1"/>
  <c r="FH18" i="1" s="1"/>
  <c r="BV26" i="1"/>
  <c r="FD26" i="1"/>
  <c r="GD38" i="1"/>
  <c r="GF38" i="1" s="1"/>
  <c r="HG38" i="1"/>
  <c r="GC38" i="1"/>
  <c r="GE19" i="1"/>
  <c r="GF19" i="1"/>
  <c r="GG24" i="1"/>
  <c r="FK41" i="1"/>
  <c r="AV41" i="1"/>
  <c r="AW41" i="1" s="1"/>
  <c r="FJ41" i="1"/>
  <c r="FL41" i="1"/>
  <c r="BW41" i="1"/>
  <c r="IP15" i="1"/>
  <c r="IS15" i="1" s="1"/>
  <c r="IP16" i="1"/>
  <c r="IS16" i="1" s="1"/>
  <c r="EY15" i="1"/>
  <c r="FA15" i="1" s="1"/>
  <c r="IO15" i="1"/>
  <c r="EP15" i="1"/>
  <c r="IO16" i="1"/>
  <c r="IM16" i="1" s="1"/>
  <c r="CA15" i="1"/>
  <c r="FX15" i="1"/>
  <c r="DL16" i="1"/>
  <c r="IF16" i="1"/>
  <c r="FY16" i="1"/>
  <c r="FT16" i="1"/>
  <c r="BQ16" i="1"/>
  <c r="CA16" i="1"/>
  <c r="FX16" i="1"/>
  <c r="EO16" i="1"/>
  <c r="EY16" i="1"/>
  <c r="FA16" i="1" s="1"/>
  <c r="DM16" i="1"/>
  <c r="DL15" i="1"/>
  <c r="FY15" i="1"/>
  <c r="FT15" i="1"/>
  <c r="IF15" i="1"/>
  <c r="DM15" i="1"/>
  <c r="FM15" i="1"/>
  <c r="GE25" i="1" l="1"/>
  <c r="GH23" i="1"/>
  <c r="GI23" i="1" s="1"/>
  <c r="GK23" i="1" s="1"/>
  <c r="AV42" i="1"/>
  <c r="AW42" i="1" s="1"/>
  <c r="FL38" i="1"/>
  <c r="FL33" i="1"/>
  <c r="FL32" i="1"/>
  <c r="BX30" i="1"/>
  <c r="FF30" i="1"/>
  <c r="GH40" i="1"/>
  <c r="GI40" i="1" s="1"/>
  <c r="HJ25" i="1"/>
  <c r="HK25" i="1" s="1"/>
  <c r="GG39" i="1"/>
  <c r="HS22" i="1"/>
  <c r="HL22" i="1"/>
  <c r="HM22" i="1" s="1"/>
  <c r="GG42" i="1"/>
  <c r="BZ27" i="1"/>
  <c r="GH30" i="1"/>
  <c r="GI30" i="1" s="1"/>
  <c r="HH21" i="1"/>
  <c r="BZ34" i="1"/>
  <c r="FJ37" i="1"/>
  <c r="BW37" i="1"/>
  <c r="HK30" i="1"/>
  <c r="HJ30" i="1"/>
  <c r="FJ29" i="1"/>
  <c r="FL29" i="1"/>
  <c r="BW29" i="1"/>
  <c r="HJ40" i="1"/>
  <c r="HS17" i="1"/>
  <c r="HL17" i="1"/>
  <c r="HM17" i="1" s="1"/>
  <c r="BX26" i="1"/>
  <c r="FF26" i="1"/>
  <c r="BU34" i="1"/>
  <c r="FH34" i="1"/>
  <c r="BU20" i="1"/>
  <c r="BZ20" i="1" s="1"/>
  <c r="HJ32" i="1"/>
  <c r="HK32" i="1"/>
  <c r="BU27" i="1"/>
  <c r="FH27" i="1"/>
  <c r="HH38" i="1"/>
  <c r="GE28" i="1"/>
  <c r="GF28" i="1"/>
  <c r="GF21" i="1"/>
  <c r="GH21" i="1" s="1"/>
  <c r="GI21" i="1" s="1"/>
  <c r="GJ21" i="1" s="1"/>
  <c r="GE21" i="1"/>
  <c r="GK18" i="1"/>
  <c r="HJ27" i="1"/>
  <c r="GH27" i="1"/>
  <c r="GI27" i="1" s="1"/>
  <c r="GK31" i="1"/>
  <c r="GJ31" i="1"/>
  <c r="HE31" i="1" s="1"/>
  <c r="HE20" i="1"/>
  <c r="GK20" i="1"/>
  <c r="BV29" i="1"/>
  <c r="FI29" i="1"/>
  <c r="FD29" i="1"/>
  <c r="BT35" i="1"/>
  <c r="FG35" i="1"/>
  <c r="FK35" i="1"/>
  <c r="GE41" i="1"/>
  <c r="GF41" i="1"/>
  <c r="HH41" i="1"/>
  <c r="BX21" i="1"/>
  <c r="FF21" i="1"/>
  <c r="GG36" i="1"/>
  <c r="GH36" i="1" s="1"/>
  <c r="GI36" i="1" s="1"/>
  <c r="FH20" i="1"/>
  <c r="FI26" i="1"/>
  <c r="HH36" i="1"/>
  <c r="HH39" i="1"/>
  <c r="GG21" i="1"/>
  <c r="GG38" i="1"/>
  <c r="GH38" i="1" s="1"/>
  <c r="GI38" i="1" s="1"/>
  <c r="HI36" i="1"/>
  <c r="BX19" i="1"/>
  <c r="FF19" i="1"/>
  <c r="HI39" i="1"/>
  <c r="BX40" i="1"/>
  <c r="FF40" i="1"/>
  <c r="BT31" i="1"/>
  <c r="FG31" i="1"/>
  <c r="FH31" i="1" s="1"/>
  <c r="FK31" i="1"/>
  <c r="GG28" i="1"/>
  <c r="HH42" i="1"/>
  <c r="BT25" i="1"/>
  <c r="FG25" i="1"/>
  <c r="GK17" i="1"/>
  <c r="GJ17" i="1"/>
  <c r="BX28" i="1"/>
  <c r="FF28" i="1"/>
  <c r="BU22" i="1"/>
  <c r="GE37" i="1"/>
  <c r="GF37" i="1"/>
  <c r="FL35" i="1"/>
  <c r="HS35" i="1"/>
  <c r="HL35" i="1"/>
  <c r="HM35" i="1" s="1"/>
  <c r="HH19" i="1"/>
  <c r="GJ20" i="1"/>
  <c r="GG41" i="1"/>
  <c r="FI21" i="1"/>
  <c r="BT36" i="1"/>
  <c r="FG36" i="1"/>
  <c r="BX39" i="1"/>
  <c r="FF39" i="1"/>
  <c r="FI39" i="1"/>
  <c r="HI38" i="1"/>
  <c r="HJ34" i="1"/>
  <c r="HJ24" i="1"/>
  <c r="HK24" i="1"/>
  <c r="FI19" i="1"/>
  <c r="FI40" i="1"/>
  <c r="HH28" i="1"/>
  <c r="HH33" i="1"/>
  <c r="FI28" i="1"/>
  <c r="BZ22" i="1"/>
  <c r="HJ23" i="1"/>
  <c r="HK23" i="1" s="1"/>
  <c r="GF29" i="1"/>
  <c r="GH29" i="1" s="1"/>
  <c r="GI29" i="1" s="1"/>
  <c r="GJ29" i="1" s="1"/>
  <c r="GE29" i="1"/>
  <c r="HK35" i="1"/>
  <c r="GG19" i="1"/>
  <c r="GH19" i="1" s="1"/>
  <c r="GI19" i="1" s="1"/>
  <c r="GG37" i="1"/>
  <c r="BU18" i="1"/>
  <c r="HE34" i="1"/>
  <c r="GK34" i="1"/>
  <c r="BZ18" i="1"/>
  <c r="HH29" i="1"/>
  <c r="HI42" i="1"/>
  <c r="GG33" i="1"/>
  <c r="GH33" i="1" s="1"/>
  <c r="GI33" i="1" s="1"/>
  <c r="GG26" i="1"/>
  <c r="GF39" i="1"/>
  <c r="BT41" i="1"/>
  <c r="FG41" i="1"/>
  <c r="BX33" i="1"/>
  <c r="FF33" i="1"/>
  <c r="BV37" i="1"/>
  <c r="FD37" i="1"/>
  <c r="FI37" i="1" s="1"/>
  <c r="BT42" i="1"/>
  <c r="FG42" i="1"/>
  <c r="GJ18" i="1"/>
  <c r="HE18" i="1" s="1"/>
  <c r="HH37" i="1"/>
  <c r="HI41" i="1"/>
  <c r="GF42" i="1"/>
  <c r="GH42" i="1" s="1"/>
  <c r="GI42" i="1" s="1"/>
  <c r="GJ42" i="1" s="1"/>
  <c r="GF26" i="1"/>
  <c r="GE26" i="1"/>
  <c r="BX23" i="1"/>
  <c r="FF23" i="1"/>
  <c r="GH24" i="1"/>
  <c r="GI24" i="1" s="1"/>
  <c r="GH32" i="1"/>
  <c r="GI32" i="1" s="1"/>
  <c r="FI30" i="1"/>
  <c r="BX32" i="1"/>
  <c r="FF32" i="1"/>
  <c r="FI23" i="1"/>
  <c r="BT24" i="1"/>
  <c r="FG24" i="1"/>
  <c r="FH24" i="1"/>
  <c r="FK24" i="1"/>
  <c r="BX38" i="1"/>
  <c r="FF38" i="1"/>
  <c r="HJ20" i="1"/>
  <c r="HK20" i="1" s="1"/>
  <c r="CK34" i="1"/>
  <c r="GP34" i="1"/>
  <c r="AV25" i="1"/>
  <c r="AW25" i="1" s="1"/>
  <c r="GG29" i="1"/>
  <c r="GK22" i="1"/>
  <c r="GJ22" i="1"/>
  <c r="HE22" i="1" s="1"/>
  <c r="GH25" i="1"/>
  <c r="GI25" i="1" s="1"/>
  <c r="AV27" i="1"/>
  <c r="AW27" i="1" s="1"/>
  <c r="HH26" i="1"/>
  <c r="HJ18" i="1"/>
  <c r="HK18" i="1" s="1"/>
  <c r="BU17" i="1"/>
  <c r="BZ17" i="1" s="1"/>
  <c r="FH17" i="1"/>
  <c r="AV20" i="1"/>
  <c r="AW20" i="1" s="1"/>
  <c r="GK35" i="1"/>
  <c r="GJ35" i="1"/>
  <c r="HE35" i="1" s="1"/>
  <c r="IR15" i="1"/>
  <c r="GB15" i="1"/>
  <c r="FC15" i="1"/>
  <c r="BV15" i="1" s="1"/>
  <c r="EZ15" i="1"/>
  <c r="GD15" i="1" s="1"/>
  <c r="IR16" i="1"/>
  <c r="IM15" i="1"/>
  <c r="FJ15" i="1"/>
  <c r="GM15" i="1"/>
  <c r="GN15" i="1"/>
  <c r="GN16" i="1"/>
  <c r="GM16" i="1"/>
  <c r="EP16" i="1"/>
  <c r="EZ16" i="1" s="1"/>
  <c r="FD15" i="1"/>
  <c r="GH37" i="1" l="1"/>
  <c r="GI37" i="1" s="1"/>
  <c r="GK37" i="1" s="1"/>
  <c r="GJ23" i="1"/>
  <c r="HE23" i="1"/>
  <c r="GK38" i="1"/>
  <c r="GJ38" i="1"/>
  <c r="HE38" i="1" s="1"/>
  <c r="GK33" i="1"/>
  <c r="GJ33" i="1"/>
  <c r="HE33" i="1" s="1"/>
  <c r="GK36" i="1"/>
  <c r="GJ36" i="1"/>
  <c r="FL37" i="1"/>
  <c r="HB34" i="1"/>
  <c r="II34" i="1" s="1"/>
  <c r="HJ36" i="1"/>
  <c r="GL18" i="1"/>
  <c r="HF18" i="1" s="1"/>
  <c r="HN18" i="1" s="1"/>
  <c r="HS40" i="1"/>
  <c r="HL40" i="1"/>
  <c r="HM40" i="1" s="1"/>
  <c r="GK32" i="1"/>
  <c r="GJ32" i="1"/>
  <c r="HF34" i="1"/>
  <c r="HN34" i="1" s="1"/>
  <c r="GL34" i="1"/>
  <c r="GQ34" i="1" s="1"/>
  <c r="FL21" i="1"/>
  <c r="GO17" i="1"/>
  <c r="HA17" i="1" s="1"/>
  <c r="CJ17" i="1"/>
  <c r="GP17" i="1"/>
  <c r="CK17" i="1"/>
  <c r="BT40" i="1"/>
  <c r="FG40" i="1"/>
  <c r="FK40" i="1"/>
  <c r="BT21" i="1"/>
  <c r="FG21" i="1"/>
  <c r="FH21" i="1"/>
  <c r="FK21" i="1"/>
  <c r="BU35" i="1"/>
  <c r="BZ35" i="1" s="1"/>
  <c r="FH35" i="1"/>
  <c r="GO31" i="1"/>
  <c r="HA31" i="1" s="1"/>
  <c r="CK31" i="1"/>
  <c r="CJ31" i="1"/>
  <c r="GP31" i="1"/>
  <c r="GQ31" i="1"/>
  <c r="HS32" i="1"/>
  <c r="HL32" i="1"/>
  <c r="HM32" i="1" s="1"/>
  <c r="BT26" i="1"/>
  <c r="FG26" i="1"/>
  <c r="FH26" i="1" s="1"/>
  <c r="FK26" i="1"/>
  <c r="GO35" i="1"/>
  <c r="HA35" i="1" s="1"/>
  <c r="GP35" i="1"/>
  <c r="CJ35" i="1"/>
  <c r="CK35" i="1"/>
  <c r="FH40" i="1"/>
  <c r="GL22" i="1"/>
  <c r="HF22" i="1" s="1"/>
  <c r="HN22" i="1" s="1"/>
  <c r="CJ34" i="1"/>
  <c r="HE24" i="1"/>
  <c r="GK24" i="1"/>
  <c r="GJ24" i="1"/>
  <c r="HJ37" i="1"/>
  <c r="HK37" i="1"/>
  <c r="GJ37" i="1"/>
  <c r="HS23" i="1"/>
  <c r="HL23" i="1"/>
  <c r="HM23" i="1" s="1"/>
  <c r="GL17" i="1"/>
  <c r="HF17" i="1" s="1"/>
  <c r="GL31" i="1"/>
  <c r="HF31" i="1" s="1"/>
  <c r="HN31" i="1" s="1"/>
  <c r="HS25" i="1"/>
  <c r="HL25" i="1"/>
  <c r="HM25" i="1" s="1"/>
  <c r="HE42" i="1"/>
  <c r="GK42" i="1"/>
  <c r="GO42" i="1" s="1"/>
  <c r="HA42" i="1" s="1"/>
  <c r="GK19" i="1"/>
  <c r="GL35" i="1"/>
  <c r="GQ35" i="1" s="1"/>
  <c r="FL40" i="1"/>
  <c r="HE40" i="1"/>
  <c r="GK40" i="1"/>
  <c r="GJ40" i="1"/>
  <c r="FL30" i="1"/>
  <c r="AV35" i="1"/>
  <c r="AW35" i="1" s="1"/>
  <c r="GO22" i="1"/>
  <c r="HA22" i="1" s="1"/>
  <c r="CK22" i="1"/>
  <c r="GP22" i="1"/>
  <c r="GQ22" i="1"/>
  <c r="CJ22" i="1"/>
  <c r="BU24" i="1"/>
  <c r="FL39" i="1"/>
  <c r="HE21" i="1"/>
  <c r="GK21" i="1"/>
  <c r="GP21" i="1" s="1"/>
  <c r="BZ24" i="1"/>
  <c r="BT33" i="1"/>
  <c r="FG33" i="1"/>
  <c r="FK33" i="1"/>
  <c r="FH33" i="1"/>
  <c r="GH39" i="1"/>
  <c r="GI39" i="1" s="1"/>
  <c r="HJ29" i="1"/>
  <c r="HK29" i="1"/>
  <c r="GJ19" i="1"/>
  <c r="FL28" i="1"/>
  <c r="FL19" i="1"/>
  <c r="BT39" i="1"/>
  <c r="FG39" i="1"/>
  <c r="FK39" i="1"/>
  <c r="GO20" i="1"/>
  <c r="HA20" i="1" s="1"/>
  <c r="CJ20" i="1"/>
  <c r="GP20" i="1"/>
  <c r="CK20" i="1"/>
  <c r="BU25" i="1"/>
  <c r="BZ25" i="1" s="1"/>
  <c r="FH25" i="1"/>
  <c r="BT19" i="1"/>
  <c r="FG19" i="1"/>
  <c r="FH19" i="1" s="1"/>
  <c r="FK19" i="1"/>
  <c r="BX29" i="1"/>
  <c r="FF29" i="1"/>
  <c r="HE27" i="1"/>
  <c r="GK27" i="1"/>
  <c r="GJ27" i="1"/>
  <c r="GH28" i="1"/>
  <c r="GI28" i="1" s="1"/>
  <c r="HJ21" i="1"/>
  <c r="HK21" i="1" s="1"/>
  <c r="BT30" i="1"/>
  <c r="FG30" i="1"/>
  <c r="FK30" i="1"/>
  <c r="GK25" i="1"/>
  <c r="GJ25" i="1"/>
  <c r="HE25" i="1" s="1"/>
  <c r="BX37" i="1"/>
  <c r="FF37" i="1"/>
  <c r="GO34" i="1"/>
  <c r="HA34" i="1" s="1"/>
  <c r="HJ33" i="1"/>
  <c r="HJ19" i="1"/>
  <c r="HK19" i="1" s="1"/>
  <c r="AV31" i="1"/>
  <c r="AW31" i="1" s="1"/>
  <c r="HJ39" i="1"/>
  <c r="HK39" i="1" s="1"/>
  <c r="HS27" i="1"/>
  <c r="HL27" i="1"/>
  <c r="HM27" i="1" s="1"/>
  <c r="AV24" i="1"/>
  <c r="AW24" i="1" s="1"/>
  <c r="HJ28" i="1"/>
  <c r="HK28" i="1"/>
  <c r="HS34" i="1"/>
  <c r="HL34" i="1"/>
  <c r="HM34" i="1" s="1"/>
  <c r="BT23" i="1"/>
  <c r="FG23" i="1"/>
  <c r="FK23" i="1"/>
  <c r="HE17" i="1"/>
  <c r="GO21" i="1"/>
  <c r="HA21" i="1" s="1"/>
  <c r="FL26" i="1"/>
  <c r="HJ41" i="1"/>
  <c r="HK41" i="1"/>
  <c r="HS20" i="1"/>
  <c r="HL20" i="1"/>
  <c r="HM20" i="1" s="1"/>
  <c r="FL23" i="1"/>
  <c r="GO18" i="1"/>
  <c r="HA18" i="1" s="1"/>
  <c r="GP18" i="1"/>
  <c r="CJ18" i="1"/>
  <c r="CK18" i="1"/>
  <c r="HS18" i="1"/>
  <c r="HL18" i="1"/>
  <c r="HM18" i="1" s="1"/>
  <c r="BT38" i="1"/>
  <c r="FG38" i="1"/>
  <c r="FH38" i="1" s="1"/>
  <c r="FK38" i="1"/>
  <c r="BT32" i="1"/>
  <c r="FG32" i="1"/>
  <c r="FH32" i="1" s="1"/>
  <c r="FK32" i="1"/>
  <c r="GH26" i="1"/>
  <c r="GI26" i="1" s="1"/>
  <c r="BU42" i="1"/>
  <c r="BZ42" i="1" s="1"/>
  <c r="FH42" i="1"/>
  <c r="HS24" i="1"/>
  <c r="HL24" i="1"/>
  <c r="HM24" i="1" s="1"/>
  <c r="BU36" i="1"/>
  <c r="BZ36" i="1" s="1"/>
  <c r="FH36" i="1"/>
  <c r="GH41" i="1"/>
  <c r="GI41" i="1" s="1"/>
  <c r="HK27" i="1"/>
  <c r="HJ38" i="1"/>
  <c r="HK38" i="1" s="1"/>
  <c r="HS30" i="1"/>
  <c r="HL30" i="1"/>
  <c r="HM30" i="1" s="1"/>
  <c r="HJ26" i="1"/>
  <c r="BU41" i="1"/>
  <c r="BZ41" i="1" s="1"/>
  <c r="FH41" i="1"/>
  <c r="HE29" i="1"/>
  <c r="GK29" i="1"/>
  <c r="GO29" i="1" s="1"/>
  <c r="HA29" i="1" s="1"/>
  <c r="HK34" i="1"/>
  <c r="BT28" i="1"/>
  <c r="FG28" i="1"/>
  <c r="FK28" i="1"/>
  <c r="HJ42" i="1"/>
  <c r="HK42" i="1" s="1"/>
  <c r="BU31" i="1"/>
  <c r="BZ31" i="1" s="1"/>
  <c r="GL20" i="1"/>
  <c r="GQ20" i="1" s="1"/>
  <c r="GO23" i="1"/>
  <c r="HA23" i="1" s="1"/>
  <c r="CJ23" i="1"/>
  <c r="CK23" i="1"/>
  <c r="GP23" i="1"/>
  <c r="GL23" i="1"/>
  <c r="HF23" i="1" s="1"/>
  <c r="HN23" i="1" s="1"/>
  <c r="HK40" i="1"/>
  <c r="HE30" i="1"/>
  <c r="GK30" i="1"/>
  <c r="GJ30" i="1"/>
  <c r="GC15" i="1"/>
  <c r="HG15" i="1"/>
  <c r="FZ15" i="1"/>
  <c r="GA15" i="1" s="1"/>
  <c r="GF15" i="1" s="1"/>
  <c r="GD16" i="1"/>
  <c r="HG16" i="1"/>
  <c r="GG15" i="1"/>
  <c r="FC16" i="1"/>
  <c r="FZ16" i="1"/>
  <c r="GA16" i="1" s="1"/>
  <c r="GB16" i="1"/>
  <c r="GC16" i="1" s="1"/>
  <c r="FB16" i="1"/>
  <c r="BX15" i="1"/>
  <c r="FI15" i="1"/>
  <c r="FF15" i="1"/>
  <c r="FG15" i="1" s="1"/>
  <c r="CJ29" i="1" l="1"/>
  <c r="HF20" i="1"/>
  <c r="HN20" i="1" s="1"/>
  <c r="HO20" i="1" s="1"/>
  <c r="HP31" i="1"/>
  <c r="HO31" i="1"/>
  <c r="GS35" i="1"/>
  <c r="GR35" i="1"/>
  <c r="HY35" i="1"/>
  <c r="HB21" i="1"/>
  <c r="II21" i="1" s="1"/>
  <c r="GR20" i="1"/>
  <c r="HY20" i="1"/>
  <c r="GS20" i="1"/>
  <c r="HP22" i="1"/>
  <c r="HO22" i="1"/>
  <c r="HB17" i="1"/>
  <c r="II17" i="1" s="1"/>
  <c r="HE26" i="1"/>
  <c r="GK26" i="1"/>
  <c r="GJ26" i="1"/>
  <c r="BU38" i="1"/>
  <c r="HP20" i="1"/>
  <c r="CJ21" i="1"/>
  <c r="GK28" i="1"/>
  <c r="GJ28" i="1"/>
  <c r="BU19" i="1"/>
  <c r="BZ19" i="1" s="1"/>
  <c r="BU33" i="1"/>
  <c r="HF35" i="1"/>
  <c r="HN35" i="1" s="1"/>
  <c r="GO24" i="1"/>
  <c r="HA24" i="1" s="1"/>
  <c r="GP24" i="1"/>
  <c r="CK24" i="1"/>
  <c r="CJ24" i="1"/>
  <c r="BU21" i="1"/>
  <c r="BZ21" i="1" s="1"/>
  <c r="GL32" i="1"/>
  <c r="GQ32" i="1" s="1"/>
  <c r="HS36" i="1"/>
  <c r="HL36" i="1"/>
  <c r="HM36" i="1" s="1"/>
  <c r="GO36" i="1"/>
  <c r="HA36" i="1" s="1"/>
  <c r="CJ36" i="1"/>
  <c r="GP36" i="1"/>
  <c r="CK36" i="1"/>
  <c r="FH28" i="1"/>
  <c r="CJ42" i="1"/>
  <c r="HS26" i="1"/>
  <c r="HL26" i="1"/>
  <c r="HM26" i="1" s="1"/>
  <c r="HS33" i="1"/>
  <c r="HL33" i="1"/>
  <c r="HM33" i="1" s="1"/>
  <c r="GR22" i="1"/>
  <c r="GS22" i="1"/>
  <c r="HY22" i="1"/>
  <c r="HB31" i="1"/>
  <c r="II31" i="1" s="1"/>
  <c r="GL33" i="1"/>
  <c r="HF33" i="1" s="1"/>
  <c r="HN33" i="1" s="1"/>
  <c r="HK26" i="1"/>
  <c r="GQ18" i="1"/>
  <c r="BU23" i="1"/>
  <c r="BZ23" i="1" s="1"/>
  <c r="HS39" i="1"/>
  <c r="HL39" i="1"/>
  <c r="HM39" i="1" s="1"/>
  <c r="GL25" i="1"/>
  <c r="GQ25" i="1" s="1"/>
  <c r="AV33" i="1"/>
  <c r="AW33" i="1" s="1"/>
  <c r="GO32" i="1"/>
  <c r="HA32" i="1" s="1"/>
  <c r="CJ32" i="1"/>
  <c r="GP32" i="1"/>
  <c r="CK32" i="1"/>
  <c r="CK42" i="1"/>
  <c r="GQ23" i="1"/>
  <c r="HB23" i="1"/>
  <c r="II23" i="1" s="1"/>
  <c r="GL29" i="1"/>
  <c r="GQ29" i="1" s="1"/>
  <c r="GK41" i="1"/>
  <c r="GJ41" i="1"/>
  <c r="HE41" i="1" s="1"/>
  <c r="CK21" i="1"/>
  <c r="AV30" i="1"/>
  <c r="AW30" i="1" s="1"/>
  <c r="GO27" i="1"/>
  <c r="HA27" i="1" s="1"/>
  <c r="CK27" i="1"/>
  <c r="GP27" i="1"/>
  <c r="CJ27" i="1"/>
  <c r="GO40" i="1"/>
  <c r="HA40" i="1" s="1"/>
  <c r="CJ40" i="1"/>
  <c r="CK40" i="1"/>
  <c r="GP40" i="1"/>
  <c r="GL19" i="1"/>
  <c r="HF19" i="1" s="1"/>
  <c r="GL24" i="1"/>
  <c r="GQ24" i="1" s="1"/>
  <c r="HC31" i="1"/>
  <c r="GQ17" i="1"/>
  <c r="HE32" i="1"/>
  <c r="HK36" i="1"/>
  <c r="GL36" i="1"/>
  <c r="GQ36" i="1" s="1"/>
  <c r="GP42" i="1"/>
  <c r="GO25" i="1"/>
  <c r="HA25" i="1" s="1"/>
  <c r="CK25" i="1"/>
  <c r="GP25" i="1"/>
  <c r="CJ25" i="1"/>
  <c r="HS38" i="1"/>
  <c r="HL38" i="1"/>
  <c r="HM38" i="1" s="1"/>
  <c r="HS28" i="1"/>
  <c r="HL28" i="1"/>
  <c r="HM28" i="1" s="1"/>
  <c r="HK33" i="1"/>
  <c r="HB20" i="1"/>
  <c r="II20" i="1" s="1"/>
  <c r="HB22" i="1"/>
  <c r="II22" i="1" s="1"/>
  <c r="HS37" i="1"/>
  <c r="HL37" i="1"/>
  <c r="HM37" i="1" s="1"/>
  <c r="GO30" i="1"/>
  <c r="HA30" i="1" s="1"/>
  <c r="CJ30" i="1"/>
  <c r="CK30" i="1"/>
  <c r="GP30" i="1"/>
  <c r="GQ30" i="1"/>
  <c r="AV32" i="1"/>
  <c r="AW32" i="1" s="1"/>
  <c r="BZ38" i="1"/>
  <c r="HB18" i="1"/>
  <c r="II18" i="1" s="1"/>
  <c r="GL27" i="1"/>
  <c r="GQ27" i="1" s="1"/>
  <c r="AV39" i="1"/>
  <c r="AW39" i="1" s="1"/>
  <c r="GO19" i="1"/>
  <c r="HA19" i="1" s="1"/>
  <c r="CJ19" i="1"/>
  <c r="CK19" i="1"/>
  <c r="GP19" i="1"/>
  <c r="GQ19" i="1"/>
  <c r="BZ33" i="1"/>
  <c r="GL40" i="1"/>
  <c r="HF40" i="1" s="1"/>
  <c r="HN40" i="1" s="1"/>
  <c r="HE19" i="1"/>
  <c r="HO23" i="1"/>
  <c r="HP23" i="1"/>
  <c r="HB35" i="1"/>
  <c r="II35" i="1" s="1"/>
  <c r="AV40" i="1"/>
  <c r="AW40" i="1" s="1"/>
  <c r="FH23" i="1"/>
  <c r="HE36" i="1"/>
  <c r="CK29" i="1"/>
  <c r="AV38" i="1"/>
  <c r="AW38" i="1" s="1"/>
  <c r="HC34" i="1"/>
  <c r="BU30" i="1"/>
  <c r="FH30" i="1"/>
  <c r="BU39" i="1"/>
  <c r="FH39" i="1"/>
  <c r="BU40" i="1"/>
  <c r="GL37" i="1"/>
  <c r="HF37" i="1" s="1"/>
  <c r="GP29" i="1"/>
  <c r="GO38" i="1"/>
  <c r="HA38" i="1" s="1"/>
  <c r="GP38" i="1"/>
  <c r="CJ38" i="1"/>
  <c r="CK38" i="1"/>
  <c r="BU28" i="1"/>
  <c r="BZ28" i="1" s="1"/>
  <c r="AV19" i="1"/>
  <c r="AW19" i="1" s="1"/>
  <c r="HF30" i="1"/>
  <c r="HN30" i="1" s="1"/>
  <c r="GL30" i="1"/>
  <c r="HS42" i="1"/>
  <c r="HL42" i="1"/>
  <c r="HM42" i="1" s="1"/>
  <c r="HC21" i="1"/>
  <c r="AV28" i="1"/>
  <c r="AW28" i="1" s="1"/>
  <c r="BU32" i="1"/>
  <c r="BZ32" i="1" s="1"/>
  <c r="HS41" i="1"/>
  <c r="HL41" i="1"/>
  <c r="HM41" i="1" s="1"/>
  <c r="HN17" i="1"/>
  <c r="HO34" i="1"/>
  <c r="HP34" i="1"/>
  <c r="HS19" i="1"/>
  <c r="HL19" i="1"/>
  <c r="HM19" i="1" s="1"/>
  <c r="BT37" i="1"/>
  <c r="FG37" i="1"/>
  <c r="FH37" i="1" s="1"/>
  <c r="FK37" i="1"/>
  <c r="BZ30" i="1"/>
  <c r="BT29" i="1"/>
  <c r="FG29" i="1"/>
  <c r="FK29" i="1"/>
  <c r="HS29" i="1"/>
  <c r="HL29" i="1"/>
  <c r="HM29" i="1" s="1"/>
  <c r="HF42" i="1"/>
  <c r="HN42" i="1" s="1"/>
  <c r="GL42" i="1"/>
  <c r="GQ42" i="1" s="1"/>
  <c r="GO37" i="1"/>
  <c r="HA37" i="1" s="1"/>
  <c r="CK37" i="1"/>
  <c r="GP37" i="1"/>
  <c r="CJ37" i="1"/>
  <c r="GQ37" i="1"/>
  <c r="AV26" i="1"/>
  <c r="AW26" i="1" s="1"/>
  <c r="HE37" i="1"/>
  <c r="GL38" i="1"/>
  <c r="GQ38" i="1" s="1"/>
  <c r="HO18" i="1"/>
  <c r="HQ18" i="1" s="1"/>
  <c r="HP18" i="1"/>
  <c r="AV23" i="1"/>
  <c r="AW23" i="1" s="1"/>
  <c r="HS21" i="1"/>
  <c r="HL21" i="1"/>
  <c r="HM21" i="1" s="1"/>
  <c r="BZ39" i="1"/>
  <c r="GK39" i="1"/>
  <c r="GJ39" i="1"/>
  <c r="HE39" i="1" s="1"/>
  <c r="HF21" i="1"/>
  <c r="HN21" i="1" s="1"/>
  <c r="GL21" i="1"/>
  <c r="GQ21" i="1" s="1"/>
  <c r="BU26" i="1"/>
  <c r="BZ26" i="1" s="1"/>
  <c r="GR31" i="1"/>
  <c r="GS31" i="1"/>
  <c r="HY31" i="1"/>
  <c r="AV21" i="1"/>
  <c r="AW21" i="1" s="1"/>
  <c r="BZ40" i="1"/>
  <c r="GR34" i="1"/>
  <c r="GS34" i="1"/>
  <c r="HY34" i="1"/>
  <c r="GO33" i="1"/>
  <c r="HA33" i="1" s="1"/>
  <c r="CJ33" i="1"/>
  <c r="GP33" i="1"/>
  <c r="CK33" i="1"/>
  <c r="GQ33" i="1"/>
  <c r="GE15" i="1"/>
  <c r="HI15" i="1"/>
  <c r="HH15" i="1"/>
  <c r="FL15" i="1"/>
  <c r="GG16" i="1"/>
  <c r="BW16" i="1"/>
  <c r="FJ16" i="1"/>
  <c r="GH15" i="1"/>
  <c r="GI15" i="1" s="1"/>
  <c r="GF16" i="1"/>
  <c r="GE16" i="1"/>
  <c r="BV16" i="1"/>
  <c r="FD16" i="1"/>
  <c r="BT15" i="1"/>
  <c r="FK15" i="1"/>
  <c r="HH16" i="1"/>
  <c r="HI16" i="1"/>
  <c r="HN37" i="1" l="1"/>
  <c r="HO37" i="1" s="1"/>
  <c r="HC35" i="1"/>
  <c r="HF32" i="1"/>
  <c r="HF27" i="1"/>
  <c r="HN27" i="1" s="1"/>
  <c r="HO27" i="1" s="1"/>
  <c r="HF24" i="1"/>
  <c r="HN24" i="1" s="1"/>
  <c r="HC23" i="1"/>
  <c r="HC20" i="1"/>
  <c r="HC18" i="1"/>
  <c r="HO40" i="1"/>
  <c r="HP40" i="1"/>
  <c r="HY25" i="1"/>
  <c r="GS25" i="1"/>
  <c r="GR25" i="1"/>
  <c r="HY38" i="1"/>
  <c r="GS38" i="1"/>
  <c r="GR38" i="1"/>
  <c r="HO30" i="1"/>
  <c r="HP30" i="1"/>
  <c r="GR36" i="1"/>
  <c r="HY36" i="1"/>
  <c r="GS36" i="1"/>
  <c r="HN41" i="1"/>
  <c r="HO41" i="1" s="1"/>
  <c r="GR27" i="1"/>
  <c r="HY27" i="1"/>
  <c r="GS27" i="1"/>
  <c r="GR24" i="1"/>
  <c r="GS24" i="1"/>
  <c r="HY24" i="1"/>
  <c r="GO39" i="1"/>
  <c r="HA39" i="1" s="1"/>
  <c r="CK39" i="1"/>
  <c r="GP39" i="1"/>
  <c r="CJ39" i="1"/>
  <c r="BU29" i="1"/>
  <c r="BZ29" i="1" s="1"/>
  <c r="FH29" i="1"/>
  <c r="HB38" i="1"/>
  <c r="II38" i="1" s="1"/>
  <c r="HP27" i="1"/>
  <c r="HR27" i="1" s="1"/>
  <c r="GQ40" i="1"/>
  <c r="HF41" i="1"/>
  <c r="GL41" i="1"/>
  <c r="HY32" i="1"/>
  <c r="GR32" i="1"/>
  <c r="GS32" i="1"/>
  <c r="HB36" i="1"/>
  <c r="II36" i="1" s="1"/>
  <c r="HQ20" i="1"/>
  <c r="HR20" i="1"/>
  <c r="HW20" i="1" s="1"/>
  <c r="IJ35" i="1"/>
  <c r="IK35" i="1"/>
  <c r="GL39" i="1"/>
  <c r="GQ39" i="1" s="1"/>
  <c r="GR42" i="1"/>
  <c r="GS42" i="1"/>
  <c r="HY42" i="1"/>
  <c r="HB40" i="1"/>
  <c r="II40" i="1" s="1"/>
  <c r="IJ22" i="1"/>
  <c r="IK22" i="1"/>
  <c r="HQ23" i="1"/>
  <c r="HU23" i="1" s="1"/>
  <c r="HB32" i="1"/>
  <c r="II32" i="1" s="1"/>
  <c r="HO42" i="1"/>
  <c r="HP42" i="1"/>
  <c r="HQ42" i="1" s="1"/>
  <c r="HF29" i="1"/>
  <c r="HN29" i="1" s="1"/>
  <c r="HP29" i="1" s="1"/>
  <c r="HY18" i="1"/>
  <c r="GR18" i="1"/>
  <c r="GS18" i="1"/>
  <c r="GO28" i="1"/>
  <c r="HA28" i="1" s="1"/>
  <c r="GP28" i="1"/>
  <c r="CJ28" i="1"/>
  <c r="CK28" i="1"/>
  <c r="HR31" i="1"/>
  <c r="HQ31" i="1"/>
  <c r="HB33" i="1"/>
  <c r="II33" i="1" s="1"/>
  <c r="HF38" i="1"/>
  <c r="HN38" i="1" s="1"/>
  <c r="HP38" i="1" s="1"/>
  <c r="HY37" i="1"/>
  <c r="GR37" i="1"/>
  <c r="GS37" i="1"/>
  <c r="AV37" i="1"/>
  <c r="AW37" i="1" s="1"/>
  <c r="HC17" i="1"/>
  <c r="HB30" i="1"/>
  <c r="II30" i="1" s="1"/>
  <c r="HF36" i="1"/>
  <c r="HN36" i="1" s="1"/>
  <c r="HC40" i="1"/>
  <c r="HF25" i="1"/>
  <c r="HN25" i="1" s="1"/>
  <c r="HO35" i="1"/>
  <c r="HP35" i="1"/>
  <c r="GL28" i="1"/>
  <c r="GQ28" i="1" s="1"/>
  <c r="HR23" i="1"/>
  <c r="IK20" i="1"/>
  <c r="IJ20" i="1"/>
  <c r="HY30" i="1"/>
  <c r="GS30" i="1"/>
  <c r="GR30" i="1"/>
  <c r="BU37" i="1"/>
  <c r="HV34" i="1"/>
  <c r="HW34" i="1"/>
  <c r="HX34" i="1"/>
  <c r="HQ34" i="1"/>
  <c r="HC22" i="1"/>
  <c r="HE28" i="1"/>
  <c r="GO26" i="1"/>
  <c r="HA26" i="1" s="1"/>
  <c r="CJ26" i="1"/>
  <c r="CK26" i="1"/>
  <c r="GP26" i="1"/>
  <c r="GQ26" i="1"/>
  <c r="HR34" i="1"/>
  <c r="HU34" i="1" s="1"/>
  <c r="HY33" i="1"/>
  <c r="GR33" i="1"/>
  <c r="GS33" i="1"/>
  <c r="HB29" i="1"/>
  <c r="HN19" i="1"/>
  <c r="HC33" i="1"/>
  <c r="HY21" i="1"/>
  <c r="GS21" i="1"/>
  <c r="GR21" i="1"/>
  <c r="HP21" i="1"/>
  <c r="HR21" i="1" s="1"/>
  <c r="HO21" i="1"/>
  <c r="HR18" i="1"/>
  <c r="HX18" i="1" s="1"/>
  <c r="HB37" i="1"/>
  <c r="II37" i="1" s="1"/>
  <c r="HP17" i="1"/>
  <c r="HO17" i="1"/>
  <c r="HY19" i="1"/>
  <c r="GR19" i="1"/>
  <c r="GS19" i="1"/>
  <c r="HN32" i="1"/>
  <c r="HB27" i="1"/>
  <c r="II27" i="1" s="1"/>
  <c r="GS23" i="1"/>
  <c r="GR23" i="1"/>
  <c r="HY23" i="1"/>
  <c r="HO33" i="1"/>
  <c r="HP33" i="1"/>
  <c r="HR33" i="1" s="1"/>
  <c r="GL26" i="1"/>
  <c r="HF26" i="1" s="1"/>
  <c r="HN26" i="1" s="1"/>
  <c r="HQ22" i="1"/>
  <c r="HU22" i="1" s="1"/>
  <c r="HR22" i="1"/>
  <c r="HW22" i="1" s="1"/>
  <c r="HO19" i="1"/>
  <c r="HP19" i="1"/>
  <c r="HB42" i="1"/>
  <c r="GS29" i="1"/>
  <c r="GR29" i="1"/>
  <c r="HY29" i="1"/>
  <c r="HC36" i="1"/>
  <c r="IJ34" i="1"/>
  <c r="IK34" i="1"/>
  <c r="IJ31" i="1"/>
  <c r="IK31" i="1"/>
  <c r="AV29" i="1"/>
  <c r="AW29" i="1" s="1"/>
  <c r="BZ37" i="1"/>
  <c r="HB19" i="1"/>
  <c r="II19" i="1" s="1"/>
  <c r="HB25" i="1"/>
  <c r="II25" i="1" s="1"/>
  <c r="GR17" i="1"/>
  <c r="GS17" i="1"/>
  <c r="HY17" i="1"/>
  <c r="GO41" i="1"/>
  <c r="HA41" i="1" s="1"/>
  <c r="CJ41" i="1"/>
  <c r="CK41" i="1"/>
  <c r="GP41" i="1"/>
  <c r="GQ41" i="1"/>
  <c r="HB24" i="1"/>
  <c r="II24" i="1" s="1"/>
  <c r="HJ15" i="1"/>
  <c r="HK15" i="1"/>
  <c r="FI16" i="1"/>
  <c r="GK15" i="1"/>
  <c r="GJ15" i="1"/>
  <c r="HJ16" i="1"/>
  <c r="HK16" i="1" s="1"/>
  <c r="AV15" i="1"/>
  <c r="AW15" i="1" s="1"/>
  <c r="GH16" i="1"/>
  <c r="GI16" i="1" s="1"/>
  <c r="BU15" i="1"/>
  <c r="BZ15" i="1" s="1"/>
  <c r="FH15" i="1"/>
  <c r="BX16" i="1"/>
  <c r="FF16" i="1"/>
  <c r="HO38" i="1" l="1"/>
  <c r="HQ38" i="1" s="1"/>
  <c r="HC38" i="1"/>
  <c r="HP37" i="1"/>
  <c r="HU31" i="1"/>
  <c r="HW31" i="1"/>
  <c r="HF28" i="1"/>
  <c r="HN28" i="1"/>
  <c r="HP24" i="1"/>
  <c r="HO24" i="1"/>
  <c r="HW23" i="1"/>
  <c r="HV22" i="1"/>
  <c r="HU20" i="1"/>
  <c r="HV20" i="1"/>
  <c r="HV18" i="1"/>
  <c r="HP36" i="1"/>
  <c r="HO36" i="1"/>
  <c r="HY39" i="1"/>
  <c r="GR39" i="1"/>
  <c r="GS39" i="1"/>
  <c r="HP26" i="1"/>
  <c r="HO26" i="1"/>
  <c r="IK30" i="1"/>
  <c r="IJ30" i="1"/>
  <c r="HQ33" i="1"/>
  <c r="HW33" i="1" s="1"/>
  <c r="HV23" i="1"/>
  <c r="IJ27" i="1"/>
  <c r="IK27" i="1"/>
  <c r="HW18" i="1"/>
  <c r="IJ21" i="1"/>
  <c r="IK21" i="1"/>
  <c r="HO25" i="1"/>
  <c r="HP25" i="1"/>
  <c r="HU42" i="1"/>
  <c r="HV42" i="1"/>
  <c r="HR42" i="1"/>
  <c r="HX42" i="1" s="1"/>
  <c r="HC27" i="1"/>
  <c r="HB39" i="1"/>
  <c r="II39" i="1" s="1"/>
  <c r="HY26" i="1"/>
  <c r="GR26" i="1"/>
  <c r="GS26" i="1"/>
  <c r="HC19" i="1"/>
  <c r="IJ19" i="1"/>
  <c r="IK19" i="1"/>
  <c r="HU18" i="1"/>
  <c r="II29" i="1"/>
  <c r="IJ29" i="1" s="1"/>
  <c r="HC29" i="1"/>
  <c r="HC32" i="1"/>
  <c r="HX31" i="1"/>
  <c r="IK36" i="1"/>
  <c r="IJ36" i="1"/>
  <c r="HQ17" i="1"/>
  <c r="HR17" i="1"/>
  <c r="HO29" i="1"/>
  <c r="IJ37" i="1"/>
  <c r="IK37" i="1"/>
  <c r="HV31" i="1"/>
  <c r="HC25" i="1"/>
  <c r="HX20" i="1"/>
  <c r="GS40" i="1"/>
  <c r="HY40" i="1"/>
  <c r="GR40" i="1"/>
  <c r="HQ27" i="1"/>
  <c r="IJ24" i="1"/>
  <c r="IK24" i="1"/>
  <c r="HB41" i="1"/>
  <c r="II41" i="1" s="1"/>
  <c r="HX22" i="1"/>
  <c r="HB26" i="1"/>
  <c r="II26" i="1" s="1"/>
  <c r="HC28" i="1"/>
  <c r="HF39" i="1"/>
  <c r="HN39" i="1" s="1"/>
  <c r="HC30" i="1"/>
  <c r="HP41" i="1"/>
  <c r="HQ41" i="1" s="1"/>
  <c r="HC37" i="1"/>
  <c r="HQ21" i="1"/>
  <c r="HU21" i="1" s="1"/>
  <c r="HR37" i="1"/>
  <c r="IK25" i="1"/>
  <c r="IJ25" i="1"/>
  <c r="II42" i="1"/>
  <c r="HC42" i="1"/>
  <c r="IK23" i="1"/>
  <c r="IJ23" i="1"/>
  <c r="IK38" i="1"/>
  <c r="IJ38" i="1"/>
  <c r="HC41" i="1"/>
  <c r="IK29" i="1"/>
  <c r="IJ18" i="1"/>
  <c r="IK18" i="1"/>
  <c r="HX23" i="1"/>
  <c r="IJ32" i="1"/>
  <c r="IK32" i="1"/>
  <c r="GS41" i="1"/>
  <c r="GR41" i="1"/>
  <c r="HY41" i="1"/>
  <c r="HB28" i="1"/>
  <c r="II28" i="1" s="1"/>
  <c r="IJ17" i="1"/>
  <c r="IK17" i="1"/>
  <c r="HV19" i="1"/>
  <c r="HP32" i="1"/>
  <c r="HO32" i="1"/>
  <c r="IK33" i="1"/>
  <c r="IJ33" i="1"/>
  <c r="HR35" i="1"/>
  <c r="HQ35" i="1"/>
  <c r="HX35" i="1" s="1"/>
  <c r="GR28" i="1"/>
  <c r="HY28" i="1"/>
  <c r="GS28" i="1"/>
  <c r="IJ42" i="1"/>
  <c r="IK42" i="1"/>
  <c r="HC24" i="1"/>
  <c r="HQ37" i="1"/>
  <c r="HR19" i="1"/>
  <c r="HQ19" i="1"/>
  <c r="HX19" i="1" s="1"/>
  <c r="HW30" i="1"/>
  <c r="HR30" i="1"/>
  <c r="HQ30" i="1"/>
  <c r="HX30" i="1" s="1"/>
  <c r="HU40" i="1"/>
  <c r="HW40" i="1"/>
  <c r="HX40" i="1"/>
  <c r="HR40" i="1"/>
  <c r="HQ40" i="1"/>
  <c r="HV40" i="1" s="1"/>
  <c r="HL15" i="1"/>
  <c r="HM15" i="1" s="1"/>
  <c r="HS15" i="1"/>
  <c r="GO15" i="1"/>
  <c r="HA15" i="1" s="1"/>
  <c r="CJ15" i="1"/>
  <c r="CK15" i="1"/>
  <c r="GP15" i="1"/>
  <c r="GK16" i="1"/>
  <c r="GJ16" i="1"/>
  <c r="HS16" i="1"/>
  <c r="HL16" i="1"/>
  <c r="HM16" i="1" s="1"/>
  <c r="HE15" i="1"/>
  <c r="FL16" i="1"/>
  <c r="BT16" i="1"/>
  <c r="FG16" i="1"/>
  <c r="FK16" i="1"/>
  <c r="GL15" i="1"/>
  <c r="HF15" i="1" s="1"/>
  <c r="HR38" i="1" l="1"/>
  <c r="HU37" i="1"/>
  <c r="HV33" i="1"/>
  <c r="HO28" i="1"/>
  <c r="HP28" i="1"/>
  <c r="HC26" i="1"/>
  <c r="HW24" i="1"/>
  <c r="HU24" i="1"/>
  <c r="HR24" i="1"/>
  <c r="HQ24" i="1"/>
  <c r="HX24" i="1" s="1"/>
  <c r="HV24" i="1"/>
  <c r="HW21" i="1"/>
  <c r="HV21" i="1"/>
  <c r="HX17" i="1"/>
  <c r="HW41" i="1"/>
  <c r="IJ26" i="1"/>
  <c r="IK26" i="1"/>
  <c r="HX33" i="1"/>
  <c r="HQ32" i="1"/>
  <c r="HX32" i="1" s="1"/>
  <c r="HR32" i="1"/>
  <c r="HO39" i="1"/>
  <c r="HP39" i="1"/>
  <c r="HW17" i="1"/>
  <c r="HQ25" i="1"/>
  <c r="HR25" i="1"/>
  <c r="HR41" i="1"/>
  <c r="HV41" i="1" s="1"/>
  <c r="IJ28" i="1"/>
  <c r="IK28" i="1"/>
  <c r="IK40" i="1"/>
  <c r="IJ40" i="1"/>
  <c r="HV35" i="1"/>
  <c r="HV17" i="1"/>
  <c r="HX37" i="1"/>
  <c r="IJ39" i="1"/>
  <c r="IK39" i="1"/>
  <c r="IK41" i="1"/>
  <c r="IJ41" i="1"/>
  <c r="HU17" i="1"/>
  <c r="HW37" i="1"/>
  <c r="HW36" i="1"/>
  <c r="HX36" i="1"/>
  <c r="HQ36" i="1"/>
  <c r="HV36" i="1" s="1"/>
  <c r="HR36" i="1"/>
  <c r="HU36" i="1" s="1"/>
  <c r="HU26" i="1"/>
  <c r="HW26" i="1"/>
  <c r="HQ26" i="1"/>
  <c r="HR26" i="1"/>
  <c r="HV26" i="1" s="1"/>
  <c r="HU33" i="1"/>
  <c r="HV30" i="1"/>
  <c r="HW35" i="1"/>
  <c r="HW19" i="1"/>
  <c r="HU30" i="1"/>
  <c r="HU19" i="1"/>
  <c r="HX21" i="1"/>
  <c r="HU27" i="1"/>
  <c r="HX27" i="1"/>
  <c r="HW27" i="1"/>
  <c r="HV27" i="1"/>
  <c r="HW42" i="1"/>
  <c r="HV37" i="1"/>
  <c r="HC39" i="1"/>
  <c r="HU35" i="1"/>
  <c r="HQ29" i="1"/>
  <c r="HR29" i="1"/>
  <c r="HX29" i="1" s="1"/>
  <c r="AV16" i="1"/>
  <c r="AW16" i="1" s="1"/>
  <c r="HB15" i="1"/>
  <c r="II15" i="1" s="1"/>
  <c r="BU16" i="1"/>
  <c r="BZ16" i="1" s="1"/>
  <c r="GO16" i="1"/>
  <c r="HA16" i="1" s="1"/>
  <c r="CJ16" i="1"/>
  <c r="CK16" i="1"/>
  <c r="GP16" i="1"/>
  <c r="GQ15" i="1"/>
  <c r="HN15" i="1"/>
  <c r="GL16" i="1"/>
  <c r="GQ16" i="1" s="1"/>
  <c r="HE16" i="1"/>
  <c r="FH16" i="1"/>
  <c r="HW38" i="1" l="1"/>
  <c r="HX38" i="1"/>
  <c r="HU38" i="1"/>
  <c r="HV38" i="1"/>
  <c r="HW29" i="1"/>
  <c r="HU29" i="1"/>
  <c r="HQ28" i="1"/>
  <c r="HR28" i="1"/>
  <c r="HU28" i="1"/>
  <c r="HV28" i="1"/>
  <c r="HX26" i="1"/>
  <c r="HV25" i="1"/>
  <c r="HU25" i="1"/>
  <c r="HX25" i="1"/>
  <c r="HW25" i="1"/>
  <c r="HC15" i="1"/>
  <c r="HV32" i="1"/>
  <c r="HU32" i="1"/>
  <c r="HU41" i="1"/>
  <c r="HW32" i="1"/>
  <c r="HX41" i="1"/>
  <c r="HR39" i="1"/>
  <c r="HQ39" i="1"/>
  <c r="HX39" i="1" s="1"/>
  <c r="HV29" i="1"/>
  <c r="GR16" i="1"/>
  <c r="GS16" i="1"/>
  <c r="HY16" i="1"/>
  <c r="HF16" i="1"/>
  <c r="HN16" i="1" s="1"/>
  <c r="HC16" i="1"/>
  <c r="GS15" i="1"/>
  <c r="GR15" i="1"/>
  <c r="HY15" i="1"/>
  <c r="HO15" i="1"/>
  <c r="HP15" i="1"/>
  <c r="HB16" i="1"/>
  <c r="II16" i="1" s="1"/>
  <c r="HU39" i="1" l="1"/>
  <c r="HW39" i="1"/>
  <c r="HV39" i="1"/>
  <c r="HW28" i="1"/>
  <c r="HX28" i="1"/>
  <c r="HO16" i="1"/>
  <c r="HP16" i="1"/>
  <c r="HR15" i="1"/>
  <c r="HQ15" i="1"/>
  <c r="HU15" i="1" s="1"/>
  <c r="IJ15" i="1"/>
  <c r="IK15" i="1"/>
  <c r="IJ16" i="1"/>
  <c r="IK16" i="1"/>
  <c r="HX15" i="1" l="1"/>
  <c r="HV15" i="1"/>
  <c r="HW15" i="1"/>
  <c r="HR16" i="1"/>
  <c r="HQ16" i="1"/>
  <c r="HV16" i="1" l="1"/>
  <c r="HW16" i="1"/>
  <c r="HX16" i="1"/>
  <c r="HU16" i="1"/>
  <c r="AP23" i="1" l="1"/>
  <c r="AN23" i="1" s="1"/>
  <c r="AY23" i="1"/>
  <c r="AX23" i="1"/>
  <c r="AH23" i="1" s="1"/>
  <c r="CE23" i="1" s="1"/>
  <c r="AZ23" i="1"/>
  <c r="AI23" i="1" s="1"/>
  <c r="FV23" i="1"/>
  <c r="GT23" i="1"/>
  <c r="FS23" i="1"/>
  <c r="FW23" i="1"/>
  <c r="BC23" i="1"/>
  <c r="BB23" i="1"/>
  <c r="AK23" i="1" s="1"/>
  <c r="D23" i="1" s="1"/>
  <c r="IG23" i="1" s="1"/>
  <c r="BD23" i="1" l="1"/>
  <c r="BI23" i="1"/>
  <c r="CL23" i="1"/>
  <c r="CG23" i="1"/>
  <c r="FO23" i="1"/>
  <c r="BH23" i="1" s="1"/>
  <c r="FR23" i="1" s="1"/>
  <c r="BG23" i="1"/>
  <c r="BJ23" i="1"/>
  <c r="AL23" i="1"/>
  <c r="BE23" i="1"/>
  <c r="CD23" i="1"/>
  <c r="CF23" i="1"/>
  <c r="FN23" i="1"/>
  <c r="BF23" i="1"/>
  <c r="AO23" i="1"/>
  <c r="CH23" i="1"/>
  <c r="GU23" i="1" l="1"/>
  <c r="FP23" i="1"/>
  <c r="FQ23" i="1"/>
  <c r="BB27" i="1"/>
  <c r="BD27" i="1" s="1"/>
  <c r="BC27" i="1"/>
  <c r="BJ27" i="1" s="1"/>
  <c r="AL27" i="1"/>
  <c r="AX27" i="1"/>
  <c r="AZ27" i="1"/>
  <c r="AI27" i="1" s="1"/>
  <c r="AP27" i="1"/>
  <c r="AN27" i="1" s="1"/>
  <c r="AO27" i="1" l="1"/>
  <c r="FO27" i="1"/>
  <c r="BH27" i="1" s="1"/>
  <c r="CL27" i="1"/>
  <c r="BG27" i="1"/>
  <c r="BI27" i="1"/>
  <c r="CG27" i="1"/>
  <c r="AY27" i="1"/>
  <c r="AH27" i="1"/>
  <c r="R27" i="1" s="1"/>
  <c r="AK27" i="1"/>
  <c r="D27" i="1" s="1"/>
  <c r="FW27" i="1" l="1"/>
  <c r="FS27" i="1"/>
  <c r="FV27" i="1"/>
  <c r="GT27" i="1"/>
  <c r="IG27" i="1"/>
  <c r="CH27" i="1"/>
  <c r="FN27" i="1"/>
  <c r="CD27" i="1"/>
  <c r="CF27" i="1"/>
  <c r="BE27" i="1"/>
  <c r="FQ27" i="1" s="1"/>
  <c r="CE27" i="1"/>
  <c r="BF27" i="1"/>
  <c r="GU27" i="1" l="1"/>
  <c r="FP27" i="1"/>
  <c r="FR27" i="1"/>
  <c r="AP33" i="1"/>
  <c r="AN33" i="1"/>
  <c r="BC33" i="1"/>
  <c r="BB33" i="1"/>
  <c r="AK33" i="1" s="1"/>
  <c r="D33" i="1" s="1"/>
  <c r="AZ33" i="1"/>
  <c r="AI33" i="1" s="1"/>
  <c r="AX33" i="1"/>
  <c r="AY33" i="1" s="1"/>
  <c r="AH33" i="1" l="1"/>
  <c r="BE33" i="1" s="1"/>
  <c r="FQ33" i="1" s="1"/>
  <c r="FV33" i="1"/>
  <c r="FW33" i="1"/>
  <c r="FS33" i="1"/>
  <c r="IG33" i="1"/>
  <c r="BD33" i="1"/>
  <c r="CH33" i="1"/>
  <c r="CD33" i="1"/>
  <c r="BG33" i="1"/>
  <c r="FO33" i="1"/>
  <c r="BH33" i="1" s="1"/>
  <c r="CG33" i="1"/>
  <c r="BI33" i="1"/>
  <c r="CL33" i="1"/>
  <c r="AO33" i="1"/>
  <c r="GT33" i="1"/>
  <c r="BJ33" i="1"/>
  <c r="AL33" i="1"/>
  <c r="R33" i="1" l="1"/>
  <c r="FN33" i="1"/>
  <c r="FR33" i="1" s="1"/>
  <c r="CF33" i="1"/>
  <c r="CE33" i="1"/>
  <c r="BF33" i="1"/>
  <c r="AP39" i="1"/>
  <c r="AN39" i="1" s="1"/>
  <c r="BC39" i="1"/>
  <c r="BJ39" i="1" s="1"/>
  <c r="BB39" i="1"/>
  <c r="AK39" i="1" s="1"/>
  <c r="D39" i="1" s="1"/>
  <c r="AX39" i="1"/>
  <c r="AY39" i="1" s="1"/>
  <c r="AZ39" i="1"/>
  <c r="AI39" i="1" s="1"/>
  <c r="FP33" i="1" l="1"/>
  <c r="GU33" i="1"/>
  <c r="BD39" i="1"/>
  <c r="BI39" i="1"/>
  <c r="BG39" i="1"/>
  <c r="CG39" i="1"/>
  <c r="CL39" i="1"/>
  <c r="R39" i="1"/>
  <c r="FS39" i="1"/>
  <c r="IG39" i="1"/>
  <c r="FW39" i="1"/>
  <c r="GT39" i="1"/>
  <c r="FV39" i="1"/>
  <c r="FO39" i="1"/>
  <c r="BH39" i="1" s="1"/>
  <c r="AO39" i="1"/>
  <c r="AL39" i="1"/>
  <c r="AH39" i="1"/>
  <c r="FN39" i="1" l="1"/>
  <c r="CE39" i="1"/>
  <c r="BF39" i="1"/>
  <c r="CF39" i="1"/>
  <c r="BE39" i="1"/>
  <c r="FQ39" i="1" s="1"/>
  <c r="CD39" i="1"/>
  <c r="CH39" i="1"/>
  <c r="GU39" i="1" l="1"/>
  <c r="FP39" i="1"/>
  <c r="FR39" i="1"/>
  <c r="AF23" i="1"/>
  <c r="BL23" i="1"/>
  <c r="E23" i="1" s="1"/>
  <c r="BK23" i="1"/>
  <c r="BM23" i="1"/>
  <c r="BR23" i="1"/>
  <c r="AE28" i="1"/>
  <c r="AF28" i="1" s="1"/>
  <c r="BK28" i="1"/>
  <c r="BM28" i="1"/>
  <c r="BL28" i="1" l="1"/>
  <c r="E28" i="1" l="1"/>
  <c r="BK25" i="1"/>
  <c r="AF25" i="1" l="1"/>
  <c r="BL25" i="1"/>
  <c r="BM25" i="1"/>
  <c r="E25" i="1" l="1"/>
  <c r="BL27" i="1"/>
  <c r="AF27" i="1"/>
  <c r="BK27" i="1"/>
  <c r="BM27" i="1"/>
  <c r="BK33" i="1"/>
  <c r="AF33" i="1"/>
  <c r="BL33" i="1"/>
  <c r="E33" i="1" s="1"/>
  <c r="BM33" i="1"/>
  <c r="BK39" i="1"/>
  <c r="AF39" i="1"/>
  <c r="BR27" i="1" l="1"/>
  <c r="E27" i="1"/>
  <c r="BR33" i="1"/>
  <c r="BM39" i="1"/>
  <c r="BL39" i="1"/>
  <c r="E39" i="1" l="1"/>
  <c r="BR39" i="1"/>
  <c r="BR25" i="1"/>
  <c r="BR28" i="1"/>
  <c r="D15" i="1"/>
  <c r="E15" i="1"/>
  <c r="R15" i="1"/>
  <c r="AE15" i="1"/>
  <c r="AF15" i="1"/>
  <c r="AG15" i="1"/>
  <c r="AH15" i="1"/>
  <c r="AI15" i="1"/>
  <c r="AK15" i="1"/>
  <c r="AL15" i="1"/>
  <c r="AN15" i="1"/>
  <c r="AO15" i="1"/>
  <c r="AP15" i="1"/>
  <c r="AR15" i="1"/>
  <c r="AS15" i="1"/>
  <c r="AT15" i="1"/>
  <c r="AX15" i="1"/>
  <c r="AY15" i="1"/>
  <c r="AZ15" i="1"/>
  <c r="BB15" i="1"/>
  <c r="BC15" i="1"/>
  <c r="BD15" i="1"/>
  <c r="BE15" i="1"/>
  <c r="BF15" i="1"/>
  <c r="BG15" i="1"/>
  <c r="BH15" i="1"/>
  <c r="BI15" i="1"/>
  <c r="BJ15" i="1"/>
  <c r="BK15" i="1"/>
  <c r="BL15" i="1"/>
  <c r="BM15" i="1"/>
  <c r="BN15" i="1"/>
  <c r="BO15" i="1"/>
  <c r="BP15" i="1"/>
  <c r="BR15" i="1"/>
  <c r="CD15" i="1"/>
  <c r="CE15" i="1"/>
  <c r="CF15" i="1"/>
  <c r="CG15" i="1"/>
  <c r="CH15" i="1"/>
  <c r="CL15" i="1"/>
  <c r="FN15" i="1"/>
  <c r="FO15" i="1"/>
  <c r="FP15" i="1"/>
  <c r="FQ15" i="1"/>
  <c r="FR15" i="1"/>
  <c r="FS15" i="1"/>
  <c r="FV15" i="1"/>
  <c r="FW15" i="1"/>
  <c r="GT15" i="1"/>
  <c r="GU15" i="1"/>
  <c r="GV15" i="1"/>
  <c r="GW15" i="1"/>
  <c r="GZ15" i="1"/>
  <c r="HZ15" i="1"/>
  <c r="IA15" i="1"/>
  <c r="IB15" i="1"/>
  <c r="IC15" i="1"/>
  <c r="ID15" i="1"/>
  <c r="IG15" i="1"/>
  <c r="D16" i="1"/>
  <c r="E16" i="1"/>
  <c r="R16" i="1"/>
  <c r="AE16" i="1"/>
  <c r="AF16" i="1"/>
  <c r="AG16" i="1"/>
  <c r="AH16" i="1"/>
  <c r="AI16" i="1"/>
  <c r="AK16" i="1"/>
  <c r="AL16" i="1"/>
  <c r="AN16" i="1"/>
  <c r="AO16" i="1"/>
  <c r="AP16" i="1"/>
  <c r="AR16" i="1"/>
  <c r="AS16" i="1"/>
  <c r="AT16" i="1"/>
  <c r="AX16" i="1"/>
  <c r="AY16" i="1"/>
  <c r="AZ16" i="1"/>
  <c r="BB16" i="1"/>
  <c r="BC16" i="1"/>
  <c r="BD16" i="1"/>
  <c r="BE16" i="1"/>
  <c r="BF16" i="1"/>
  <c r="BG16" i="1"/>
  <c r="BH16" i="1"/>
  <c r="BI16" i="1"/>
  <c r="BJ16" i="1"/>
  <c r="BK16" i="1"/>
  <c r="BL16" i="1"/>
  <c r="BM16" i="1"/>
  <c r="BN16" i="1"/>
  <c r="BO16" i="1"/>
  <c r="BP16" i="1"/>
  <c r="BR16" i="1"/>
  <c r="CD16" i="1"/>
  <c r="CE16" i="1"/>
  <c r="CF16" i="1"/>
  <c r="CG16" i="1"/>
  <c r="CH16" i="1"/>
  <c r="CL16" i="1"/>
  <c r="FN16" i="1"/>
  <c r="FO16" i="1"/>
  <c r="FP16" i="1"/>
  <c r="FQ16" i="1"/>
  <c r="FR16" i="1"/>
  <c r="FS16" i="1"/>
  <c r="FV16" i="1"/>
  <c r="FW16" i="1"/>
  <c r="GT16" i="1"/>
  <c r="GU16" i="1"/>
  <c r="GV16" i="1"/>
  <c r="GW16" i="1"/>
  <c r="GZ16" i="1"/>
  <c r="HZ16" i="1"/>
  <c r="IA16" i="1"/>
  <c r="IB16" i="1"/>
  <c r="IC16" i="1"/>
  <c r="ID16" i="1"/>
  <c r="IG16" i="1"/>
  <c r="D17" i="1"/>
  <c r="E17" i="1"/>
  <c r="R17" i="1"/>
  <c r="AE17" i="1"/>
  <c r="AF17" i="1"/>
  <c r="AG17" i="1"/>
  <c r="AH17" i="1"/>
  <c r="AI17" i="1"/>
  <c r="AK17" i="1"/>
  <c r="AL17" i="1"/>
  <c r="AN17" i="1"/>
  <c r="AO17" i="1"/>
  <c r="AP17" i="1"/>
  <c r="AR17" i="1"/>
  <c r="AS17" i="1"/>
  <c r="AT17" i="1"/>
  <c r="AX17" i="1"/>
  <c r="AY17" i="1"/>
  <c r="AZ17" i="1"/>
  <c r="BB17" i="1"/>
  <c r="BC17" i="1"/>
  <c r="BD17" i="1"/>
  <c r="BE17" i="1"/>
  <c r="BF17" i="1"/>
  <c r="BG17" i="1"/>
  <c r="BH17" i="1"/>
  <c r="BI17" i="1"/>
  <c r="BJ17" i="1"/>
  <c r="BK17" i="1"/>
  <c r="BL17" i="1"/>
  <c r="BM17" i="1"/>
  <c r="BN17" i="1"/>
  <c r="BO17" i="1"/>
  <c r="BP17" i="1"/>
  <c r="BR17" i="1"/>
  <c r="CD17" i="1"/>
  <c r="CE17" i="1"/>
  <c r="CF17" i="1"/>
  <c r="CG17" i="1"/>
  <c r="CH17" i="1"/>
  <c r="CL17" i="1"/>
  <c r="FN17" i="1"/>
  <c r="FO17" i="1"/>
  <c r="FP17" i="1"/>
  <c r="FQ17" i="1"/>
  <c r="FR17" i="1"/>
  <c r="FS17" i="1"/>
  <c r="FV17" i="1"/>
  <c r="FW17" i="1"/>
  <c r="GT17" i="1"/>
  <c r="GU17" i="1"/>
  <c r="GV17" i="1"/>
  <c r="GW17" i="1"/>
  <c r="GZ17" i="1"/>
  <c r="HZ17" i="1"/>
  <c r="IA17" i="1"/>
  <c r="IB17" i="1"/>
  <c r="IC17" i="1"/>
  <c r="ID17" i="1"/>
  <c r="IG17" i="1"/>
  <c r="D18" i="1"/>
  <c r="E18" i="1"/>
  <c r="R18" i="1"/>
  <c r="AE18" i="1"/>
  <c r="AF18" i="1"/>
  <c r="AG18" i="1"/>
  <c r="AH18" i="1"/>
  <c r="AI18" i="1"/>
  <c r="AK18" i="1"/>
  <c r="AL18" i="1"/>
  <c r="AN18" i="1"/>
  <c r="AO18" i="1"/>
  <c r="AP18" i="1"/>
  <c r="AR18" i="1"/>
  <c r="AS18" i="1"/>
  <c r="AT18" i="1"/>
  <c r="AX18" i="1"/>
  <c r="AY18" i="1"/>
  <c r="AZ18" i="1"/>
  <c r="BB18" i="1"/>
  <c r="BC18" i="1"/>
  <c r="BD18" i="1"/>
  <c r="BE18" i="1"/>
  <c r="BF18" i="1"/>
  <c r="BG18" i="1"/>
  <c r="BH18" i="1"/>
  <c r="BI18" i="1"/>
  <c r="BJ18" i="1"/>
  <c r="BK18" i="1"/>
  <c r="BL18" i="1"/>
  <c r="BM18" i="1"/>
  <c r="BN18" i="1"/>
  <c r="BO18" i="1"/>
  <c r="BP18" i="1"/>
  <c r="BR18" i="1"/>
  <c r="CD18" i="1"/>
  <c r="CE18" i="1"/>
  <c r="CF18" i="1"/>
  <c r="CG18" i="1"/>
  <c r="CH18" i="1"/>
  <c r="CL18" i="1"/>
  <c r="FN18" i="1"/>
  <c r="FO18" i="1"/>
  <c r="FP18" i="1"/>
  <c r="FQ18" i="1"/>
  <c r="FR18" i="1"/>
  <c r="FS18" i="1"/>
  <c r="FV18" i="1"/>
  <c r="FW18" i="1"/>
  <c r="GT18" i="1"/>
  <c r="GU18" i="1"/>
  <c r="GV18" i="1"/>
  <c r="GW18" i="1"/>
  <c r="GZ18" i="1"/>
  <c r="HZ18" i="1"/>
  <c r="IA18" i="1"/>
  <c r="IB18" i="1"/>
  <c r="IC18" i="1"/>
  <c r="ID18" i="1"/>
  <c r="IG18" i="1"/>
  <c r="D19" i="1"/>
  <c r="E19" i="1"/>
  <c r="R19" i="1"/>
  <c r="AE19" i="1"/>
  <c r="AF19" i="1"/>
  <c r="AG19" i="1"/>
  <c r="AH19" i="1"/>
  <c r="AI19" i="1"/>
  <c r="AK19" i="1"/>
  <c r="AL19" i="1"/>
  <c r="AN19" i="1"/>
  <c r="AO19" i="1"/>
  <c r="AP19" i="1"/>
  <c r="AR19" i="1"/>
  <c r="AS19" i="1"/>
  <c r="AT19" i="1"/>
  <c r="AX19" i="1"/>
  <c r="AY19" i="1"/>
  <c r="AZ19" i="1"/>
  <c r="BB19" i="1"/>
  <c r="BC19" i="1"/>
  <c r="BD19" i="1"/>
  <c r="BE19" i="1"/>
  <c r="BF19" i="1"/>
  <c r="BG19" i="1"/>
  <c r="BH19" i="1"/>
  <c r="BI19" i="1"/>
  <c r="BJ19" i="1"/>
  <c r="BK19" i="1"/>
  <c r="BL19" i="1"/>
  <c r="BM19" i="1"/>
  <c r="BN19" i="1"/>
  <c r="BO19" i="1"/>
  <c r="BP19" i="1"/>
  <c r="BR19" i="1"/>
  <c r="CD19" i="1"/>
  <c r="CE19" i="1"/>
  <c r="CF19" i="1"/>
  <c r="CG19" i="1"/>
  <c r="CH19" i="1"/>
  <c r="CL19" i="1"/>
  <c r="FN19" i="1"/>
  <c r="FO19" i="1"/>
  <c r="FP19" i="1"/>
  <c r="FQ19" i="1"/>
  <c r="FR19" i="1"/>
  <c r="FS19" i="1"/>
  <c r="FV19" i="1"/>
  <c r="FW19" i="1"/>
  <c r="GT19" i="1"/>
  <c r="GU19" i="1"/>
  <c r="GV19" i="1"/>
  <c r="GW19" i="1"/>
  <c r="GZ19" i="1"/>
  <c r="HZ19" i="1"/>
  <c r="IA19" i="1"/>
  <c r="IB19" i="1"/>
  <c r="IC19" i="1"/>
  <c r="ID19" i="1"/>
  <c r="IG19" i="1"/>
  <c r="D20" i="1"/>
  <c r="E20" i="1"/>
  <c r="R20" i="1"/>
  <c r="AE20" i="1"/>
  <c r="AF20" i="1"/>
  <c r="AG20" i="1"/>
  <c r="AH20" i="1"/>
  <c r="AI20" i="1"/>
  <c r="AK20" i="1"/>
  <c r="AL20" i="1"/>
  <c r="AN20" i="1"/>
  <c r="AO20" i="1"/>
  <c r="AP20" i="1"/>
  <c r="AR20" i="1"/>
  <c r="AS20" i="1"/>
  <c r="AT20" i="1"/>
  <c r="AX20" i="1"/>
  <c r="AY20" i="1"/>
  <c r="AZ20" i="1"/>
  <c r="BB20" i="1"/>
  <c r="BC20" i="1"/>
  <c r="BD20" i="1"/>
  <c r="BE20" i="1"/>
  <c r="BF20" i="1"/>
  <c r="BG20" i="1"/>
  <c r="BH20" i="1"/>
  <c r="BI20" i="1"/>
  <c r="BJ20" i="1"/>
  <c r="BK20" i="1"/>
  <c r="BL20" i="1"/>
  <c r="BM20" i="1"/>
  <c r="BN20" i="1"/>
  <c r="BO20" i="1"/>
  <c r="BP20" i="1"/>
  <c r="BR20" i="1"/>
  <c r="CD20" i="1"/>
  <c r="CE20" i="1"/>
  <c r="CF20" i="1"/>
  <c r="CG20" i="1"/>
  <c r="CH20" i="1"/>
  <c r="CL20" i="1"/>
  <c r="FN20" i="1"/>
  <c r="FO20" i="1"/>
  <c r="FP20" i="1"/>
  <c r="FQ20" i="1"/>
  <c r="FR20" i="1"/>
  <c r="FS20" i="1"/>
  <c r="FV20" i="1"/>
  <c r="FW20" i="1"/>
  <c r="GT20" i="1"/>
  <c r="GU20" i="1"/>
  <c r="GV20" i="1"/>
  <c r="GW20" i="1"/>
  <c r="GZ20" i="1"/>
  <c r="HZ20" i="1"/>
  <c r="IA20" i="1"/>
  <c r="IB20" i="1"/>
  <c r="IC20" i="1"/>
  <c r="ID20" i="1"/>
  <c r="IG20" i="1"/>
  <c r="D21" i="1"/>
  <c r="E21" i="1"/>
  <c r="R21" i="1"/>
  <c r="AE21" i="1"/>
  <c r="AF21" i="1"/>
  <c r="AG21" i="1"/>
  <c r="AH21" i="1"/>
  <c r="AI21" i="1"/>
  <c r="AK21" i="1"/>
  <c r="AL21" i="1"/>
  <c r="AN21" i="1"/>
  <c r="AO21" i="1"/>
  <c r="AP21" i="1"/>
  <c r="AR21" i="1"/>
  <c r="AS21" i="1"/>
  <c r="AT21" i="1"/>
  <c r="AX21" i="1"/>
  <c r="AY21" i="1"/>
  <c r="AZ21" i="1"/>
  <c r="BB21" i="1"/>
  <c r="BC21" i="1"/>
  <c r="BD21" i="1"/>
  <c r="BE21" i="1"/>
  <c r="BF21" i="1"/>
  <c r="BG21" i="1"/>
  <c r="BH21" i="1"/>
  <c r="BI21" i="1"/>
  <c r="BJ21" i="1"/>
  <c r="BK21" i="1"/>
  <c r="BL21" i="1"/>
  <c r="BM21" i="1"/>
  <c r="BN21" i="1"/>
  <c r="BO21" i="1"/>
  <c r="BP21" i="1"/>
  <c r="BR21" i="1"/>
  <c r="CD21" i="1"/>
  <c r="CE21" i="1"/>
  <c r="CF21" i="1"/>
  <c r="CG21" i="1"/>
  <c r="CH21" i="1"/>
  <c r="CL21" i="1"/>
  <c r="FN21" i="1"/>
  <c r="FO21" i="1"/>
  <c r="FP21" i="1"/>
  <c r="FQ21" i="1"/>
  <c r="FR21" i="1"/>
  <c r="FS21" i="1"/>
  <c r="FV21" i="1"/>
  <c r="FW21" i="1"/>
  <c r="GT21" i="1"/>
  <c r="GU21" i="1"/>
  <c r="GV21" i="1"/>
  <c r="GW21" i="1"/>
  <c r="GZ21" i="1"/>
  <c r="HZ21" i="1"/>
  <c r="IA21" i="1"/>
  <c r="IB21" i="1"/>
  <c r="IC21" i="1"/>
  <c r="ID21" i="1"/>
  <c r="IG21" i="1"/>
  <c r="D22" i="1"/>
  <c r="E22" i="1"/>
  <c r="R22" i="1"/>
  <c r="AE22" i="1"/>
  <c r="AF22" i="1"/>
  <c r="AG22" i="1"/>
  <c r="AH22" i="1"/>
  <c r="AI22" i="1"/>
  <c r="AK22" i="1"/>
  <c r="AL22" i="1"/>
  <c r="AN22" i="1"/>
  <c r="AO22" i="1"/>
  <c r="AP22" i="1"/>
  <c r="AR22" i="1"/>
  <c r="AS22" i="1"/>
  <c r="AT22" i="1"/>
  <c r="AX22" i="1"/>
  <c r="AY22" i="1"/>
  <c r="AZ22" i="1"/>
  <c r="BB22" i="1"/>
  <c r="BC22" i="1"/>
  <c r="BD22" i="1"/>
  <c r="BE22" i="1"/>
  <c r="BF22" i="1"/>
  <c r="BG22" i="1"/>
  <c r="BH22" i="1"/>
  <c r="BI22" i="1"/>
  <c r="BJ22" i="1"/>
  <c r="BK22" i="1"/>
  <c r="BL22" i="1"/>
  <c r="BM22" i="1"/>
  <c r="BN22" i="1"/>
  <c r="BO22" i="1"/>
  <c r="BP22" i="1"/>
  <c r="BR22" i="1"/>
  <c r="CD22" i="1"/>
  <c r="CE22" i="1"/>
  <c r="CF22" i="1"/>
  <c r="CG22" i="1"/>
  <c r="CH22" i="1"/>
  <c r="CL22" i="1"/>
  <c r="FN22" i="1"/>
  <c r="FO22" i="1"/>
  <c r="FP22" i="1"/>
  <c r="FQ22" i="1"/>
  <c r="FR22" i="1"/>
  <c r="FS22" i="1"/>
  <c r="FV22" i="1"/>
  <c r="FW22" i="1"/>
  <c r="GT22" i="1"/>
  <c r="GU22" i="1"/>
  <c r="GV22" i="1"/>
  <c r="GW22" i="1"/>
  <c r="GZ22" i="1"/>
  <c r="HZ22" i="1"/>
  <c r="IA22" i="1"/>
  <c r="IB22" i="1"/>
  <c r="IC22" i="1"/>
  <c r="ID22" i="1"/>
  <c r="IG22" i="1"/>
  <c r="R23" i="1"/>
  <c r="AR23" i="1"/>
  <c r="AS23" i="1"/>
  <c r="AT23" i="1"/>
  <c r="GV23" i="1"/>
  <c r="GW23" i="1"/>
  <c r="GZ23" i="1"/>
  <c r="HZ23" i="1"/>
  <c r="IA23" i="1"/>
  <c r="IB23" i="1"/>
  <c r="IC23" i="1"/>
  <c r="ID23" i="1"/>
  <c r="D24" i="1"/>
  <c r="E24" i="1"/>
  <c r="R24" i="1"/>
  <c r="AE24" i="1"/>
  <c r="AF24" i="1"/>
  <c r="AG24" i="1"/>
  <c r="AH24" i="1"/>
  <c r="AI24" i="1"/>
  <c r="AK24" i="1"/>
  <c r="AL24" i="1"/>
  <c r="AN24" i="1"/>
  <c r="AO24" i="1"/>
  <c r="AP24" i="1"/>
  <c r="AR24" i="1"/>
  <c r="AS24" i="1"/>
  <c r="AT24" i="1"/>
  <c r="AX24" i="1"/>
  <c r="AY24" i="1"/>
  <c r="AZ24" i="1"/>
  <c r="BB24" i="1"/>
  <c r="BC24" i="1"/>
  <c r="BD24" i="1"/>
  <c r="BE24" i="1"/>
  <c r="BF24" i="1"/>
  <c r="BG24" i="1"/>
  <c r="BH24" i="1"/>
  <c r="BI24" i="1"/>
  <c r="BJ24" i="1"/>
  <c r="BK24" i="1"/>
  <c r="BL24" i="1"/>
  <c r="BM24" i="1"/>
  <c r="BN24" i="1"/>
  <c r="BO24" i="1"/>
  <c r="BP24" i="1"/>
  <c r="BR24" i="1"/>
  <c r="CD24" i="1"/>
  <c r="CE24" i="1"/>
  <c r="CF24" i="1"/>
  <c r="CG24" i="1"/>
  <c r="CH24" i="1"/>
  <c r="CL24" i="1"/>
  <c r="FN24" i="1"/>
  <c r="FO24" i="1"/>
  <c r="FP24" i="1"/>
  <c r="FQ24" i="1"/>
  <c r="FR24" i="1"/>
  <c r="FS24" i="1"/>
  <c r="FV24" i="1"/>
  <c r="FW24" i="1"/>
  <c r="GT24" i="1"/>
  <c r="GU24" i="1"/>
  <c r="GV24" i="1"/>
  <c r="GW24" i="1"/>
  <c r="GZ24" i="1"/>
  <c r="HZ24" i="1"/>
  <c r="IA24" i="1"/>
  <c r="IB24" i="1"/>
  <c r="IC24" i="1"/>
  <c r="ID24" i="1"/>
  <c r="IG24" i="1"/>
  <c r="D25" i="1"/>
  <c r="R25" i="1"/>
  <c r="AH25" i="1"/>
  <c r="AI25" i="1"/>
  <c r="AK25" i="1"/>
  <c r="AL25" i="1"/>
  <c r="AN25" i="1"/>
  <c r="AO25" i="1"/>
  <c r="AP25" i="1"/>
  <c r="AR25" i="1"/>
  <c r="AS25" i="1"/>
  <c r="AT25" i="1"/>
  <c r="AX25" i="1"/>
  <c r="AY25" i="1"/>
  <c r="AZ25" i="1"/>
  <c r="BB25" i="1"/>
  <c r="BC25" i="1"/>
  <c r="BD25" i="1"/>
  <c r="BE25" i="1"/>
  <c r="BF25" i="1"/>
  <c r="BG25" i="1"/>
  <c r="BH25" i="1"/>
  <c r="BI25" i="1"/>
  <c r="BJ25" i="1"/>
  <c r="CD25" i="1"/>
  <c r="CE25" i="1"/>
  <c r="CF25" i="1"/>
  <c r="CG25" i="1"/>
  <c r="CH25" i="1"/>
  <c r="CL25" i="1"/>
  <c r="FN25" i="1"/>
  <c r="FO25" i="1"/>
  <c r="FP25" i="1"/>
  <c r="FQ25" i="1"/>
  <c r="FR25" i="1"/>
  <c r="FS25" i="1"/>
  <c r="FV25" i="1"/>
  <c r="FW25" i="1"/>
  <c r="GT25" i="1"/>
  <c r="GU25" i="1"/>
  <c r="GV25" i="1"/>
  <c r="GW25" i="1"/>
  <c r="GZ25" i="1"/>
  <c r="HZ25" i="1"/>
  <c r="IA25" i="1"/>
  <c r="IB25" i="1"/>
  <c r="IC25" i="1"/>
  <c r="ID25" i="1"/>
  <c r="IG25" i="1"/>
  <c r="D26" i="1"/>
  <c r="E26" i="1"/>
  <c r="R26" i="1"/>
  <c r="AE26" i="1"/>
  <c r="AF26" i="1"/>
  <c r="AG26" i="1"/>
  <c r="AH26" i="1"/>
  <c r="AI26" i="1"/>
  <c r="AK26" i="1"/>
  <c r="AL26" i="1"/>
  <c r="AN26" i="1"/>
  <c r="AO26" i="1"/>
  <c r="AP26" i="1"/>
  <c r="AR26" i="1"/>
  <c r="AS26" i="1"/>
  <c r="AT26" i="1"/>
  <c r="AX26" i="1"/>
  <c r="AY26" i="1"/>
  <c r="AZ26" i="1"/>
  <c r="BB26" i="1"/>
  <c r="BC26" i="1"/>
  <c r="BD26" i="1"/>
  <c r="BE26" i="1"/>
  <c r="BF26" i="1"/>
  <c r="BG26" i="1"/>
  <c r="BH26" i="1"/>
  <c r="BI26" i="1"/>
  <c r="BJ26" i="1"/>
  <c r="BK26" i="1"/>
  <c r="BL26" i="1"/>
  <c r="BM26" i="1"/>
  <c r="BN26" i="1"/>
  <c r="BO26" i="1"/>
  <c r="BP26" i="1"/>
  <c r="BR26" i="1"/>
  <c r="CD26" i="1"/>
  <c r="CE26" i="1"/>
  <c r="CF26" i="1"/>
  <c r="CG26" i="1"/>
  <c r="CH26" i="1"/>
  <c r="CL26" i="1"/>
  <c r="FN26" i="1"/>
  <c r="FO26" i="1"/>
  <c r="FP26" i="1"/>
  <c r="FQ26" i="1"/>
  <c r="FR26" i="1"/>
  <c r="FS26" i="1"/>
  <c r="FV26" i="1"/>
  <c r="FW26" i="1"/>
  <c r="GT26" i="1"/>
  <c r="GU26" i="1"/>
  <c r="GV26" i="1"/>
  <c r="GW26" i="1"/>
  <c r="GZ26" i="1"/>
  <c r="HZ26" i="1"/>
  <c r="IA26" i="1"/>
  <c r="IB26" i="1"/>
  <c r="IC26" i="1"/>
  <c r="ID26" i="1"/>
  <c r="IG26" i="1"/>
  <c r="AR27" i="1"/>
  <c r="AS27" i="1"/>
  <c r="AT27" i="1"/>
  <c r="GV27" i="1"/>
  <c r="GW27" i="1"/>
  <c r="GZ27" i="1"/>
  <c r="HZ27" i="1"/>
  <c r="IA27" i="1"/>
  <c r="IB27" i="1"/>
  <c r="IC27" i="1"/>
  <c r="ID27" i="1"/>
  <c r="D28" i="1"/>
  <c r="R28" i="1"/>
  <c r="AH28" i="1"/>
  <c r="AI28" i="1"/>
  <c r="AK28" i="1"/>
  <c r="AL28" i="1"/>
  <c r="AN28" i="1"/>
  <c r="AO28" i="1"/>
  <c r="AP28" i="1"/>
  <c r="AR28" i="1"/>
  <c r="AS28" i="1"/>
  <c r="AT28" i="1"/>
  <c r="AX28" i="1"/>
  <c r="AY28" i="1"/>
  <c r="AZ28" i="1"/>
  <c r="BB28" i="1"/>
  <c r="BC28" i="1"/>
  <c r="BD28" i="1"/>
  <c r="BE28" i="1"/>
  <c r="BF28" i="1"/>
  <c r="BG28" i="1"/>
  <c r="BH28" i="1"/>
  <c r="BI28" i="1"/>
  <c r="BJ28" i="1"/>
  <c r="CD28" i="1"/>
  <c r="CE28" i="1"/>
  <c r="CF28" i="1"/>
  <c r="CG28" i="1"/>
  <c r="CH28" i="1"/>
  <c r="CL28" i="1"/>
  <c r="FN28" i="1"/>
  <c r="FO28" i="1"/>
  <c r="FP28" i="1"/>
  <c r="FQ28" i="1"/>
  <c r="FR28" i="1"/>
  <c r="FS28" i="1"/>
  <c r="FV28" i="1"/>
  <c r="FW28" i="1"/>
  <c r="GT28" i="1"/>
  <c r="GU28" i="1"/>
  <c r="GV28" i="1"/>
  <c r="GW28" i="1"/>
  <c r="GZ28" i="1"/>
  <c r="HZ28" i="1"/>
  <c r="IA28" i="1"/>
  <c r="IB28" i="1"/>
  <c r="IC28" i="1"/>
  <c r="ID28" i="1"/>
  <c r="IG28" i="1"/>
  <c r="D29" i="1"/>
  <c r="E29" i="1"/>
  <c r="R29" i="1"/>
  <c r="AE29" i="1"/>
  <c r="AF29" i="1"/>
  <c r="AG29" i="1"/>
  <c r="AH29" i="1"/>
  <c r="AI29" i="1"/>
  <c r="AK29" i="1"/>
  <c r="AL29" i="1"/>
  <c r="AN29" i="1"/>
  <c r="AO29" i="1"/>
  <c r="AP29" i="1"/>
  <c r="AR29" i="1"/>
  <c r="AS29" i="1"/>
  <c r="AT29" i="1"/>
  <c r="AX29" i="1"/>
  <c r="AY29" i="1"/>
  <c r="AZ29" i="1"/>
  <c r="BB29" i="1"/>
  <c r="BC29" i="1"/>
  <c r="BD29" i="1"/>
  <c r="BE29" i="1"/>
  <c r="BF29" i="1"/>
  <c r="BG29" i="1"/>
  <c r="BH29" i="1"/>
  <c r="BI29" i="1"/>
  <c r="BJ29" i="1"/>
  <c r="BK29" i="1"/>
  <c r="BL29" i="1"/>
  <c r="BM29" i="1"/>
  <c r="BN29" i="1"/>
  <c r="BO29" i="1"/>
  <c r="BP29" i="1"/>
  <c r="BR29" i="1"/>
  <c r="CD29" i="1"/>
  <c r="CE29" i="1"/>
  <c r="CF29" i="1"/>
  <c r="CG29" i="1"/>
  <c r="CH29" i="1"/>
  <c r="CL29" i="1"/>
  <c r="FN29" i="1"/>
  <c r="FO29" i="1"/>
  <c r="FP29" i="1"/>
  <c r="FQ29" i="1"/>
  <c r="FR29" i="1"/>
  <c r="FS29" i="1"/>
  <c r="FV29" i="1"/>
  <c r="FW29" i="1"/>
  <c r="GT29" i="1"/>
  <c r="GU29" i="1"/>
  <c r="GV29" i="1"/>
  <c r="GW29" i="1"/>
  <c r="GZ29" i="1"/>
  <c r="HZ29" i="1"/>
  <c r="IA29" i="1"/>
  <c r="IB29" i="1"/>
  <c r="IC29" i="1"/>
  <c r="ID29" i="1"/>
  <c r="IG29" i="1"/>
  <c r="D30" i="1"/>
  <c r="E30" i="1"/>
  <c r="R30" i="1"/>
  <c r="AE30" i="1"/>
  <c r="AF30" i="1"/>
  <c r="AG30" i="1"/>
  <c r="AH30" i="1"/>
  <c r="AI30" i="1"/>
  <c r="AK30" i="1"/>
  <c r="AL30" i="1"/>
  <c r="AN30" i="1"/>
  <c r="AO30" i="1"/>
  <c r="AP30" i="1"/>
  <c r="AR30" i="1"/>
  <c r="AS30" i="1"/>
  <c r="AT30" i="1"/>
  <c r="AX30" i="1"/>
  <c r="AY30" i="1"/>
  <c r="AZ30" i="1"/>
  <c r="BB30" i="1"/>
  <c r="BC30" i="1"/>
  <c r="BD30" i="1"/>
  <c r="BE30" i="1"/>
  <c r="BF30" i="1"/>
  <c r="BG30" i="1"/>
  <c r="BH30" i="1"/>
  <c r="BI30" i="1"/>
  <c r="BJ30" i="1"/>
  <c r="BK30" i="1"/>
  <c r="BL30" i="1"/>
  <c r="BM30" i="1"/>
  <c r="BN30" i="1"/>
  <c r="BO30" i="1"/>
  <c r="BP30" i="1"/>
  <c r="BR30" i="1"/>
  <c r="CD30" i="1"/>
  <c r="CE30" i="1"/>
  <c r="CF30" i="1"/>
  <c r="CG30" i="1"/>
  <c r="CH30" i="1"/>
  <c r="CL30" i="1"/>
  <c r="FN30" i="1"/>
  <c r="FO30" i="1"/>
  <c r="FP30" i="1"/>
  <c r="FQ30" i="1"/>
  <c r="FR30" i="1"/>
  <c r="FS30" i="1"/>
  <c r="FV30" i="1"/>
  <c r="FW30" i="1"/>
  <c r="GT30" i="1"/>
  <c r="GU30" i="1"/>
  <c r="GV30" i="1"/>
  <c r="GW30" i="1"/>
  <c r="GZ30" i="1"/>
  <c r="HZ30" i="1"/>
  <c r="IA30" i="1"/>
  <c r="IB30" i="1"/>
  <c r="IC30" i="1"/>
  <c r="ID30" i="1"/>
  <c r="IG30" i="1"/>
  <c r="D31" i="1"/>
  <c r="E31" i="1"/>
  <c r="R31" i="1"/>
  <c r="AE31" i="1"/>
  <c r="AF31" i="1"/>
  <c r="AG31" i="1"/>
  <c r="AH31" i="1"/>
  <c r="AI31" i="1"/>
  <c r="AK31" i="1"/>
  <c r="AL31" i="1"/>
  <c r="AN31" i="1"/>
  <c r="AO31" i="1"/>
  <c r="AP31" i="1"/>
  <c r="AR31" i="1"/>
  <c r="AS31" i="1"/>
  <c r="AT31" i="1"/>
  <c r="AX31" i="1"/>
  <c r="AY31" i="1"/>
  <c r="AZ31" i="1"/>
  <c r="BB31" i="1"/>
  <c r="BC31" i="1"/>
  <c r="BD31" i="1"/>
  <c r="BE31" i="1"/>
  <c r="BF31" i="1"/>
  <c r="BG31" i="1"/>
  <c r="BH31" i="1"/>
  <c r="BI31" i="1"/>
  <c r="BJ31" i="1"/>
  <c r="BK31" i="1"/>
  <c r="BL31" i="1"/>
  <c r="BM31" i="1"/>
  <c r="BN31" i="1"/>
  <c r="BO31" i="1"/>
  <c r="BP31" i="1"/>
  <c r="BR31" i="1"/>
  <c r="CD31" i="1"/>
  <c r="CE31" i="1"/>
  <c r="CF31" i="1"/>
  <c r="CG31" i="1"/>
  <c r="CH31" i="1"/>
  <c r="CL31" i="1"/>
  <c r="FN31" i="1"/>
  <c r="FO31" i="1"/>
  <c r="FP31" i="1"/>
  <c r="FQ31" i="1"/>
  <c r="FR31" i="1"/>
  <c r="FS31" i="1"/>
  <c r="FV31" i="1"/>
  <c r="FW31" i="1"/>
  <c r="GT31" i="1"/>
  <c r="GU31" i="1"/>
  <c r="GV31" i="1"/>
  <c r="GW31" i="1"/>
  <c r="GZ31" i="1"/>
  <c r="HZ31" i="1"/>
  <c r="IA31" i="1"/>
  <c r="IB31" i="1"/>
  <c r="IC31" i="1"/>
  <c r="ID31" i="1"/>
  <c r="IG31" i="1"/>
  <c r="D32" i="1"/>
  <c r="E32" i="1"/>
  <c r="R32" i="1"/>
  <c r="AE32" i="1"/>
  <c r="AF32" i="1"/>
  <c r="AG32" i="1"/>
  <c r="AH32" i="1"/>
  <c r="AI32" i="1"/>
  <c r="AK32" i="1"/>
  <c r="AL32" i="1"/>
  <c r="AN32" i="1"/>
  <c r="AO32" i="1"/>
  <c r="AP32" i="1"/>
  <c r="AR32" i="1"/>
  <c r="AS32" i="1"/>
  <c r="AT32" i="1"/>
  <c r="AX32" i="1"/>
  <c r="AY32" i="1"/>
  <c r="AZ32" i="1"/>
  <c r="BB32" i="1"/>
  <c r="BC32" i="1"/>
  <c r="BD32" i="1"/>
  <c r="BE32" i="1"/>
  <c r="BF32" i="1"/>
  <c r="BG32" i="1"/>
  <c r="BH32" i="1"/>
  <c r="BI32" i="1"/>
  <c r="BJ32" i="1"/>
  <c r="BK32" i="1"/>
  <c r="BL32" i="1"/>
  <c r="BM32" i="1"/>
  <c r="BN32" i="1"/>
  <c r="BO32" i="1"/>
  <c r="BP32" i="1"/>
  <c r="BR32" i="1"/>
  <c r="CD32" i="1"/>
  <c r="CE32" i="1"/>
  <c r="CF32" i="1"/>
  <c r="CG32" i="1"/>
  <c r="CH32" i="1"/>
  <c r="CL32" i="1"/>
  <c r="FN32" i="1"/>
  <c r="FO32" i="1"/>
  <c r="FP32" i="1"/>
  <c r="FQ32" i="1"/>
  <c r="FR32" i="1"/>
  <c r="FS32" i="1"/>
  <c r="FV32" i="1"/>
  <c r="FW32" i="1"/>
  <c r="GT32" i="1"/>
  <c r="GU32" i="1"/>
  <c r="GV32" i="1"/>
  <c r="GW32" i="1"/>
  <c r="GZ32" i="1"/>
  <c r="HZ32" i="1"/>
  <c r="IA32" i="1"/>
  <c r="IB32" i="1"/>
  <c r="IC32" i="1"/>
  <c r="ID32" i="1"/>
  <c r="IG32" i="1"/>
  <c r="AR33" i="1"/>
  <c r="AS33" i="1"/>
  <c r="AT33" i="1"/>
  <c r="GV33" i="1"/>
  <c r="GW33" i="1"/>
  <c r="GZ33" i="1"/>
  <c r="HZ33" i="1"/>
  <c r="IA33" i="1"/>
  <c r="IB33" i="1"/>
  <c r="IC33" i="1"/>
  <c r="ID33" i="1"/>
  <c r="D34" i="1"/>
  <c r="E34" i="1"/>
  <c r="R34" i="1"/>
  <c r="AE34" i="1"/>
  <c r="AF34" i="1"/>
  <c r="AG34" i="1"/>
  <c r="AH34" i="1"/>
  <c r="AI34" i="1"/>
  <c r="AK34" i="1"/>
  <c r="AL34" i="1"/>
  <c r="AN34" i="1"/>
  <c r="AO34" i="1"/>
  <c r="AP34" i="1"/>
  <c r="AR34" i="1"/>
  <c r="AS34" i="1"/>
  <c r="AT34" i="1"/>
  <c r="AX34" i="1"/>
  <c r="AY34" i="1"/>
  <c r="AZ34" i="1"/>
  <c r="BB34" i="1"/>
  <c r="BC34" i="1"/>
  <c r="BD34" i="1"/>
  <c r="BE34" i="1"/>
  <c r="BF34" i="1"/>
  <c r="BG34" i="1"/>
  <c r="BH34" i="1"/>
  <c r="BI34" i="1"/>
  <c r="BJ34" i="1"/>
  <c r="BK34" i="1"/>
  <c r="BL34" i="1"/>
  <c r="BM34" i="1"/>
  <c r="BN34" i="1"/>
  <c r="BO34" i="1"/>
  <c r="BP34" i="1"/>
  <c r="BR34" i="1"/>
  <c r="CD34" i="1"/>
  <c r="CE34" i="1"/>
  <c r="CF34" i="1"/>
  <c r="CG34" i="1"/>
  <c r="CH34" i="1"/>
  <c r="CL34" i="1"/>
  <c r="FN34" i="1"/>
  <c r="FO34" i="1"/>
  <c r="FP34" i="1"/>
  <c r="FQ34" i="1"/>
  <c r="FR34" i="1"/>
  <c r="FS34" i="1"/>
  <c r="FV34" i="1"/>
  <c r="FW34" i="1"/>
  <c r="GT34" i="1"/>
  <c r="GU34" i="1"/>
  <c r="GV34" i="1"/>
  <c r="GW34" i="1"/>
  <c r="GZ34" i="1"/>
  <c r="HZ34" i="1"/>
  <c r="IA34" i="1"/>
  <c r="IB34" i="1"/>
  <c r="IC34" i="1"/>
  <c r="ID34" i="1"/>
  <c r="IG34" i="1"/>
  <c r="D35" i="1"/>
  <c r="E35" i="1"/>
  <c r="R35" i="1"/>
  <c r="AE35" i="1"/>
  <c r="AF35" i="1"/>
  <c r="AG35" i="1"/>
  <c r="AH35" i="1"/>
  <c r="AI35" i="1"/>
  <c r="AK35" i="1"/>
  <c r="AL35" i="1"/>
  <c r="AN35" i="1"/>
  <c r="AO35" i="1"/>
  <c r="AP35" i="1"/>
  <c r="AR35" i="1"/>
  <c r="AS35" i="1"/>
  <c r="AT35" i="1"/>
  <c r="AX35" i="1"/>
  <c r="AY35" i="1"/>
  <c r="AZ35" i="1"/>
  <c r="BB35" i="1"/>
  <c r="BC35" i="1"/>
  <c r="BD35" i="1"/>
  <c r="BE35" i="1"/>
  <c r="BF35" i="1"/>
  <c r="BG35" i="1"/>
  <c r="BH35" i="1"/>
  <c r="BI35" i="1"/>
  <c r="BJ35" i="1"/>
  <c r="BK35" i="1"/>
  <c r="BL35" i="1"/>
  <c r="BM35" i="1"/>
  <c r="BN35" i="1"/>
  <c r="BO35" i="1"/>
  <c r="BP35" i="1"/>
  <c r="BR35" i="1"/>
  <c r="CD35" i="1"/>
  <c r="CE35" i="1"/>
  <c r="CF35" i="1"/>
  <c r="CG35" i="1"/>
  <c r="CH35" i="1"/>
  <c r="CL35" i="1"/>
  <c r="FN35" i="1"/>
  <c r="FO35" i="1"/>
  <c r="FP35" i="1"/>
  <c r="FQ35" i="1"/>
  <c r="FR35" i="1"/>
  <c r="FS35" i="1"/>
  <c r="FV35" i="1"/>
  <c r="FW35" i="1"/>
  <c r="GT35" i="1"/>
  <c r="GU35" i="1"/>
  <c r="GV35" i="1"/>
  <c r="GW35" i="1"/>
  <c r="GZ35" i="1"/>
  <c r="HZ35" i="1"/>
  <c r="IA35" i="1"/>
  <c r="IB35" i="1"/>
  <c r="IC35" i="1"/>
  <c r="ID35" i="1"/>
  <c r="IG35" i="1"/>
  <c r="D36" i="1"/>
  <c r="E36" i="1"/>
  <c r="R36" i="1"/>
  <c r="AE36" i="1"/>
  <c r="AF36" i="1"/>
  <c r="AG36" i="1"/>
  <c r="AH36" i="1"/>
  <c r="AI36" i="1"/>
  <c r="AK36" i="1"/>
  <c r="AL36" i="1"/>
  <c r="AN36" i="1"/>
  <c r="AO36" i="1"/>
  <c r="AP36" i="1"/>
  <c r="AR36" i="1"/>
  <c r="AS36" i="1"/>
  <c r="AT36" i="1"/>
  <c r="AX36" i="1"/>
  <c r="AY36" i="1"/>
  <c r="AZ36" i="1"/>
  <c r="BB36" i="1"/>
  <c r="BC36" i="1"/>
  <c r="BD36" i="1"/>
  <c r="BE36" i="1"/>
  <c r="BF36" i="1"/>
  <c r="BG36" i="1"/>
  <c r="BH36" i="1"/>
  <c r="BI36" i="1"/>
  <c r="BJ36" i="1"/>
  <c r="BK36" i="1"/>
  <c r="BL36" i="1"/>
  <c r="BM36" i="1"/>
  <c r="BN36" i="1"/>
  <c r="BO36" i="1"/>
  <c r="BP36" i="1"/>
  <c r="BR36" i="1"/>
  <c r="CD36" i="1"/>
  <c r="CE36" i="1"/>
  <c r="CF36" i="1"/>
  <c r="CG36" i="1"/>
  <c r="CH36" i="1"/>
  <c r="CL36" i="1"/>
  <c r="FN36" i="1"/>
  <c r="FO36" i="1"/>
  <c r="FP36" i="1"/>
  <c r="FQ36" i="1"/>
  <c r="FR36" i="1"/>
  <c r="FS36" i="1"/>
  <c r="FV36" i="1"/>
  <c r="FW36" i="1"/>
  <c r="GT36" i="1"/>
  <c r="GU36" i="1"/>
  <c r="GV36" i="1"/>
  <c r="GW36" i="1"/>
  <c r="GZ36" i="1"/>
  <c r="HZ36" i="1"/>
  <c r="IA36" i="1"/>
  <c r="IB36" i="1"/>
  <c r="IC36" i="1"/>
  <c r="ID36" i="1"/>
  <c r="IG36" i="1"/>
  <c r="D37" i="1"/>
  <c r="E37" i="1"/>
  <c r="R37" i="1"/>
  <c r="AE37" i="1"/>
  <c r="AF37" i="1"/>
  <c r="AG37" i="1"/>
  <c r="AH37" i="1"/>
  <c r="AI37" i="1"/>
  <c r="AK37" i="1"/>
  <c r="AL37" i="1"/>
  <c r="AN37" i="1"/>
  <c r="AO37" i="1"/>
  <c r="AP37" i="1"/>
  <c r="AR37" i="1"/>
  <c r="AS37" i="1"/>
  <c r="AT37" i="1"/>
  <c r="AX37" i="1"/>
  <c r="AY37" i="1"/>
  <c r="AZ37" i="1"/>
  <c r="BB37" i="1"/>
  <c r="BC37" i="1"/>
  <c r="BD37" i="1"/>
  <c r="BE37" i="1"/>
  <c r="BF37" i="1"/>
  <c r="BG37" i="1"/>
  <c r="BH37" i="1"/>
  <c r="BI37" i="1"/>
  <c r="BJ37" i="1"/>
  <c r="BK37" i="1"/>
  <c r="BL37" i="1"/>
  <c r="BM37" i="1"/>
  <c r="BN37" i="1"/>
  <c r="BO37" i="1"/>
  <c r="BP37" i="1"/>
  <c r="BR37" i="1"/>
  <c r="CD37" i="1"/>
  <c r="CE37" i="1"/>
  <c r="CF37" i="1"/>
  <c r="CG37" i="1"/>
  <c r="CH37" i="1"/>
  <c r="CL37" i="1"/>
  <c r="FN37" i="1"/>
  <c r="FO37" i="1"/>
  <c r="FP37" i="1"/>
  <c r="FQ37" i="1"/>
  <c r="FR37" i="1"/>
  <c r="FS37" i="1"/>
  <c r="FV37" i="1"/>
  <c r="FW37" i="1"/>
  <c r="GT37" i="1"/>
  <c r="GU37" i="1"/>
  <c r="GV37" i="1"/>
  <c r="GW37" i="1"/>
  <c r="GZ37" i="1"/>
  <c r="HZ37" i="1"/>
  <c r="IA37" i="1"/>
  <c r="IB37" i="1"/>
  <c r="IC37" i="1"/>
  <c r="ID37" i="1"/>
  <c r="IG37" i="1"/>
  <c r="D38" i="1"/>
  <c r="E38" i="1"/>
  <c r="R38" i="1"/>
  <c r="AE38" i="1"/>
  <c r="AF38" i="1"/>
  <c r="AG38" i="1"/>
  <c r="AH38" i="1"/>
  <c r="AI38" i="1"/>
  <c r="AK38" i="1"/>
  <c r="AL38" i="1"/>
  <c r="AN38" i="1"/>
  <c r="AO38" i="1"/>
  <c r="AP38" i="1"/>
  <c r="AR38" i="1"/>
  <c r="AS38" i="1"/>
  <c r="AT38" i="1"/>
  <c r="AX38" i="1"/>
  <c r="AY38" i="1"/>
  <c r="AZ38" i="1"/>
  <c r="BB38" i="1"/>
  <c r="BC38" i="1"/>
  <c r="BD38" i="1"/>
  <c r="BE38" i="1"/>
  <c r="BF38" i="1"/>
  <c r="BG38" i="1"/>
  <c r="BH38" i="1"/>
  <c r="BI38" i="1"/>
  <c r="BJ38" i="1"/>
  <c r="BK38" i="1"/>
  <c r="BL38" i="1"/>
  <c r="BM38" i="1"/>
  <c r="BN38" i="1"/>
  <c r="BO38" i="1"/>
  <c r="BP38" i="1"/>
  <c r="BR38" i="1"/>
  <c r="CD38" i="1"/>
  <c r="CE38" i="1"/>
  <c r="CF38" i="1"/>
  <c r="CG38" i="1"/>
  <c r="CH38" i="1"/>
  <c r="CL38" i="1"/>
  <c r="FN38" i="1"/>
  <c r="FO38" i="1"/>
  <c r="FP38" i="1"/>
  <c r="FQ38" i="1"/>
  <c r="FR38" i="1"/>
  <c r="FS38" i="1"/>
  <c r="FV38" i="1"/>
  <c r="FW38" i="1"/>
  <c r="GT38" i="1"/>
  <c r="GU38" i="1"/>
  <c r="GV38" i="1"/>
  <c r="GW38" i="1"/>
  <c r="GZ38" i="1"/>
  <c r="HZ38" i="1"/>
  <c r="IA38" i="1"/>
  <c r="IB38" i="1"/>
  <c r="IC38" i="1"/>
  <c r="ID38" i="1"/>
  <c r="IG38" i="1"/>
  <c r="AR39" i="1"/>
  <c r="AS39" i="1"/>
  <c r="AT39" i="1"/>
  <c r="GV39" i="1"/>
  <c r="GW39" i="1"/>
  <c r="GZ39" i="1"/>
  <c r="HZ39" i="1"/>
  <c r="IA39" i="1"/>
  <c r="IB39" i="1"/>
  <c r="IC39" i="1"/>
  <c r="ID39" i="1"/>
  <c r="D40" i="1"/>
  <c r="E40" i="1"/>
  <c r="R40" i="1"/>
  <c r="AE40" i="1"/>
  <c r="AF40" i="1"/>
  <c r="AG40" i="1"/>
  <c r="AH40" i="1"/>
  <c r="AI40" i="1"/>
  <c r="AK40" i="1"/>
  <c r="AL40" i="1"/>
  <c r="AN40" i="1"/>
  <c r="AO40" i="1"/>
  <c r="AP40" i="1"/>
  <c r="AR40" i="1"/>
  <c r="AS40" i="1"/>
  <c r="AT40" i="1"/>
  <c r="AX40" i="1"/>
  <c r="AY40" i="1"/>
  <c r="AZ40" i="1"/>
  <c r="BB40" i="1"/>
  <c r="BC40" i="1"/>
  <c r="BD40" i="1"/>
  <c r="BE40" i="1"/>
  <c r="BF40" i="1"/>
  <c r="BG40" i="1"/>
  <c r="BH40" i="1"/>
  <c r="BI40" i="1"/>
  <c r="BJ40" i="1"/>
  <c r="BK40" i="1"/>
  <c r="BL40" i="1"/>
  <c r="BM40" i="1"/>
  <c r="BN40" i="1"/>
  <c r="BO40" i="1"/>
  <c r="BP40" i="1"/>
  <c r="BR40" i="1"/>
  <c r="CD40" i="1"/>
  <c r="CE40" i="1"/>
  <c r="CF40" i="1"/>
  <c r="CG40" i="1"/>
  <c r="CH40" i="1"/>
  <c r="CL40" i="1"/>
  <c r="FN40" i="1"/>
  <c r="FO40" i="1"/>
  <c r="FP40" i="1"/>
  <c r="FQ40" i="1"/>
  <c r="FR40" i="1"/>
  <c r="FS40" i="1"/>
  <c r="FV40" i="1"/>
  <c r="FW40" i="1"/>
  <c r="GT40" i="1"/>
  <c r="GU40" i="1"/>
  <c r="GV40" i="1"/>
  <c r="GW40" i="1"/>
  <c r="GZ40" i="1"/>
  <c r="HZ40" i="1"/>
  <c r="IA40" i="1"/>
  <c r="IB40" i="1"/>
  <c r="IC40" i="1"/>
  <c r="ID40" i="1"/>
  <c r="IG40" i="1"/>
  <c r="D41" i="1"/>
  <c r="E41" i="1"/>
  <c r="R41" i="1"/>
  <c r="AE41" i="1"/>
  <c r="AF41" i="1"/>
  <c r="AG41" i="1"/>
  <c r="AH41" i="1"/>
  <c r="AI41" i="1"/>
  <c r="AK41" i="1"/>
  <c r="AL41" i="1"/>
  <c r="AN41" i="1"/>
  <c r="AO41" i="1"/>
  <c r="AP41" i="1"/>
  <c r="AR41" i="1"/>
  <c r="AS41" i="1"/>
  <c r="AT41" i="1"/>
  <c r="AX41" i="1"/>
  <c r="AY41" i="1"/>
  <c r="AZ41" i="1"/>
  <c r="BB41" i="1"/>
  <c r="BC41" i="1"/>
  <c r="BD41" i="1"/>
  <c r="BE41" i="1"/>
  <c r="BF41" i="1"/>
  <c r="BG41" i="1"/>
  <c r="BH41" i="1"/>
  <c r="BI41" i="1"/>
  <c r="BJ41" i="1"/>
  <c r="BK41" i="1"/>
  <c r="BL41" i="1"/>
  <c r="BM41" i="1"/>
  <c r="BN41" i="1"/>
  <c r="BO41" i="1"/>
  <c r="BP41" i="1"/>
  <c r="BR41" i="1"/>
  <c r="CD41" i="1"/>
  <c r="CE41" i="1"/>
  <c r="CF41" i="1"/>
  <c r="CG41" i="1"/>
  <c r="CH41" i="1"/>
  <c r="CL41" i="1"/>
  <c r="FN41" i="1"/>
  <c r="FO41" i="1"/>
  <c r="FP41" i="1"/>
  <c r="FQ41" i="1"/>
  <c r="FR41" i="1"/>
  <c r="FS41" i="1"/>
  <c r="FV41" i="1"/>
  <c r="FW41" i="1"/>
  <c r="GT41" i="1"/>
  <c r="GU41" i="1"/>
  <c r="GV41" i="1"/>
  <c r="GW41" i="1"/>
  <c r="GZ41" i="1"/>
  <c r="HZ41" i="1"/>
  <c r="IA41" i="1"/>
  <c r="IB41" i="1"/>
  <c r="IC41" i="1"/>
  <c r="ID41" i="1"/>
  <c r="IG41" i="1"/>
  <c r="D42" i="1"/>
  <c r="E42" i="1"/>
  <c r="R42" i="1"/>
  <c r="AE42" i="1"/>
  <c r="AF42" i="1"/>
  <c r="AG42" i="1"/>
  <c r="AH42" i="1"/>
  <c r="AI42" i="1"/>
  <c r="AK42" i="1"/>
  <c r="AL42" i="1"/>
  <c r="AN42" i="1"/>
  <c r="AO42" i="1"/>
  <c r="AP42" i="1"/>
  <c r="AR42" i="1"/>
  <c r="AS42" i="1"/>
  <c r="AT42" i="1"/>
  <c r="AX42" i="1"/>
  <c r="AY42" i="1"/>
  <c r="AZ42" i="1"/>
  <c r="BB42" i="1"/>
  <c r="BC42" i="1"/>
  <c r="BD42" i="1"/>
  <c r="BE42" i="1"/>
  <c r="BF42" i="1"/>
  <c r="BG42" i="1"/>
  <c r="BH42" i="1"/>
  <c r="BI42" i="1"/>
  <c r="BJ42" i="1"/>
  <c r="BK42" i="1"/>
  <c r="BL42" i="1"/>
  <c r="BM42" i="1"/>
  <c r="BN42" i="1"/>
  <c r="BO42" i="1"/>
  <c r="BP42" i="1"/>
  <c r="BR42" i="1"/>
  <c r="CD42" i="1"/>
  <c r="CE42" i="1"/>
  <c r="CF42" i="1"/>
  <c r="CG42" i="1"/>
  <c r="CH42" i="1"/>
  <c r="CL42" i="1"/>
  <c r="FN42" i="1"/>
  <c r="FO42" i="1"/>
  <c r="FP42" i="1"/>
  <c r="FQ42" i="1"/>
  <c r="FR42" i="1"/>
  <c r="FS42" i="1"/>
  <c r="FV42" i="1"/>
  <c r="FW42" i="1"/>
  <c r="GT42" i="1"/>
  <c r="GU42" i="1"/>
  <c r="GV42" i="1"/>
  <c r="GW42" i="1"/>
  <c r="GZ42" i="1"/>
  <c r="HZ42" i="1"/>
  <c r="IA42" i="1"/>
  <c r="IB42" i="1"/>
  <c r="IC42" i="1"/>
  <c r="ID42" i="1"/>
  <c r="IG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Putirka</author>
  </authors>
  <commentList>
    <comment ref="R13" authorId="0" shapeId="0" xr:uid="{00000000-0006-0000-0100-000001000000}">
      <text>
        <r>
          <rPr>
            <b/>
            <sz val="9"/>
            <color rgb="FF000000"/>
            <rFont val="Verdana"/>
            <family val="2"/>
          </rPr>
          <t>Keith Putirka:</t>
        </r>
        <r>
          <rPr>
            <sz val="9"/>
            <color rgb="FF000000"/>
            <rFont val="Verdana"/>
            <family val="2"/>
          </rPr>
          <t xml:space="preserve">
</t>
        </r>
        <r>
          <rPr>
            <sz val="9"/>
            <color rgb="FF000000"/>
            <rFont val="Verdana"/>
            <family val="2"/>
          </rPr>
          <t>This is a model (published in an abstract in GSA, 2014) that calculates water concentrations when liquids are water saturated.</t>
        </r>
      </text>
    </comment>
  </commentList>
</comments>
</file>

<file path=xl/sharedStrings.xml><?xml version="1.0" encoding="utf-8"?>
<sst xmlns="http://schemas.openxmlformats.org/spreadsheetml/2006/main" count="433" uniqueCount="243">
  <si>
    <t>a</t>
  </si>
  <si>
    <t>SiO2</t>
  </si>
  <si>
    <t>Observed Cpx Components</t>
  </si>
  <si>
    <t>Predicted Cpx Components (Putirka, 1999)</t>
  </si>
  <si>
    <t>H2O</t>
  </si>
  <si>
    <t>Eqn 32a</t>
  </si>
  <si>
    <t>Cation</t>
  </si>
  <si>
    <t>Na</t>
  </si>
  <si>
    <t>Cr</t>
  </si>
  <si>
    <t>Ca</t>
  </si>
  <si>
    <t>Mg</t>
  </si>
  <si>
    <t>Mn</t>
  </si>
  <si>
    <t>Fe</t>
  </si>
  <si>
    <t>Ti</t>
  </si>
  <si>
    <t>Si</t>
  </si>
  <si>
    <t>Clinopyroxene components</t>
  </si>
  <si>
    <t>Component</t>
  </si>
  <si>
    <t xml:space="preserve">T(K ) </t>
  </si>
  <si>
    <t xml:space="preserve">P(kbar) </t>
  </si>
  <si>
    <t>Experiment/Sample</t>
  </si>
  <si>
    <t>Clinopyroxene thermobarometers</t>
  </si>
  <si>
    <t>Author (year)</t>
  </si>
  <si>
    <t>P(kbar)</t>
  </si>
  <si>
    <t>T (C)</t>
  </si>
  <si>
    <t>Al(IV)</t>
  </si>
  <si>
    <t>AL(VI)</t>
  </si>
  <si>
    <t>Al (total)</t>
  </si>
  <si>
    <t>Fe3+</t>
  </si>
  <si>
    <t>Jd</t>
  </si>
  <si>
    <t>CaTs</t>
  </si>
  <si>
    <t>CaTi</t>
  </si>
  <si>
    <t>CrCaTs</t>
  </si>
  <si>
    <t>DiHd (1996)</t>
  </si>
  <si>
    <t>EnFs</t>
  </si>
  <si>
    <t>DiHd (2003)</t>
  </si>
  <si>
    <t>lnK(Jd-liq)</t>
  </si>
  <si>
    <t>lnK(Jd-DiHd)</t>
  </si>
  <si>
    <t>Putirka et al (2003)</t>
  </si>
  <si>
    <t>Fe(M1)*Mg(M2)/Fe(M2)Mg(M1)</t>
  </si>
  <si>
    <t>d</t>
  </si>
  <si>
    <t>Abs</t>
  </si>
  <si>
    <t>Eqn 32b</t>
  </si>
  <si>
    <t>Nimis (1999)</t>
  </si>
  <si>
    <t>Cation Proportions</t>
  </si>
  <si>
    <t>Cation Fractions</t>
  </si>
  <si>
    <t>Mole Proportions</t>
  </si>
  <si>
    <t>Numers of oxygens</t>
  </si>
  <si>
    <t>Ca(M2)</t>
  </si>
  <si>
    <t>Gray field = input</t>
  </si>
  <si>
    <t>Blue field = output</t>
  </si>
  <si>
    <t>Experimental Compositions given  as examples</t>
  </si>
  <si>
    <t>Leave Blank</t>
  </si>
  <si>
    <t>Enter Cpx Composition Here</t>
  </si>
  <si>
    <t>DiHd</t>
  </si>
  <si>
    <t>Equations</t>
  </si>
  <si>
    <t>Oxy</t>
  </si>
  <si>
    <t>Sum</t>
  </si>
  <si>
    <t>ORF</t>
  </si>
  <si>
    <t>Oxy renorm  factor</t>
  </si>
  <si>
    <t>Fe3+ from charge balance</t>
  </si>
  <si>
    <t>Putirka (2008) RiMG MODELS</t>
  </si>
  <si>
    <t>Putirka (2008) RiMG</t>
  </si>
  <si>
    <t>Nimis &amp; Ulmer (1999)</t>
  </si>
  <si>
    <t>Enter Liquid Composition Here (Glass orr Whole Rock, etc.)</t>
  </si>
  <si>
    <t>XHD</t>
  </si>
  <si>
    <t>XEN</t>
  </si>
  <si>
    <t>XFS</t>
  </si>
  <si>
    <t>XAC+ XJD</t>
  </si>
  <si>
    <t>V1</t>
  </si>
  <si>
    <t>V2</t>
  </si>
  <si>
    <t>V3</t>
  </si>
  <si>
    <t>V4</t>
  </si>
  <si>
    <t>Zc</t>
  </si>
  <si>
    <t>V(Cell, P,T)</t>
  </si>
  <si>
    <t>P(TH)</t>
  </si>
  <si>
    <t>P(MA)</t>
  </si>
  <si>
    <t>aCpx-En</t>
  </si>
  <si>
    <t>dT</t>
  </si>
  <si>
    <t>I=1</t>
  </si>
  <si>
    <t>DM1-O</t>
  </si>
  <si>
    <t>Calcualted using normative scheme from Putirka et al. (1996)</t>
  </si>
  <si>
    <t>Na(M2)</t>
  </si>
  <si>
    <t>v(cell)</t>
  </si>
  <si>
    <t>V(M1)</t>
  </si>
  <si>
    <t>M1 charge</t>
  </si>
  <si>
    <t>alpha</t>
  </si>
  <si>
    <t>K</t>
  </si>
  <si>
    <t>dV(TM1)</t>
  </si>
  <si>
    <t>Total alkalis</t>
  </si>
  <si>
    <t>Alk boundary</t>
  </si>
  <si>
    <t>Vcell</t>
  </si>
  <si>
    <t>VM1</t>
  </si>
  <si>
    <t>P(BA)</t>
  </si>
  <si>
    <t>XFE</t>
  </si>
  <si>
    <t>XMG</t>
  </si>
  <si>
    <t>XAC</t>
  </si>
  <si>
    <t>XdNA</t>
  </si>
  <si>
    <t>XdFET= XES</t>
  </si>
  <si>
    <t>XJD</t>
  </si>
  <si>
    <t>XddNA</t>
  </si>
  <si>
    <t>XdALO</t>
  </si>
  <si>
    <t>XCATS</t>
  </si>
  <si>
    <t>XCC</t>
  </si>
  <si>
    <t>XDI</t>
  </si>
  <si>
    <t>Meas</t>
  </si>
  <si>
    <t>Nimis (1995)</t>
  </si>
  <si>
    <t>M1-M2</t>
  </si>
  <si>
    <t>solv quad</t>
  </si>
  <si>
    <t>Mean</t>
  </si>
  <si>
    <t>thol</t>
  </si>
  <si>
    <t>Mildly Alk</t>
  </si>
  <si>
    <t>Irvine and Baragar</t>
  </si>
  <si>
    <t>TH</t>
  </si>
  <si>
    <t>MA</t>
  </si>
  <si>
    <t>P(TH) or</t>
  </si>
  <si>
    <t>Nimis &amp; Taylor 2000</t>
  </si>
  <si>
    <t>See Chart: Test for Equilibrium</t>
  </si>
  <si>
    <t>b</t>
  </si>
  <si>
    <t>c</t>
  </si>
  <si>
    <t>Liquid compositons</t>
  </si>
  <si>
    <t>Cpx compositons</t>
  </si>
  <si>
    <t>Putirka et al (1996)</t>
  </si>
  <si>
    <t>TiO2</t>
  </si>
  <si>
    <t>Al2O3</t>
  </si>
  <si>
    <t>FeO</t>
  </si>
  <si>
    <t>MnO</t>
  </si>
  <si>
    <t>MgO</t>
  </si>
  <si>
    <t>CaO</t>
  </si>
  <si>
    <t>Na2O</t>
  </si>
  <si>
    <t>K2O</t>
  </si>
  <si>
    <t>Cr2O3</t>
  </si>
  <si>
    <t>P2O5</t>
  </si>
  <si>
    <r>
      <t>K</t>
    </r>
    <r>
      <rPr>
        <vertAlign val="subscript"/>
        <sz val="10"/>
        <rFont val="Verdana"/>
        <family val="2"/>
      </rPr>
      <t>D</t>
    </r>
    <r>
      <rPr>
        <sz val="10"/>
        <rFont val="Verdana"/>
        <family val="2"/>
      </rPr>
      <t>(Fe-Mg)</t>
    </r>
    <phoneticPr fontId="3"/>
  </si>
  <si>
    <t>One-to-one line</t>
  </si>
  <si>
    <t>Cations on the basis of 6 oxygens</t>
  </si>
  <si>
    <t>Lindley</t>
  </si>
  <si>
    <t>Droop</t>
  </si>
  <si>
    <t>Eqn T1</t>
  </si>
  <si>
    <t>Eqn T2</t>
  </si>
  <si>
    <t>Eqn P1</t>
  </si>
  <si>
    <t>Eqn 30</t>
  </si>
  <si>
    <t>Eqn 31</t>
  </si>
  <si>
    <t>Eqn 33</t>
  </si>
  <si>
    <t>Eqn 34</t>
  </si>
  <si>
    <t xml:space="preserve">Error on </t>
  </si>
  <si>
    <t>New Nimis-form (global</t>
  </si>
  <si>
    <t>Eqn. 32d</t>
  </si>
  <si>
    <t>Eqn 35</t>
  </si>
  <si>
    <t>Liquid (Glass) Composition - in Weight Percent</t>
  </si>
  <si>
    <t>FeOt</t>
  </si>
  <si>
    <t>Eqn. 32c</t>
    <phoneticPr fontId="3"/>
  </si>
  <si>
    <t>Eqn. 32c</t>
    <phoneticPr fontId="3"/>
  </si>
  <si>
    <t>P(kbar)</t>
    <phoneticPr fontId="3"/>
  </si>
  <si>
    <t>Clinopyroxene Compositions - in Weight Percent</t>
  </si>
  <si>
    <t>Molecular weights</t>
  </si>
  <si>
    <t>AlO3/2</t>
  </si>
  <si>
    <t>NaO0.5</t>
  </si>
  <si>
    <t>KO0.5</t>
  </si>
  <si>
    <t>CrO3/2</t>
  </si>
  <si>
    <t>PO5/2</t>
  </si>
  <si>
    <t>total</t>
  </si>
  <si>
    <t>Mg# liq</t>
  </si>
  <si>
    <t>T(K) P-ind</t>
  </si>
  <si>
    <t>T(C ) P-ind</t>
  </si>
  <si>
    <t>T(K) P-dep</t>
  </si>
  <si>
    <t>T(C ) P-dep</t>
  </si>
  <si>
    <t>T(K)</t>
  </si>
  <si>
    <t>T(C )</t>
  </si>
  <si>
    <t>T(K) Meas/10^4</t>
  </si>
  <si>
    <t>a(cpx-En)</t>
  </si>
  <si>
    <t>KD(Fe-Mg)</t>
  </si>
  <si>
    <t>CNM</t>
  </si>
  <si>
    <t>R3+</t>
  </si>
  <si>
    <t>M1 Fe+Mg</t>
  </si>
  <si>
    <t>M2 Fe+Mg</t>
  </si>
  <si>
    <t>Fe2+ total</t>
  </si>
  <si>
    <t>a=KD-1</t>
  </si>
  <si>
    <t>x</t>
  </si>
  <si>
    <t>Fe(M2)</t>
  </si>
  <si>
    <t>Fe(M1)</t>
  </si>
  <si>
    <t>Mg(M2)</t>
  </si>
  <si>
    <t>Mg(M1)</t>
  </si>
  <si>
    <t>Be sure that in Excel Preferences, Calculations are "Iterative"</t>
  </si>
  <si>
    <t>Barometers (and thermometer) based on Cpx compositions only</t>
  </si>
  <si>
    <t>Results for 2003 models</t>
  </si>
  <si>
    <t>There is no intrinsic problem with mixing models. So for example, one can change the cell addresses</t>
  </si>
  <si>
    <t>so that the barometer in AP uses T(K) from AR, instead of AO</t>
  </si>
  <si>
    <t>The Default is that the 1996 and 2003 models are paired with one another for iterative P-T calculations</t>
  </si>
  <si>
    <t>The models may agree within error; if not, then the 1996 models are preferred for</t>
  </si>
  <si>
    <t>basalts, including those with high alkalis; the 2003 models are better for SiO2-rich systems</t>
  </si>
  <si>
    <t>By Default, these equations (columns AV-BB) use P-T output from Columns AF &amp; AG</t>
  </si>
  <si>
    <t>Tests for Equilibrium, based on Putirka (1999) models: Compare columns AV-BA to BD-BI</t>
  </si>
  <si>
    <t>Additional Output: Calcualted Values for T and P</t>
  </si>
  <si>
    <t>Model P-T Output Using the 1996 and 2003 Calibrations</t>
  </si>
  <si>
    <t>Results for 1996  models</t>
  </si>
  <si>
    <t>Columns AF and AG are used for the Equilibirum tests of columns AV-BB</t>
  </si>
  <si>
    <t>T(K) Eqn. 33</t>
  </si>
  <si>
    <t>T(K) Eqn. 33 w/2003 bar</t>
  </si>
  <si>
    <t>Use Eqn. 33 with new barometer</t>
  </si>
  <si>
    <t>For Hydrous Systems</t>
  </si>
  <si>
    <t>Anhydrous Systems</t>
  </si>
  <si>
    <t>Sisson, T.W., Grove, T.L. (1993)</t>
  </si>
  <si>
    <t>82-62#3</t>
  </si>
  <si>
    <t>7935g-#16</t>
  </si>
  <si>
    <t>Results for new hydrous therm</t>
  </si>
  <si>
    <t>DiHd error</t>
  </si>
  <si>
    <t>NEW</t>
  </si>
  <si>
    <t>Saturation</t>
  </si>
  <si>
    <t>1) INPUT required in GRAY columns (F-Q, and T - AC)</t>
  </si>
  <si>
    <t>2) OUTPUTS are in BLUE columns (AE - CK)</t>
  </si>
  <si>
    <t xml:space="preserve">Reported P-T </t>
  </si>
  <si>
    <t>Use Eqn. 34 with 1996 barometer</t>
  </si>
  <si>
    <t>P(kbar) 1996 P1</t>
  </si>
  <si>
    <t>Use Eqn. 33 with 1996 barometer</t>
  </si>
  <si>
    <t>TC( )</t>
  </si>
  <si>
    <t>T(K) Eqn. 34 (liq only)</t>
  </si>
  <si>
    <t>Putirka (1999)</t>
  </si>
  <si>
    <t>Cpx Sat T(C )</t>
  </si>
  <si>
    <t>Model P-T Output for Neave and Putirka (2017)</t>
  </si>
  <si>
    <t>P(kbar) N&amp;P 2017</t>
  </si>
  <si>
    <t>T(C ) Eqn. 33</t>
  </si>
  <si>
    <t>Putirka 2008</t>
  </si>
  <si>
    <t>Select Value for KD(Fe-Mg)ol-liq</t>
  </si>
  <si>
    <t>Select Value for error bounds</t>
  </si>
  <si>
    <t>Equilibrium minus 1 sigma</t>
  </si>
  <si>
    <t>Equilibrium plus 1 sigma</t>
  </si>
  <si>
    <t>100 X</t>
  </si>
  <si>
    <t>Mg/Fe-ol</t>
  </si>
  <si>
    <t>Mg/Fe-liq</t>
  </si>
  <si>
    <t>Mg#liq - 0.3</t>
  </si>
  <si>
    <t>Mg#ol - 0.3</t>
  </si>
  <si>
    <t>The Rhodes Diagram - Test for Fe-Mg echange, Cpx-liq Equilibrium</t>
  </si>
  <si>
    <t>Mg# Cpx</t>
  </si>
  <si>
    <t>Mg# Liq</t>
  </si>
  <si>
    <t>DiHd (old)</t>
  </si>
  <si>
    <t>Triangular Plot</t>
  </si>
  <si>
    <t>y</t>
  </si>
  <si>
    <t>Fs</t>
  </si>
  <si>
    <t>En</t>
  </si>
  <si>
    <t>Wo</t>
  </si>
  <si>
    <r>
      <t>Coefficient for Fe2+/(Fe</t>
    </r>
    <r>
      <rPr>
        <b/>
        <vertAlign val="superscript"/>
        <sz val="10"/>
        <rFont val="Verdana"/>
        <family val="2"/>
      </rPr>
      <t>2+</t>
    </r>
    <r>
      <rPr>
        <b/>
        <sz val="10"/>
        <rFont val="Verdana"/>
        <family val="2"/>
      </rPr>
      <t xml:space="preserve"> + Fe</t>
    </r>
    <r>
      <rPr>
        <b/>
        <vertAlign val="superscript"/>
        <sz val="10"/>
        <rFont val="Verdana"/>
        <family val="2"/>
      </rPr>
      <t>3+</t>
    </r>
    <r>
      <rPr>
        <b/>
        <sz val="10"/>
        <rFont val="Verdana"/>
        <family val="2"/>
      </rPr>
      <t>)</t>
    </r>
  </si>
  <si>
    <t>Synthetic</t>
  </si>
  <si>
    <t>* I changed to use the same thermometer and barometer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</si>
</sst>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7">
    <font>
      <sz val="10"/>
      <name val="Verdana"/>
    </font>
    <font>
      <b/>
      <sz val="10"/>
      <name val="Verdana"/>
      <family val="2"/>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sz val="10"/>
      <name val="Verdana"/>
      <family val="2"/>
    </font>
    <font>
      <b/>
      <sz val="12"/>
      <name val="Verdana"/>
      <family val="2"/>
    </font>
    <font>
      <vertAlign val="subscript"/>
      <sz val="10"/>
      <name val="Verdana"/>
      <family val="2"/>
    </font>
    <font>
      <b/>
      <sz val="14"/>
      <name val="Verdana"/>
      <family val="2"/>
    </font>
    <font>
      <sz val="12"/>
      <name val="Verdana"/>
      <family val="2"/>
    </font>
    <font>
      <sz val="10"/>
      <name val="Arial"/>
      <family val="2"/>
    </font>
    <font>
      <b/>
      <sz val="12"/>
      <color indexed="8"/>
      <name val="Verdana"/>
      <family val="2"/>
    </font>
    <font>
      <u/>
      <sz val="10"/>
      <color theme="10"/>
      <name val="Verdana"/>
      <family val="2"/>
    </font>
    <font>
      <u/>
      <sz val="10"/>
      <color theme="11"/>
      <name val="Verdana"/>
      <family val="2"/>
    </font>
    <font>
      <b/>
      <sz val="18"/>
      <name val="Geneva"/>
      <family val="2"/>
    </font>
    <font>
      <sz val="14"/>
      <name val="Verdana"/>
      <family val="2"/>
    </font>
    <font>
      <b/>
      <sz val="12"/>
      <color rgb="FFFF0000"/>
      <name val="Verdana"/>
      <family val="2"/>
    </font>
    <font>
      <b/>
      <sz val="14"/>
      <color rgb="FFFF0000"/>
      <name val="Verdana"/>
      <family val="2"/>
    </font>
    <font>
      <sz val="16"/>
      <name val="Verdana"/>
      <family val="2"/>
    </font>
    <font>
      <b/>
      <sz val="9"/>
      <color rgb="FF000000"/>
      <name val="Verdana"/>
      <family val="2"/>
    </font>
    <font>
      <sz val="9"/>
      <color rgb="FF000000"/>
      <name val="Verdana"/>
      <family val="2"/>
    </font>
    <font>
      <b/>
      <vertAlign val="superscript"/>
      <sz val="10"/>
      <name val="Verdana"/>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bgColor indexed="64"/>
      </patternFill>
    </fill>
  </fills>
  <borders count="17">
    <border>
      <left/>
      <right/>
      <top/>
      <bottom/>
      <diagonal/>
    </border>
    <border>
      <left/>
      <right/>
      <top style="medium">
        <color auto="1"/>
      </top>
      <bottom/>
      <diagonal/>
    </border>
    <border>
      <left/>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45">
    <xf numFmtId="0" fontId="0" fillId="0" borderId="0"/>
    <xf numFmtId="0" fontId="14"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97">
    <xf numFmtId="0" fontId="0" fillId="0" borderId="0" xfId="0"/>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2" fontId="2" fillId="0" borderId="0" xfId="0" applyNumberFormat="1" applyFont="1" applyFill="1"/>
    <xf numFmtId="0" fontId="2" fillId="0" borderId="0" xfId="0" applyFont="1" applyFill="1" applyBorder="1"/>
    <xf numFmtId="0" fontId="2" fillId="0" borderId="1" xfId="0" applyFont="1" applyFill="1" applyBorder="1" applyAlignment="1">
      <alignment horizontal="center"/>
    </xf>
    <xf numFmtId="165" fontId="2" fillId="0" borderId="0" xfId="0" applyNumberFormat="1" applyFont="1" applyFill="1"/>
    <xf numFmtId="165" fontId="2" fillId="0" borderId="0" xfId="0" applyNumberFormat="1" applyFont="1" applyFill="1" applyAlignment="1">
      <alignment wrapText="1"/>
    </xf>
    <xf numFmtId="0" fontId="2" fillId="0" borderId="0" xfId="0" applyFont="1" applyFill="1" applyAlignment="1">
      <alignment wrapText="1"/>
    </xf>
    <xf numFmtId="0" fontId="2" fillId="0" borderId="0" xfId="0" applyFont="1" applyFill="1" applyAlignment="1">
      <alignment textRotation="90" wrapText="1"/>
    </xf>
    <xf numFmtId="11" fontId="2" fillId="0" borderId="0" xfId="0" applyNumberFormat="1" applyFont="1" applyFill="1" applyAlignment="1">
      <alignment horizontal="center"/>
    </xf>
    <xf numFmtId="165" fontId="2" fillId="0" borderId="0" xfId="0" applyNumberFormat="1" applyFont="1" applyFill="1" applyAlignment="1">
      <alignment horizontal="center" wrapText="1"/>
    </xf>
    <xf numFmtId="165" fontId="2" fillId="0" borderId="2" xfId="0" applyNumberFormat="1" applyFont="1" applyFill="1" applyBorder="1" applyAlignment="1">
      <alignment horizontal="center" wrapText="1"/>
    </xf>
    <xf numFmtId="1" fontId="2" fillId="0" borderId="0" xfId="0" applyNumberFormat="1" applyFont="1" applyFill="1" applyAlignment="1">
      <alignment horizontal="center" wrapText="1"/>
    </xf>
    <xf numFmtId="2" fontId="2" fillId="0" borderId="0" xfId="0" applyNumberFormat="1" applyFont="1" applyFill="1" applyAlignment="1">
      <alignment horizontal="center"/>
    </xf>
    <xf numFmtId="11" fontId="2" fillId="0" borderId="0" xfId="0" applyNumberFormat="1" applyFont="1" applyFill="1"/>
    <xf numFmtId="1" fontId="2" fillId="0" borderId="0" xfId="0" applyNumberFormat="1" applyFont="1" applyFill="1"/>
    <xf numFmtId="0" fontId="5" fillId="0" borderId="0" xfId="0" applyFont="1" applyFill="1" applyAlignment="1">
      <alignment horizontal="center"/>
    </xf>
    <xf numFmtId="0" fontId="8" fillId="0" borderId="3" xfId="0" applyFont="1" applyFill="1" applyBorder="1" applyAlignment="1">
      <alignment horizontal="center"/>
    </xf>
    <xf numFmtId="0" fontId="8" fillId="0" borderId="0" xfId="0" applyFont="1" applyFill="1" applyAlignment="1">
      <alignment horizontal="center"/>
    </xf>
    <xf numFmtId="0" fontId="9" fillId="2" borderId="0" xfId="0" applyFont="1" applyFill="1" applyAlignment="1">
      <alignment horizontal="left"/>
    </xf>
    <xf numFmtId="0" fontId="9" fillId="2" borderId="4" xfId="0" applyFont="1"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8" fillId="0" borderId="5" xfId="0" applyFont="1" applyFill="1" applyBorder="1" applyAlignment="1">
      <alignment horizontal="center"/>
    </xf>
    <xf numFmtId="0" fontId="2" fillId="0" borderId="0" xfId="0" applyFont="1" applyFill="1" applyBorder="1" applyAlignment="1">
      <alignment horizontal="center"/>
    </xf>
    <xf numFmtId="0" fontId="10" fillId="0" borderId="0" xfId="0" applyFont="1" applyFill="1" applyAlignment="1">
      <alignment horizontal="center"/>
    </xf>
    <xf numFmtId="0" fontId="2" fillId="3" borderId="0" xfId="0" applyFont="1" applyFill="1" applyAlignment="1">
      <alignment horizontal="left"/>
    </xf>
    <xf numFmtId="0" fontId="0" fillId="3" borderId="0" xfId="0" applyFill="1"/>
    <xf numFmtId="0" fontId="2" fillId="3" borderId="0" xfId="0" applyFont="1" applyFill="1"/>
    <xf numFmtId="0" fontId="2" fillId="3" borderId="1" xfId="0" applyFont="1" applyFill="1" applyBorder="1" applyAlignment="1">
      <alignment horizontal="center"/>
    </xf>
    <xf numFmtId="0" fontId="2" fillId="3" borderId="0" xfId="0" applyFont="1" applyFill="1" applyAlignment="1">
      <alignment horizontal="center"/>
    </xf>
    <xf numFmtId="0" fontId="2" fillId="3" borderId="0" xfId="0" applyFont="1" applyFill="1" applyBorder="1" applyAlignment="1">
      <alignment horizontal="center"/>
    </xf>
    <xf numFmtId="0" fontId="2" fillId="3" borderId="1" xfId="0" applyFont="1" applyFill="1" applyBorder="1"/>
    <xf numFmtId="0" fontId="0" fillId="3" borderId="1" xfId="0" applyFill="1" applyBorder="1"/>
    <xf numFmtId="0" fontId="2" fillId="3" borderId="0" xfId="0" applyFont="1" applyFill="1" applyBorder="1"/>
    <xf numFmtId="0" fontId="2" fillId="3" borderId="2" xfId="0" applyFont="1" applyFill="1" applyBorder="1" applyAlignment="1">
      <alignment horizontal="center"/>
    </xf>
    <xf numFmtId="0" fontId="2" fillId="3" borderId="2" xfId="0" applyFont="1" applyFill="1" applyBorder="1"/>
    <xf numFmtId="165" fontId="2" fillId="3" borderId="2" xfId="0" applyNumberFormat="1" applyFont="1" applyFill="1" applyBorder="1" applyAlignment="1">
      <alignment horizontal="center" wrapText="1"/>
    </xf>
    <xf numFmtId="166" fontId="2" fillId="3" borderId="0" xfId="0" applyNumberFormat="1" applyFont="1" applyFill="1" applyAlignment="1">
      <alignment horizontal="center"/>
    </xf>
    <xf numFmtId="0" fontId="2" fillId="0" borderId="6" xfId="0" applyFont="1" applyFill="1" applyBorder="1" applyAlignment="1">
      <alignment horizontal="left"/>
    </xf>
    <xf numFmtId="0" fontId="2" fillId="0" borderId="7" xfId="0" applyFont="1" applyFill="1" applyBorder="1" applyAlignment="1">
      <alignment horizontal="center"/>
    </xf>
    <xf numFmtId="0" fontId="2" fillId="0" borderId="3" xfId="0" applyFont="1" applyFill="1" applyBorder="1" applyAlignment="1">
      <alignment horizontal="center"/>
    </xf>
    <xf numFmtId="0" fontId="2" fillId="0" borderId="8" xfId="0" applyFon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2" fillId="0" borderId="5" xfId="0" applyFont="1" applyFill="1" applyBorder="1" applyAlignment="1"/>
    <xf numFmtId="0" fontId="2" fillId="0" borderId="4" xfId="0" applyFont="1" applyFill="1" applyBorder="1" applyAlignment="1">
      <alignment horizontal="center"/>
    </xf>
    <xf numFmtId="0" fontId="0" fillId="0" borderId="3" xfId="0" applyBorder="1" applyAlignment="1">
      <alignment horizontal="center"/>
    </xf>
    <xf numFmtId="0" fontId="0" fillId="0" borderId="0" xfId="0" applyFill="1"/>
    <xf numFmtId="0" fontId="0" fillId="0" borderId="1" xfId="0" applyFill="1" applyBorder="1"/>
    <xf numFmtId="0" fontId="2" fillId="0" borderId="2" xfId="0" applyFont="1" applyFill="1" applyBorder="1"/>
    <xf numFmtId="166" fontId="2" fillId="0" borderId="0" xfId="0" applyNumberFormat="1" applyFont="1" applyFill="1" applyAlignment="1">
      <alignment horizontal="center"/>
    </xf>
    <xf numFmtId="165" fontId="2" fillId="3" borderId="0" xfId="0" applyNumberFormat="1" applyFont="1" applyFill="1" applyAlignment="1">
      <alignment horizontal="center"/>
    </xf>
    <xf numFmtId="0" fontId="2" fillId="0" borderId="6" xfId="0" applyFont="1" applyFill="1" applyBorder="1"/>
    <xf numFmtId="0" fontId="2" fillId="0" borderId="8" xfId="0" applyFont="1" applyFill="1" applyBorder="1"/>
    <xf numFmtId="0" fontId="2" fillId="0" borderId="7" xfId="0" applyFont="1" applyFill="1" applyBorder="1"/>
    <xf numFmtId="0" fontId="2" fillId="0" borderId="10" xfId="0" applyFont="1" applyFill="1" applyBorder="1"/>
    <xf numFmtId="0" fontId="2" fillId="0" borderId="9" xfId="0" applyFont="1" applyFill="1" applyBorder="1"/>
    <xf numFmtId="0" fontId="2" fillId="0" borderId="5" xfId="0" applyFont="1" applyFill="1" applyBorder="1"/>
    <xf numFmtId="0" fontId="2" fillId="0" borderId="4" xfId="0" applyFont="1" applyFill="1" applyBorder="1"/>
    <xf numFmtId="0" fontId="2" fillId="0" borderId="3" xfId="0" applyFont="1" applyFill="1" applyBorder="1"/>
    <xf numFmtId="0" fontId="0" fillId="0" borderId="8" xfId="0" applyBorder="1"/>
    <xf numFmtId="0" fontId="1" fillId="0" borderId="5" xfId="0" applyFont="1" applyFill="1" applyBorder="1"/>
    <xf numFmtId="0" fontId="1" fillId="0" borderId="4" xfId="0" applyFont="1" applyFill="1" applyBorder="1"/>
    <xf numFmtId="164" fontId="2" fillId="0" borderId="11" xfId="0" applyNumberFormat="1" applyFont="1" applyFill="1" applyBorder="1"/>
    <xf numFmtId="166" fontId="2" fillId="0" borderId="0" xfId="0" applyNumberFormat="1" applyFont="1" applyFill="1"/>
    <xf numFmtId="0" fontId="2" fillId="0" borderId="0" xfId="0" applyFont="1" applyFill="1" applyAlignment="1">
      <alignment horizontal="left"/>
    </xf>
    <xf numFmtId="0" fontId="0" fillId="0" borderId="0" xfId="0" applyFill="1" applyAlignment="1">
      <alignment horizontal="center"/>
    </xf>
    <xf numFmtId="2" fontId="2" fillId="3" borderId="0" xfId="0" applyNumberFormat="1" applyFont="1" applyFill="1" applyAlignment="1">
      <alignment horizontal="center"/>
    </xf>
    <xf numFmtId="0" fontId="2" fillId="3" borderId="1" xfId="0" applyFont="1" applyFill="1" applyBorder="1" applyAlignment="1">
      <alignment horizontal="left"/>
    </xf>
    <xf numFmtId="0" fontId="2" fillId="0" borderId="10" xfId="0" applyFont="1" applyFill="1" applyBorder="1" applyAlignment="1">
      <alignment horizontal="center"/>
    </xf>
    <xf numFmtId="0" fontId="2" fillId="0" borderId="9" xfId="0" applyFont="1" applyFill="1" applyBorder="1" applyAlignment="1">
      <alignment horizontal="center"/>
    </xf>
    <xf numFmtId="0" fontId="0" fillId="0" borderId="10"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center"/>
    </xf>
    <xf numFmtId="0" fontId="11" fillId="0" borderId="2" xfId="0" applyFont="1" applyFill="1" applyBorder="1" applyAlignment="1">
      <alignment horizontal="left"/>
    </xf>
    <xf numFmtId="0" fontId="0" fillId="0" borderId="2" xfId="0" applyFill="1" applyBorder="1" applyAlignment="1">
      <alignment horizontal="center"/>
    </xf>
    <xf numFmtId="0" fontId="0" fillId="0" borderId="6" xfId="0" applyFill="1" applyBorder="1" applyAlignment="1">
      <alignment horizontal="center"/>
    </xf>
    <xf numFmtId="0" fontId="1" fillId="0" borderId="8" xfId="0" applyFont="1"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10" xfId="0" applyFont="1" applyFill="1" applyBorder="1" applyAlignment="1">
      <alignment horizontal="left"/>
    </xf>
    <xf numFmtId="0" fontId="0" fillId="0" borderId="6" xfId="0" applyFont="1" applyFill="1" applyBorder="1" applyAlignment="1">
      <alignment horizontal="left"/>
    </xf>
    <xf numFmtId="0" fontId="0" fillId="0" borderId="8" xfId="0" applyBorder="1" applyAlignment="1">
      <alignment horizontal="center"/>
    </xf>
    <xf numFmtId="0" fontId="0" fillId="0" borderId="7" xfId="0" applyBorder="1" applyAlignment="1">
      <alignment horizontal="center"/>
    </xf>
    <xf numFmtId="0" fontId="8" fillId="4" borderId="4" xfId="0" applyFont="1" applyFill="1" applyBorder="1" applyAlignment="1">
      <alignment horizontal="center"/>
    </xf>
    <xf numFmtId="0" fontId="8" fillId="4" borderId="0" xfId="0" applyFont="1" applyFill="1" applyBorder="1" applyAlignment="1">
      <alignment horizontal="center"/>
    </xf>
    <xf numFmtId="166" fontId="10" fillId="4" borderId="0" xfId="0" applyNumberFormat="1" applyFont="1" applyFill="1" applyAlignment="1">
      <alignment horizontal="center"/>
    </xf>
    <xf numFmtId="0" fontId="10" fillId="0" borderId="4" xfId="0" applyFont="1" applyFill="1" applyBorder="1" applyAlignment="1">
      <alignment horizontal="center"/>
    </xf>
    <xf numFmtId="0" fontId="1" fillId="0" borderId="0" xfId="0" applyFont="1" applyFill="1" applyAlignment="1">
      <alignment horizontal="left"/>
    </xf>
    <xf numFmtId="0" fontId="10" fillId="0" borderId="0" xfId="0" applyFont="1" applyFill="1" applyBorder="1" applyAlignment="1">
      <alignment horizontal="center"/>
    </xf>
    <xf numFmtId="0" fontId="10" fillId="0" borderId="9" xfId="0" applyFont="1" applyFill="1" applyBorder="1" applyAlignment="1">
      <alignment horizontal="center"/>
    </xf>
    <xf numFmtId="0" fontId="11" fillId="0" borderId="6" xfId="0" applyFont="1" applyFill="1" applyBorder="1" applyAlignment="1">
      <alignment horizontal="left"/>
    </xf>
    <xf numFmtId="0" fontId="0" fillId="4" borderId="2" xfId="0" applyFont="1" applyFill="1" applyBorder="1" applyAlignment="1">
      <alignment horizontal="left"/>
    </xf>
    <xf numFmtId="0" fontId="2" fillId="4" borderId="2" xfId="0" applyFont="1" applyFill="1" applyBorder="1" applyAlignment="1">
      <alignment horizontal="center"/>
    </xf>
    <xf numFmtId="0" fontId="10" fillId="0" borderId="3" xfId="0" applyFont="1" applyFill="1" applyBorder="1" applyAlignment="1">
      <alignment horizontal="center"/>
    </xf>
    <xf numFmtId="0" fontId="1" fillId="0" borderId="5" xfId="0" applyFont="1" applyFill="1" applyBorder="1" applyAlignment="1">
      <alignment horizontal="left"/>
    </xf>
    <xf numFmtId="0" fontId="2" fillId="4" borderId="0" xfId="0"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Alignment="1">
      <alignment horizontal="left"/>
    </xf>
    <xf numFmtId="0" fontId="1" fillId="0" borderId="1" xfId="0" applyFont="1" applyBorder="1" applyAlignment="1">
      <alignment horizontal="left"/>
    </xf>
    <xf numFmtId="0" fontId="2" fillId="0" borderId="1" xfId="0" applyFont="1" applyFill="1" applyBorder="1"/>
    <xf numFmtId="0" fontId="10" fillId="0" borderId="1" xfId="0" applyFont="1" applyFill="1" applyBorder="1" applyAlignment="1">
      <alignment horizontal="center"/>
    </xf>
    <xf numFmtId="0" fontId="1" fillId="0" borderId="1" xfId="0" applyFont="1" applyFill="1" applyBorder="1" applyAlignment="1">
      <alignment horizontal="left"/>
    </xf>
    <xf numFmtId="0" fontId="0" fillId="4" borderId="12" xfId="0" applyFont="1" applyFill="1" applyBorder="1" applyAlignment="1">
      <alignment horizontal="left"/>
    </xf>
    <xf numFmtId="0" fontId="2" fillId="4" borderId="12" xfId="0" applyFont="1" applyFill="1" applyBorder="1" applyAlignment="1">
      <alignment horizontal="center"/>
    </xf>
    <xf numFmtId="0" fontId="2" fillId="4" borderId="1" xfId="0" applyFont="1" applyFill="1" applyBorder="1" applyAlignment="1">
      <alignment horizontal="center"/>
    </xf>
    <xf numFmtId="0" fontId="0" fillId="5" borderId="2" xfId="0" applyFont="1" applyFill="1" applyBorder="1" applyAlignment="1">
      <alignment horizontal="left"/>
    </xf>
    <xf numFmtId="166" fontId="10" fillId="5"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applyBorder="1" applyAlignment="1">
      <alignment horizontal="center"/>
    </xf>
    <xf numFmtId="166" fontId="0" fillId="0" borderId="0" xfId="0" applyNumberFormat="1" applyFont="1" applyFill="1" applyBorder="1" applyAlignment="1">
      <alignment horizontal="center"/>
    </xf>
    <xf numFmtId="166" fontId="0" fillId="0" borderId="0" xfId="0" applyNumberFormat="1" applyFont="1" applyAlignment="1">
      <alignment horizontal="center"/>
    </xf>
    <xf numFmtId="0" fontId="0" fillId="3" borderId="0" xfId="0" applyFont="1" applyFill="1" applyBorder="1" applyAlignment="1">
      <alignment horizontal="center"/>
    </xf>
    <xf numFmtId="2" fontId="0" fillId="0" borderId="0" xfId="0" applyNumberFormat="1" applyAlignment="1">
      <alignment horizontal="center"/>
    </xf>
    <xf numFmtId="2" fontId="2" fillId="6" borderId="0" xfId="0" applyNumberFormat="1" applyFont="1" applyFill="1" applyBorder="1" applyAlignment="1">
      <alignment horizontal="center"/>
    </xf>
    <xf numFmtId="2" fontId="11" fillId="6" borderId="0" xfId="0" applyNumberFormat="1" applyFont="1" applyFill="1" applyAlignment="1">
      <alignment horizontal="center"/>
    </xf>
    <xf numFmtId="2" fontId="16" fillId="6" borderId="2" xfId="0" applyNumberFormat="1" applyFont="1" applyFill="1" applyBorder="1" applyAlignment="1">
      <alignment horizontal="center"/>
    </xf>
    <xf numFmtId="0" fontId="8" fillId="2" borderId="0" xfId="0" applyFont="1" applyFill="1" applyAlignment="1">
      <alignment horizontal="center"/>
    </xf>
    <xf numFmtId="0" fontId="0" fillId="2" borderId="0" xfId="0" applyFill="1" applyBorder="1" applyAlignment="1">
      <alignment horizontal="center"/>
    </xf>
    <xf numFmtId="0" fontId="7" fillId="0" borderId="13" xfId="0" applyFont="1" applyFill="1" applyBorder="1" applyAlignment="1">
      <alignment horizontal="left"/>
    </xf>
    <xf numFmtId="0" fontId="5" fillId="0" borderId="14" xfId="0" applyFont="1" applyFill="1" applyBorder="1" applyAlignment="1">
      <alignment horizontal="center"/>
    </xf>
    <xf numFmtId="0" fontId="5" fillId="0" borderId="15" xfId="0" applyFont="1" applyFill="1" applyBorder="1" applyAlignment="1">
      <alignment horizontal="center"/>
    </xf>
    <xf numFmtId="0" fontId="9" fillId="2" borderId="0" xfId="0" applyFont="1" applyFill="1" applyAlignment="1">
      <alignment horizontal="center"/>
    </xf>
    <xf numFmtId="0" fontId="5" fillId="0" borderId="0" xfId="0" applyFont="1" applyFill="1" applyAlignment="1"/>
    <xf numFmtId="0" fontId="2" fillId="0" borderId="0" xfId="0" applyFont="1" applyFill="1" applyAlignment="1"/>
    <xf numFmtId="0" fontId="2" fillId="0" borderId="14" xfId="0" applyFont="1" applyFill="1" applyBorder="1" applyAlignment="1">
      <alignment horizontal="center"/>
    </xf>
    <xf numFmtId="0" fontId="2" fillId="0" borderId="15" xfId="0" applyFont="1" applyFill="1" applyBorder="1" applyAlignment="1">
      <alignment horizontal="center"/>
    </xf>
    <xf numFmtId="0" fontId="15" fillId="2" borderId="0" xfId="0" applyFont="1" applyFill="1" applyBorder="1" applyAlignment="1">
      <alignment horizontal="center"/>
    </xf>
    <xf numFmtId="166" fontId="0" fillId="0" borderId="0" xfId="0" applyNumberFormat="1" applyFill="1" applyBorder="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Fill="1" applyAlignment="1"/>
    <xf numFmtId="0" fontId="0" fillId="0" borderId="0" xfId="0" applyFill="1" applyBorder="1" applyAlignment="1"/>
    <xf numFmtId="166" fontId="0" fillId="0" borderId="0" xfId="0" applyNumberFormat="1" applyFont="1" applyFill="1" applyAlignment="1">
      <alignment horizontal="center"/>
    </xf>
    <xf numFmtId="166" fontId="0" fillId="0" borderId="14" xfId="0" applyNumberFormat="1" applyFont="1" applyBorder="1" applyAlignment="1">
      <alignment horizontal="center"/>
    </xf>
    <xf numFmtId="0" fontId="10" fillId="0" borderId="15" xfId="0" applyFont="1" applyFill="1" applyBorder="1" applyAlignment="1">
      <alignment horizontal="center"/>
    </xf>
    <xf numFmtId="0" fontId="0" fillId="0" borderId="4" xfId="0" applyFont="1" applyFill="1" applyBorder="1" applyAlignment="1">
      <alignment horizontal="left"/>
    </xf>
    <xf numFmtId="0" fontId="11" fillId="0" borderId="1" xfId="0" applyFont="1" applyFill="1" applyBorder="1" applyAlignment="1">
      <alignment horizontal="left"/>
    </xf>
    <xf numFmtId="0" fontId="19" fillId="0" borderId="0" xfId="0" applyFont="1"/>
    <xf numFmtId="0" fontId="13" fillId="0" borderId="6" xfId="0" applyFont="1" applyBorder="1"/>
    <xf numFmtId="0" fontId="20" fillId="0" borderId="8" xfId="0" applyFont="1" applyBorder="1"/>
    <xf numFmtId="0" fontId="20" fillId="0" borderId="7" xfId="0" applyFont="1" applyBorder="1"/>
    <xf numFmtId="0" fontId="20" fillId="0" borderId="5" xfId="0" applyFont="1" applyBorder="1"/>
    <xf numFmtId="0" fontId="13" fillId="0" borderId="16" xfId="0" applyFont="1" applyBorder="1"/>
    <xf numFmtId="0" fontId="20" fillId="0" borderId="3" xfId="0" applyFont="1" applyBorder="1"/>
    <xf numFmtId="0" fontId="20" fillId="0" borderId="0" xfId="0" applyFont="1" applyBorder="1"/>
    <xf numFmtId="0" fontId="11" fillId="0" borderId="0" xfId="0" applyFont="1"/>
    <xf numFmtId="0" fontId="13" fillId="0" borderId="5" xfId="0" applyFont="1" applyBorder="1"/>
    <xf numFmtId="0" fontId="13" fillId="0" borderId="0" xfId="0" applyFont="1"/>
    <xf numFmtId="0" fontId="0" fillId="0" borderId="0" xfId="0" applyFont="1" applyFill="1"/>
    <xf numFmtId="0" fontId="0" fillId="0" borderId="0" xfId="0" applyFont="1" applyFill="1" applyBorder="1"/>
    <xf numFmtId="0" fontId="20" fillId="3" borderId="0" xfId="0" applyFont="1" applyFill="1"/>
    <xf numFmtId="0" fontId="0" fillId="7" borderId="4" xfId="0" applyFill="1" applyBorder="1" applyAlignment="1">
      <alignment horizontal="center"/>
    </xf>
    <xf numFmtId="0" fontId="16" fillId="5" borderId="4" xfId="0" applyFont="1" applyFill="1" applyBorder="1" applyAlignment="1">
      <alignment horizontal="center"/>
    </xf>
    <xf numFmtId="0" fontId="22" fillId="0" borderId="13" xfId="0" applyFont="1" applyFill="1" applyBorder="1" applyAlignment="1">
      <alignment horizontal="left"/>
    </xf>
    <xf numFmtId="0" fontId="0" fillId="6" borderId="2" xfId="0" applyFont="1" applyFill="1" applyBorder="1" applyAlignment="1">
      <alignment horizontal="left"/>
    </xf>
    <xf numFmtId="0" fontId="2" fillId="6" borderId="2" xfId="0" applyFont="1" applyFill="1" applyBorder="1" applyAlignment="1">
      <alignment horizontal="center"/>
    </xf>
    <xf numFmtId="0" fontId="21" fillId="6" borderId="4" xfId="0" applyFont="1" applyFill="1" applyBorder="1" applyAlignment="1">
      <alignment horizontal="center"/>
    </xf>
    <xf numFmtId="166" fontId="10" fillId="6" borderId="0" xfId="0" applyNumberFormat="1" applyFont="1" applyFill="1" applyAlignment="1">
      <alignment horizontal="center"/>
    </xf>
    <xf numFmtId="0" fontId="2" fillId="0" borderId="0" xfId="0" applyFont="1"/>
    <xf numFmtId="0" fontId="0" fillId="8" borderId="0" xfId="0" applyFill="1" applyAlignment="1">
      <alignment horizontal="center"/>
    </xf>
    <xf numFmtId="0" fontId="23" fillId="0" borderId="0" xfId="0" applyFont="1"/>
    <xf numFmtId="0" fontId="2" fillId="0" borderId="0" xfId="0" applyFont="1" applyAlignment="1">
      <alignment horizontal="center"/>
    </xf>
    <xf numFmtId="0" fontId="1" fillId="0" borderId="0" xfId="0" applyFont="1" applyAlignment="1">
      <alignment horizontal="center"/>
    </xf>
    <xf numFmtId="165" fontId="2" fillId="0" borderId="0" xfId="0" applyNumberFormat="1" applyFont="1" applyFill="1" applyBorder="1" applyAlignment="1">
      <alignment horizontal="center" wrapText="1"/>
    </xf>
    <xf numFmtId="0" fontId="2" fillId="9" borderId="0" xfId="0" applyFont="1" applyFill="1" applyAlignment="1">
      <alignment horizontal="center"/>
    </xf>
    <xf numFmtId="0" fontId="0" fillId="9" borderId="0" xfId="0" applyFill="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2" fillId="9" borderId="0" xfId="0" applyFont="1" applyFill="1" applyAlignment="1">
      <alignment horizontal="left"/>
    </xf>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2" xfId="0" applyFont="1" applyFill="1" applyBorder="1" applyAlignment="1">
      <alignment horizontal="center"/>
    </xf>
    <xf numFmtId="2" fontId="2" fillId="9" borderId="0" xfId="0" applyNumberFormat="1" applyFont="1" applyFill="1" applyAlignment="1">
      <alignment horizontal="center"/>
    </xf>
    <xf numFmtId="0" fontId="0" fillId="9" borderId="0" xfId="0" applyFill="1" applyBorder="1" applyAlignment="1"/>
    <xf numFmtId="166" fontId="0" fillId="9" borderId="0" xfId="0" applyNumberFormat="1" applyFill="1" applyBorder="1" applyAlignment="1">
      <alignment horizontal="center"/>
    </xf>
    <xf numFmtId="0" fontId="15" fillId="9" borderId="0" xfId="0" applyFont="1" applyFill="1" applyAlignment="1">
      <alignment horizontal="center"/>
    </xf>
    <xf numFmtId="2" fontId="2" fillId="9" borderId="0" xfId="0" applyNumberFormat="1" applyFont="1" applyFill="1" applyBorder="1" applyAlignment="1">
      <alignment horizontal="center"/>
    </xf>
    <xf numFmtId="0" fontId="0" fillId="9" borderId="0" xfId="0" applyFill="1"/>
    <xf numFmtId="0" fontId="2" fillId="9" borderId="0" xfId="0" applyFont="1" applyFill="1"/>
    <xf numFmtId="166" fontId="10" fillId="9" borderId="0" xfId="0" applyNumberFormat="1" applyFont="1" applyFill="1" applyAlignment="1">
      <alignment horizontal="center"/>
    </xf>
    <xf numFmtId="166" fontId="2" fillId="9" borderId="0" xfId="0" applyNumberFormat="1" applyFont="1" applyFill="1" applyAlignment="1">
      <alignment horizontal="center"/>
    </xf>
    <xf numFmtId="165" fontId="2" fillId="9" borderId="0" xfId="0" applyNumberFormat="1" applyFont="1" applyFill="1" applyAlignment="1">
      <alignment horizontal="center"/>
    </xf>
    <xf numFmtId="164" fontId="2" fillId="9" borderId="0" xfId="0" applyNumberFormat="1" applyFont="1" applyFill="1"/>
    <xf numFmtId="0" fontId="0" fillId="9" borderId="0" xfId="0" applyFont="1" applyFill="1"/>
    <xf numFmtId="166" fontId="2" fillId="9" borderId="0" xfId="0" applyNumberFormat="1" applyFont="1" applyFill="1"/>
    <xf numFmtId="2" fontId="2" fillId="9" borderId="0" xfId="0" applyNumberFormat="1" applyFont="1" applyFill="1"/>
    <xf numFmtId="165" fontId="2" fillId="9" borderId="0" xfId="0" applyNumberFormat="1" applyFont="1" applyFill="1"/>
    <xf numFmtId="11" fontId="2" fillId="9" borderId="0" xfId="0" applyNumberFormat="1" applyFont="1" applyFill="1"/>
    <xf numFmtId="1" fontId="2" fillId="9" borderId="0" xfId="0" applyNumberFormat="1" applyFont="1" applyFill="1"/>
  </cellXfs>
  <cellStyles count="4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B000000}"/>
    <cellStyle name="Normal 3" xfId="2"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alcChain" Target="calcChain.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22913931342499"/>
          <c:y val="0.13932480266033601"/>
          <c:w val="0.74941761057937695"/>
          <c:h val="0.81278229642517397"/>
        </c:manualLayout>
      </c:layout>
      <c:scatterChart>
        <c:scatterStyle val="lineMarker"/>
        <c:varyColors val="0"/>
        <c:ser>
          <c:idx val="4"/>
          <c:order val="0"/>
          <c:tx>
            <c:v>Sisson et al.</c:v>
          </c:tx>
          <c:spPr>
            <a:ln w="47625">
              <a:noFill/>
            </a:ln>
          </c:spPr>
          <c:marker>
            <c:symbol val="circle"/>
            <c:size val="16"/>
            <c:spPr>
              <a:solidFill>
                <a:schemeClr val="bg1">
                  <a:lumMod val="50000"/>
                </a:schemeClr>
              </a:solidFill>
              <a:ln>
                <a:solidFill>
                  <a:schemeClr val="tx1"/>
                </a:solidFill>
              </a:ln>
            </c:spPr>
          </c:marker>
          <c:xVal>
            <c:numRef>
              <c:f>'Cpx Input &amp; Models'!$AF$15:$AF$19</c:f>
              <c:numCache>
                <c:formatCode>0.0</c:formatCode>
                <c:ptCount val="5"/>
                <c:pt idx="0">
                  <c:v>1071.5501329487965</c:v>
                </c:pt>
                <c:pt idx="1">
                  <c:v>1016.0908589429026</c:v>
                </c:pt>
                <c:pt idx="2">
                  <c:v>981.61128339822528</c:v>
                </c:pt>
                <c:pt idx="3">
                  <c:v>1014.1707490003197</c:v>
                </c:pt>
                <c:pt idx="4">
                  <c:v>973.74551505150805</c:v>
                </c:pt>
              </c:numCache>
            </c:numRef>
          </c:xVal>
          <c:yVal>
            <c:numRef>
              <c:f>'Cpx Input &amp; Models'!$AG$15:$AG$19</c:f>
              <c:numCache>
                <c:formatCode>0.0</c:formatCode>
                <c:ptCount val="5"/>
                <c:pt idx="0">
                  <c:v>0.96064373117069501</c:v>
                </c:pt>
                <c:pt idx="1">
                  <c:v>1.5837308153621108</c:v>
                </c:pt>
                <c:pt idx="2">
                  <c:v>0.89559739579306941</c:v>
                </c:pt>
                <c:pt idx="3">
                  <c:v>0.9527080420877736</c:v>
                </c:pt>
                <c:pt idx="4">
                  <c:v>3.5815691040872855</c:v>
                </c:pt>
              </c:numCache>
            </c:numRef>
          </c:yVal>
          <c:smooth val="0"/>
          <c:extLst>
            <c:ext xmlns:c16="http://schemas.microsoft.com/office/drawing/2014/chart" uri="{C3380CC4-5D6E-409C-BE32-E72D297353CC}">
              <c16:uniqueId val="{00000000-7934-624B-9E38-D99989541035}"/>
            </c:ext>
          </c:extLst>
        </c:ser>
        <c:dLbls>
          <c:showLegendKey val="0"/>
          <c:showVal val="0"/>
          <c:showCatName val="0"/>
          <c:showSerName val="0"/>
          <c:showPercent val="0"/>
          <c:showBubbleSize val="0"/>
        </c:dLbls>
        <c:axId val="1844632808"/>
        <c:axId val="1848125224"/>
      </c:scatterChart>
      <c:valAx>
        <c:axId val="1844632808"/>
        <c:scaling>
          <c:orientation val="minMax"/>
          <c:max val="1200"/>
          <c:min val="850"/>
        </c:scaling>
        <c:delete val="0"/>
        <c:axPos val="t"/>
        <c:title>
          <c:tx>
            <c:rich>
              <a:bodyPr/>
              <a:lstStyle/>
              <a:p>
                <a:pPr>
                  <a:defRPr sz="2000" b="0"/>
                </a:pPr>
                <a:r>
                  <a:rPr lang="en-US" sz="2000" b="0"/>
                  <a:t>Temperature (</a:t>
                </a:r>
                <a:r>
                  <a:rPr lang="en-US" sz="2000" b="0" baseline="30000"/>
                  <a:t>o</a:t>
                </a:r>
                <a:r>
                  <a:rPr lang="en-US" sz="2000" b="0"/>
                  <a:t>C) </a:t>
                </a:r>
              </a:p>
            </c:rich>
          </c:tx>
          <c:layout>
            <c:manualLayout>
              <c:xMode val="edge"/>
              <c:yMode val="edge"/>
              <c:x val="0.40843131535486499"/>
              <c:y val="1.7415600332542001E-2"/>
            </c:manualLayout>
          </c:layout>
          <c:overlay val="0"/>
        </c:title>
        <c:numFmt formatCode="0" sourceLinked="0"/>
        <c:majorTickMark val="in"/>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1848125224"/>
        <c:crossesAt val="-4"/>
        <c:crossBetween val="midCat"/>
      </c:valAx>
      <c:valAx>
        <c:axId val="1848125224"/>
        <c:scaling>
          <c:orientation val="maxMin"/>
          <c:max val="17"/>
          <c:min val="-4"/>
        </c:scaling>
        <c:delete val="0"/>
        <c:axPos val="l"/>
        <c:title>
          <c:tx>
            <c:rich>
              <a:bodyPr rot="-5400000" vert="horz"/>
              <a:lstStyle/>
              <a:p>
                <a:pPr>
                  <a:defRPr sz="2000" b="0"/>
                </a:pPr>
                <a:r>
                  <a:rPr lang="en-US" sz="2000" b="0"/>
                  <a:t>Pressure (kbar)</a:t>
                </a:r>
              </a:p>
            </c:rich>
          </c:tx>
          <c:overlay val="0"/>
        </c:title>
        <c:numFmt formatCode="0" sourceLinked="0"/>
        <c:majorTickMark val="in"/>
        <c:minorTickMark val="none"/>
        <c:tickLblPos val="nextTo"/>
        <c:txPr>
          <a:bodyPr/>
          <a:lstStyle/>
          <a:p>
            <a:pPr>
              <a:defRPr sz="1400"/>
            </a:pPr>
            <a:endParaRPr lang="en-US"/>
          </a:p>
        </c:txPr>
        <c:crossAx val="1844632808"/>
        <c:crosses val="autoZero"/>
        <c:crossBetween val="midCat"/>
      </c:valAx>
      <c:spPr>
        <a:ln>
          <a:solidFill>
            <a:schemeClr val="tx1"/>
          </a:solidFill>
        </a:ln>
      </c:spPr>
    </c:plotArea>
    <c:legend>
      <c:legendPos val="r"/>
      <c:layout>
        <c:manualLayout>
          <c:xMode val="edge"/>
          <c:yMode val="edge"/>
          <c:x val="0.64640034995625495"/>
          <c:y val="0.76134750313073596"/>
          <c:w val="0.13355543890346999"/>
          <c:h val="5.4279244506201398E-2"/>
        </c:manualLayout>
      </c:layout>
      <c:overlay val="0"/>
      <c:spPr>
        <a:ln>
          <a:solidFill>
            <a:schemeClr val="tx1"/>
          </a:solidFill>
        </a:ln>
      </c:spPr>
      <c:txPr>
        <a:bodyPr/>
        <a:lstStyle/>
        <a:p>
          <a:pPr>
            <a:defRPr sz="1400"/>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27272727272701"/>
          <c:y val="1.04330092541249E-2"/>
          <c:w val="0.84040404040404004"/>
          <c:h val="0.64402595751349601"/>
        </c:manualLayout>
      </c:layout>
      <c:scatterChart>
        <c:scatterStyle val="lineMarker"/>
        <c:varyColors val="0"/>
        <c:ser>
          <c:idx val="3"/>
          <c:order val="0"/>
          <c:tx>
            <c:v>One-to-one line</c:v>
          </c:tx>
          <c:spPr>
            <a:ln w="12700">
              <a:solidFill>
                <a:srgbClr val="000000"/>
              </a:solidFill>
              <a:prstDash val="solid"/>
            </a:ln>
          </c:spPr>
          <c:marker>
            <c:symbol val="none"/>
          </c:marker>
          <c:xVal>
            <c:numRef>
              <c:f>'Cpx Input &amp; Models'!$BR$4:$BR$7</c:f>
              <c:numCache>
                <c:formatCode>General</c:formatCode>
                <c:ptCount val="4"/>
                <c:pt idx="0">
                  <c:v>0</c:v>
                </c:pt>
                <c:pt idx="1">
                  <c:v>0.1</c:v>
                </c:pt>
                <c:pt idx="2">
                  <c:v>0.5</c:v>
                </c:pt>
                <c:pt idx="3">
                  <c:v>1</c:v>
                </c:pt>
              </c:numCache>
            </c:numRef>
          </c:xVal>
          <c:yVal>
            <c:numRef>
              <c:f>'Cpx Input &amp; Models'!$BS$4:$BS$7</c:f>
              <c:numCache>
                <c:formatCode>General</c:formatCode>
                <c:ptCount val="4"/>
                <c:pt idx="0">
                  <c:v>0</c:v>
                </c:pt>
                <c:pt idx="1">
                  <c:v>0.1</c:v>
                </c:pt>
                <c:pt idx="2">
                  <c:v>0.5</c:v>
                </c:pt>
                <c:pt idx="3">
                  <c:v>1</c:v>
                </c:pt>
              </c:numCache>
            </c:numRef>
          </c:yVal>
          <c:smooth val="0"/>
          <c:extLst>
            <c:ext xmlns:c16="http://schemas.microsoft.com/office/drawing/2014/chart" uri="{C3380CC4-5D6E-409C-BE32-E72D297353CC}">
              <c16:uniqueId val="{00000000-AA88-2547-B4E2-1BF023952855}"/>
            </c:ext>
          </c:extLst>
        </c:ser>
        <c:ser>
          <c:idx val="0"/>
          <c:order val="1"/>
          <c:tx>
            <c:v>DiHd</c:v>
          </c:tx>
          <c:spPr>
            <a:ln>
              <a:noFill/>
            </a:ln>
          </c:spPr>
          <c:marker>
            <c:symbol val="square"/>
            <c:size val="12"/>
            <c:spPr>
              <a:solidFill>
                <a:schemeClr val="accent3">
                  <a:lumMod val="75000"/>
                </a:schemeClr>
              </a:solidFill>
              <a:ln>
                <a:solidFill>
                  <a:schemeClr val="tx1"/>
                </a:solidFill>
              </a:ln>
            </c:spPr>
          </c:marker>
          <c:xVal>
            <c:numRef>
              <c:f>'Cpx Input &amp; Models'!$BL$15:$BL$19</c:f>
              <c:numCache>
                <c:formatCode>0.00</c:formatCode>
                <c:ptCount val="5"/>
                <c:pt idx="0">
                  <c:v>0.82683671188343988</c:v>
                </c:pt>
                <c:pt idx="1">
                  <c:v>0.81130306805535424</c:v>
                </c:pt>
                <c:pt idx="2">
                  <c:v>0.7974226743968551</c:v>
                </c:pt>
                <c:pt idx="3">
                  <c:v>0.82447830069610495</c:v>
                </c:pt>
                <c:pt idx="4">
                  <c:v>0.81528921480177019</c:v>
                </c:pt>
              </c:numCache>
            </c:numRef>
          </c:xVal>
          <c:yVal>
            <c:numRef>
              <c:f>'Cpx Input &amp; Models'!$BT$15:$BT$19</c:f>
              <c:numCache>
                <c:formatCode>0.00</c:formatCode>
                <c:ptCount val="5"/>
                <c:pt idx="0">
                  <c:v>0.81443615119616952</c:v>
                </c:pt>
                <c:pt idx="1">
                  <c:v>0.81993860311791833</c:v>
                </c:pt>
                <c:pt idx="2">
                  <c:v>0.73267079503784271</c:v>
                </c:pt>
                <c:pt idx="3">
                  <c:v>0.79604878654085576</c:v>
                </c:pt>
                <c:pt idx="4">
                  <c:v>0.80669362461915617</c:v>
                </c:pt>
              </c:numCache>
            </c:numRef>
          </c:yVal>
          <c:smooth val="0"/>
          <c:extLst>
            <c:ext xmlns:c16="http://schemas.microsoft.com/office/drawing/2014/chart" uri="{C3380CC4-5D6E-409C-BE32-E72D297353CC}">
              <c16:uniqueId val="{00000001-AA88-2547-B4E2-1BF023952855}"/>
            </c:ext>
          </c:extLst>
        </c:ser>
        <c:ser>
          <c:idx val="1"/>
          <c:order val="2"/>
          <c:tx>
            <c:v>ENFS</c:v>
          </c:tx>
          <c:spPr>
            <a:ln>
              <a:noFill/>
            </a:ln>
          </c:spPr>
          <c:marker>
            <c:symbol val="square"/>
            <c:size val="12"/>
            <c:spPr>
              <a:solidFill>
                <a:schemeClr val="tx1"/>
              </a:solidFill>
              <a:ln>
                <a:solidFill>
                  <a:schemeClr val="tx1"/>
                </a:solidFill>
              </a:ln>
            </c:spPr>
          </c:marker>
          <c:xVal>
            <c:numRef>
              <c:f>'Cpx Input &amp; Models'!$BM$15:$BM$19</c:f>
              <c:numCache>
                <c:formatCode>0.00</c:formatCode>
                <c:ptCount val="5"/>
                <c:pt idx="0">
                  <c:v>9.6081536124996772E-2</c:v>
                </c:pt>
                <c:pt idx="1">
                  <c:v>9.4631397596101688E-2</c:v>
                </c:pt>
                <c:pt idx="2">
                  <c:v>0.15075184435524766</c:v>
                </c:pt>
                <c:pt idx="3">
                  <c:v>0.10986343149152779</c:v>
                </c:pt>
                <c:pt idx="4">
                  <c:v>7.2428622266528866E-2</c:v>
                </c:pt>
              </c:numCache>
            </c:numRef>
          </c:xVal>
          <c:yVal>
            <c:numRef>
              <c:f>'Cpx Input &amp; Models'!$BU$15:$BU$19</c:f>
              <c:numCache>
                <c:formatCode>0.00</c:formatCode>
                <c:ptCount val="5"/>
                <c:pt idx="0">
                  <c:v>0.10382693656686925</c:v>
                </c:pt>
                <c:pt idx="1">
                  <c:v>9.7220166294938348E-2</c:v>
                </c:pt>
                <c:pt idx="2">
                  <c:v>9.9544976148765063E-2</c:v>
                </c:pt>
                <c:pt idx="3">
                  <c:v>0.1145955081439623</c:v>
                </c:pt>
                <c:pt idx="4">
                  <c:v>0.10665186218694606</c:v>
                </c:pt>
              </c:numCache>
            </c:numRef>
          </c:yVal>
          <c:smooth val="0"/>
          <c:extLst>
            <c:ext xmlns:c16="http://schemas.microsoft.com/office/drawing/2014/chart" uri="{C3380CC4-5D6E-409C-BE32-E72D297353CC}">
              <c16:uniqueId val="{00000002-AA88-2547-B4E2-1BF023952855}"/>
            </c:ext>
          </c:extLst>
        </c:ser>
        <c:ser>
          <c:idx val="2"/>
          <c:order val="3"/>
          <c:tx>
            <c:v>CaTs</c:v>
          </c:tx>
          <c:spPr>
            <a:ln>
              <a:noFill/>
            </a:ln>
          </c:spPr>
          <c:marker>
            <c:symbol val="diamond"/>
            <c:size val="12"/>
            <c:spPr>
              <a:solidFill>
                <a:schemeClr val="bg1">
                  <a:lumMod val="75000"/>
                </a:schemeClr>
              </a:solidFill>
              <a:ln>
                <a:solidFill>
                  <a:schemeClr val="tx1"/>
                </a:solidFill>
              </a:ln>
            </c:spPr>
          </c:marker>
          <c:xVal>
            <c:numRef>
              <c:f>'Cpx Input &amp; Models'!$BN$15:$BN$19</c:f>
              <c:numCache>
                <c:formatCode>0.00</c:formatCode>
                <c:ptCount val="5"/>
                <c:pt idx="0">
                  <c:v>1.2052902017893692E-2</c:v>
                </c:pt>
                <c:pt idx="1">
                  <c:v>1.1180454468523057E-2</c:v>
                </c:pt>
                <c:pt idx="2">
                  <c:v>1.4659985899520181E-2</c:v>
                </c:pt>
                <c:pt idx="3">
                  <c:v>1.232901105388404E-2</c:v>
                </c:pt>
                <c:pt idx="4">
                  <c:v>9.6282008893305519E-3</c:v>
                </c:pt>
              </c:numCache>
            </c:numRef>
          </c:xVal>
          <c:yVal>
            <c:numRef>
              <c:f>'Cpx Input &amp; Models'!$BV$15:$BV$19</c:f>
              <c:numCache>
                <c:formatCode>0.00</c:formatCode>
                <c:ptCount val="5"/>
                <c:pt idx="0">
                  <c:v>3.0374796890280439E-2</c:v>
                </c:pt>
                <c:pt idx="1">
                  <c:v>3.6816947960874952E-2</c:v>
                </c:pt>
                <c:pt idx="2">
                  <c:v>9.1884663549011758E-2</c:v>
                </c:pt>
                <c:pt idx="3">
                  <c:v>4.5827315358557691E-2</c:v>
                </c:pt>
                <c:pt idx="4">
                  <c:v>4.3110290586671068E-2</c:v>
                </c:pt>
              </c:numCache>
            </c:numRef>
          </c:yVal>
          <c:smooth val="0"/>
          <c:extLst>
            <c:ext xmlns:c16="http://schemas.microsoft.com/office/drawing/2014/chart" uri="{C3380CC4-5D6E-409C-BE32-E72D297353CC}">
              <c16:uniqueId val="{00000003-AA88-2547-B4E2-1BF023952855}"/>
            </c:ext>
          </c:extLst>
        </c:ser>
        <c:dLbls>
          <c:showLegendKey val="0"/>
          <c:showVal val="0"/>
          <c:showCatName val="0"/>
          <c:showSerName val="0"/>
          <c:showPercent val="0"/>
          <c:showBubbleSize val="0"/>
        </c:dLbls>
        <c:axId val="1857291720"/>
        <c:axId val="1857297576"/>
      </c:scatterChart>
      <c:valAx>
        <c:axId val="1857291720"/>
        <c:scaling>
          <c:orientation val="minMax"/>
          <c:max val="1.1000000000000001"/>
          <c:min val="0"/>
        </c:scaling>
        <c:delete val="0"/>
        <c:axPos val="b"/>
        <c:title>
          <c:tx>
            <c:rich>
              <a:bodyPr/>
              <a:lstStyle/>
              <a:p>
                <a:pPr>
                  <a:defRPr sz="1600" b="0" i="0" u="none" strike="noStrike" baseline="0">
                    <a:solidFill>
                      <a:srgbClr val="000000"/>
                    </a:solidFill>
                    <a:latin typeface="Verdana"/>
                    <a:ea typeface="Verdana"/>
                    <a:cs typeface="Verdana"/>
                  </a:defRPr>
                </a:pPr>
                <a:r>
                  <a:rPr lang="en-US" sz="1600"/>
                  <a:t>Predicted Cpx Components</a:t>
                </a:r>
              </a:p>
            </c:rich>
          </c:tx>
          <c:layout>
            <c:manualLayout>
              <c:xMode val="edge"/>
              <c:yMode val="edge"/>
              <c:x val="0.32929229300882801"/>
              <c:y val="0.70205192660776605"/>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7576"/>
        <c:crosses val="autoZero"/>
        <c:crossBetween val="midCat"/>
      </c:valAx>
      <c:valAx>
        <c:axId val="1857297576"/>
        <c:scaling>
          <c:orientation val="minMax"/>
          <c:max val="1.1000000000000001"/>
          <c:min val="0"/>
        </c:scaling>
        <c:delete val="0"/>
        <c:axPos val="l"/>
        <c:title>
          <c:tx>
            <c:rich>
              <a:bodyPr/>
              <a:lstStyle/>
              <a:p>
                <a:pPr>
                  <a:defRPr sz="1600" b="0" i="0" u="none" strike="noStrike" baseline="0">
                    <a:solidFill>
                      <a:srgbClr val="000000"/>
                    </a:solidFill>
                    <a:latin typeface="Verdana"/>
                    <a:ea typeface="Verdana"/>
                    <a:cs typeface="Verdana"/>
                  </a:defRPr>
                </a:pPr>
                <a:r>
                  <a:rPr lang="en-US" sz="1600"/>
                  <a:t>Observed Cpx Components</a:t>
                </a:r>
              </a:p>
            </c:rich>
          </c:tx>
          <c:layout>
            <c:manualLayout>
              <c:xMode val="edge"/>
              <c:yMode val="edge"/>
              <c:x val="1.61616161616162E-2"/>
              <c:y val="0.18230071593163499"/>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857291720"/>
        <c:crosses val="autoZero"/>
        <c:crossBetween val="midCat"/>
      </c:valAx>
      <c:spPr>
        <a:noFill/>
        <a:ln w="12700">
          <a:solidFill>
            <a:srgbClr val="000000"/>
          </a:solidFill>
          <a:prstDash val="solid"/>
        </a:ln>
      </c:spPr>
    </c:plotArea>
    <c:legend>
      <c:legendPos val="r"/>
      <c:layout>
        <c:manualLayout>
          <c:xMode val="edge"/>
          <c:yMode val="edge"/>
          <c:x val="0.151821840451762"/>
          <c:y val="5.3208137715180001E-2"/>
          <c:w val="0.28777411914419798"/>
          <c:h val="0.15549246485034399"/>
        </c:manualLayout>
      </c:layout>
      <c:overlay val="0"/>
      <c:spPr>
        <a:solidFill>
          <a:srgbClr val="FFFFFF"/>
        </a:solidFill>
        <a:ln w="12700">
          <a:solidFill>
            <a:srgbClr val="000000"/>
          </a:solidFill>
          <a:prstDash val="solid"/>
        </a:ln>
      </c:spPr>
      <c:txPr>
        <a:bodyPr/>
        <a:lstStyle/>
        <a:p>
          <a:pPr>
            <a:defRPr sz="1400" b="0" i="0" u="none" strike="noStrike" baseline="0">
              <a:solidFill>
                <a:srgbClr val="000000"/>
              </a:solidFill>
              <a:latin typeface="Verdana"/>
              <a:ea typeface="Verdana"/>
              <a:cs typeface="Verdana"/>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Verdana"/>
          <a:ea typeface="Verdana"/>
          <a:cs typeface="Verdana"/>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92309799019104E-2"/>
          <c:y val="5.6571424844241651E-2"/>
          <c:w val="0.86233727505988"/>
          <c:h val="0.82624490940697204"/>
        </c:manualLayout>
      </c:layout>
      <c:scatterChart>
        <c:scatterStyle val="lineMarker"/>
        <c:varyColors val="0"/>
        <c:ser>
          <c:idx val="0"/>
          <c:order val="0"/>
          <c:spPr>
            <a:ln w="19050" cap="rnd">
              <a:solidFill>
                <a:schemeClr val="tx1"/>
              </a:solidFill>
              <a:round/>
            </a:ln>
            <a:effectLst/>
          </c:spPr>
          <c:marker>
            <c:symbol val="none"/>
          </c:marker>
          <c:xVal>
            <c:numRef>
              <c:f>'Cpx Input &amp; Models'!$IR$6:$IR$8</c:f>
              <c:numCache>
                <c:formatCode>General</c:formatCode>
                <c:ptCount val="3"/>
                <c:pt idx="0">
                  <c:v>1.1547005383792515</c:v>
                </c:pt>
                <c:pt idx="1">
                  <c:v>0</c:v>
                </c:pt>
                <c:pt idx="2">
                  <c:v>0.57735026918962573</c:v>
                </c:pt>
              </c:numCache>
            </c:numRef>
          </c:xVal>
          <c:yVal>
            <c:numRef>
              <c:f>'Cpx Input &amp; Models'!$IS$6:$IS$8</c:f>
              <c:numCache>
                <c:formatCode>General</c:formatCode>
                <c:ptCount val="3"/>
                <c:pt idx="0">
                  <c:v>0</c:v>
                </c:pt>
                <c:pt idx="1">
                  <c:v>0</c:v>
                </c:pt>
                <c:pt idx="2">
                  <c:v>1</c:v>
                </c:pt>
              </c:numCache>
            </c:numRef>
          </c:yVal>
          <c:smooth val="0"/>
          <c:extLst>
            <c:ext xmlns:c16="http://schemas.microsoft.com/office/drawing/2014/chart" uri="{C3380CC4-5D6E-409C-BE32-E72D297353CC}">
              <c16:uniqueId val="{00000003-D730-1C47-9227-443BB5285BD9}"/>
            </c:ext>
          </c:extLst>
        </c:ser>
        <c:ser>
          <c:idx val="1"/>
          <c:order val="1"/>
          <c:spPr>
            <a:ln w="19050">
              <a:solidFill>
                <a:schemeClr val="tx1"/>
              </a:solidFill>
            </a:ln>
          </c:spPr>
          <c:marker>
            <c:symbol val="none"/>
          </c:marker>
          <c:xVal>
            <c:numRef>
              <c:f>'Cpx Input &amp; Models'!$IR$10:$IR$11</c:f>
              <c:numCache>
                <c:formatCode>General</c:formatCode>
                <c:ptCount val="2"/>
                <c:pt idx="0">
                  <c:v>0.57735026918962573</c:v>
                </c:pt>
                <c:pt idx="1">
                  <c:v>1.1547005383792515</c:v>
                </c:pt>
              </c:numCache>
            </c:numRef>
          </c:xVal>
          <c:yVal>
            <c:numRef>
              <c:f>'Cpx Input &amp; Models'!$IS$10:$IS$11</c:f>
              <c:numCache>
                <c:formatCode>General</c:formatCode>
                <c:ptCount val="2"/>
                <c:pt idx="0">
                  <c:v>1</c:v>
                </c:pt>
                <c:pt idx="1">
                  <c:v>0</c:v>
                </c:pt>
              </c:numCache>
            </c:numRef>
          </c:yVal>
          <c:smooth val="0"/>
          <c:extLst>
            <c:ext xmlns:c16="http://schemas.microsoft.com/office/drawing/2014/chart" uri="{C3380CC4-5D6E-409C-BE32-E72D297353CC}">
              <c16:uniqueId val="{00000004-D730-1C47-9227-443BB5285BD9}"/>
            </c:ext>
          </c:extLst>
        </c:ser>
        <c:ser>
          <c:idx val="2"/>
          <c:order val="2"/>
          <c:spPr>
            <a:ln>
              <a:solidFill>
                <a:schemeClr val="tx1"/>
              </a:solidFill>
            </a:ln>
          </c:spPr>
          <c:marker>
            <c:symbol val="none"/>
          </c:marker>
          <c:xVal>
            <c:numRef>
              <c:f>'Cpx Input &amp; Models'!$IR$6:$IR$7</c:f>
              <c:numCache>
                <c:formatCode>General</c:formatCode>
                <c:ptCount val="2"/>
                <c:pt idx="0">
                  <c:v>1.1547005383792515</c:v>
                </c:pt>
                <c:pt idx="1">
                  <c:v>0</c:v>
                </c:pt>
              </c:numCache>
            </c:numRef>
          </c:xVal>
          <c:yVal>
            <c:numRef>
              <c:f>'Cpx Input &amp; Models'!$IS$6:$IS$7</c:f>
              <c:numCache>
                <c:formatCode>General</c:formatCode>
                <c:ptCount val="2"/>
                <c:pt idx="0">
                  <c:v>0</c:v>
                </c:pt>
                <c:pt idx="1">
                  <c:v>0</c:v>
                </c:pt>
              </c:numCache>
            </c:numRef>
          </c:yVal>
          <c:smooth val="0"/>
          <c:extLst>
            <c:ext xmlns:c16="http://schemas.microsoft.com/office/drawing/2014/chart" uri="{C3380CC4-5D6E-409C-BE32-E72D297353CC}">
              <c16:uniqueId val="{00000007-D730-1C47-9227-443BB5285BD9}"/>
            </c:ext>
          </c:extLst>
        </c:ser>
        <c:ser>
          <c:idx val="3"/>
          <c:order val="3"/>
          <c:spPr>
            <a:ln>
              <a:noFill/>
            </a:ln>
          </c:spPr>
          <c:marker>
            <c:symbol val="circle"/>
            <c:size val="11"/>
            <c:spPr>
              <a:noFill/>
              <a:ln>
                <a:solidFill>
                  <a:schemeClr val="tx1"/>
                </a:solidFill>
              </a:ln>
            </c:spPr>
          </c:marker>
          <c:xVal>
            <c:numRef>
              <c:f>'Cpx Input &amp; Models'!$IR$15:$IR$18</c:f>
              <c:numCache>
                <c:formatCode>General</c:formatCode>
                <c:ptCount val="4"/>
                <c:pt idx="0">
                  <c:v>0.3652153218329276</c:v>
                </c:pt>
                <c:pt idx="1">
                  <c:v>0.38154583018529487</c:v>
                </c:pt>
                <c:pt idx="2">
                  <c:v>0.41166801694210753</c:v>
                </c:pt>
                <c:pt idx="3">
                  <c:v>0.3725010522967086</c:v>
                </c:pt>
              </c:numCache>
            </c:numRef>
          </c:xVal>
          <c:yVal>
            <c:numRef>
              <c:f>'Cpx Input &amp; Models'!$IS$15:$IS$18</c:f>
              <c:numCache>
                <c:formatCode>General</c:formatCode>
                <c:ptCount val="4"/>
                <c:pt idx="0">
                  <c:v>0.46696085188782871</c:v>
                </c:pt>
                <c:pt idx="1">
                  <c:v>0.47173122562886988</c:v>
                </c:pt>
                <c:pt idx="2">
                  <c:v>0.49118256181776676</c:v>
                </c:pt>
                <c:pt idx="3">
                  <c:v>0.46384909867350554</c:v>
                </c:pt>
              </c:numCache>
            </c:numRef>
          </c:yVal>
          <c:smooth val="0"/>
          <c:extLst>
            <c:ext xmlns:c16="http://schemas.microsoft.com/office/drawing/2014/chart" uri="{C3380CC4-5D6E-409C-BE32-E72D297353CC}">
              <c16:uniqueId val="{00000009-D730-1C47-9227-443BB5285BD9}"/>
            </c:ext>
          </c:extLst>
        </c:ser>
        <c:ser>
          <c:idx val="4"/>
          <c:order val="4"/>
          <c:spPr>
            <a:ln w="19050">
              <a:solidFill>
                <a:schemeClr val="tx1"/>
              </a:solidFill>
            </a:ln>
          </c:spPr>
          <c:marker>
            <c:symbol val="none"/>
          </c:marker>
          <c:xVal>
            <c:numRef>
              <c:f>'Cpx Input &amp; Models'!$IR$4:$IR$5</c:f>
              <c:numCache>
                <c:formatCode>General</c:formatCode>
                <c:ptCount val="2"/>
                <c:pt idx="0">
                  <c:v>0.8660254037844386</c:v>
                </c:pt>
                <c:pt idx="1">
                  <c:v>0.28867513459481287</c:v>
                </c:pt>
              </c:numCache>
            </c:numRef>
          </c:xVal>
          <c:yVal>
            <c:numRef>
              <c:f>'Cpx Input &amp; Models'!$IS$4:$IS$5</c:f>
              <c:numCache>
                <c:formatCode>General</c:formatCode>
                <c:ptCount val="2"/>
                <c:pt idx="0">
                  <c:v>0.5</c:v>
                </c:pt>
                <c:pt idx="1">
                  <c:v>0.5</c:v>
                </c:pt>
              </c:numCache>
            </c:numRef>
          </c:yVal>
          <c:smooth val="0"/>
          <c:extLst>
            <c:ext xmlns:c16="http://schemas.microsoft.com/office/drawing/2014/chart" uri="{C3380CC4-5D6E-409C-BE32-E72D297353CC}">
              <c16:uniqueId val="{0000000A-D730-1C47-9227-443BB5285BD9}"/>
            </c:ext>
          </c:extLst>
        </c:ser>
        <c:dLbls>
          <c:showLegendKey val="0"/>
          <c:showVal val="0"/>
          <c:showCatName val="0"/>
          <c:showSerName val="0"/>
          <c:showPercent val="0"/>
          <c:showBubbleSize val="0"/>
        </c:dLbls>
        <c:axId val="1784382000"/>
        <c:axId val="1778507344"/>
      </c:scatterChart>
      <c:valAx>
        <c:axId val="1784382000"/>
        <c:scaling>
          <c:orientation val="minMax"/>
        </c:scaling>
        <c:delete val="1"/>
        <c:axPos val="b"/>
        <c:numFmt formatCode="General" sourceLinked="1"/>
        <c:majorTickMark val="none"/>
        <c:minorTickMark val="none"/>
        <c:tickLblPos val="nextTo"/>
        <c:crossAx val="1778507344"/>
        <c:crosses val="autoZero"/>
        <c:crossBetween val="midCat"/>
      </c:valAx>
      <c:valAx>
        <c:axId val="1778507344"/>
        <c:scaling>
          <c:orientation val="minMax"/>
        </c:scaling>
        <c:delete val="1"/>
        <c:axPos val="l"/>
        <c:numFmt formatCode="General" sourceLinked="1"/>
        <c:majorTickMark val="none"/>
        <c:minorTickMark val="none"/>
        <c:tickLblPos val="nextTo"/>
        <c:crossAx val="1784382000"/>
        <c:crosses val="autoZero"/>
        <c:crossBetween val="midCat"/>
      </c:valAx>
      <c:spPr>
        <a:ln>
          <a:noFill/>
        </a:ln>
      </c:spPr>
    </c:plotArea>
    <c:plotVisOnly val="1"/>
    <c:dispBlanksAs val="gap"/>
    <c:showDLblsOverMax val="0"/>
    <c:extLst/>
  </c:chart>
  <c:txPr>
    <a:bodyPr/>
    <a:lstStyle/>
    <a:p>
      <a:pPr>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899"/>
          <c:y val="4.13943355119826E-2"/>
          <c:w val="0.81616161616161598"/>
          <c:h val="0.82135076252723305"/>
        </c:manualLayout>
      </c:layout>
      <c:scatterChart>
        <c:scatterStyle val="lineMarker"/>
        <c:varyColors val="0"/>
        <c:ser>
          <c:idx val="3"/>
          <c:order val="0"/>
          <c:spPr>
            <a:ln>
              <a:noFill/>
            </a:ln>
          </c:spPr>
          <c:marker>
            <c:symbol val="circle"/>
            <c:size val="15"/>
            <c:spPr>
              <a:solidFill>
                <a:schemeClr val="bg1">
                  <a:lumMod val="65000"/>
                </a:schemeClr>
              </a:solidFill>
              <a:ln>
                <a:solidFill>
                  <a:schemeClr val="tx1"/>
                </a:solidFill>
              </a:ln>
            </c:spPr>
          </c:marker>
          <c:xVal>
            <c:numRef>
              <c:f>'Cpx Input &amp; Models'!$DM$15:$DM$19</c:f>
              <c:numCache>
                <c:formatCode>General</c:formatCode>
                <c:ptCount val="5"/>
                <c:pt idx="0">
                  <c:v>54.922594897140009</c:v>
                </c:pt>
                <c:pt idx="1">
                  <c:v>50.504401091479224</c:v>
                </c:pt>
                <c:pt idx="2">
                  <c:v>52.603330113254593</c:v>
                </c:pt>
                <c:pt idx="3">
                  <c:v>52.524768075204399</c:v>
                </c:pt>
                <c:pt idx="4">
                  <c:v>43.888277268649858</c:v>
                </c:pt>
              </c:numCache>
            </c:numRef>
          </c:xVal>
          <c:yVal>
            <c:numRef>
              <c:f>'Cpx Input &amp; Models'!$FU$15:$FU$19</c:f>
              <c:numCache>
                <c:formatCode>0.0000</c:formatCode>
                <c:ptCount val="5"/>
                <c:pt idx="0">
                  <c:v>84.465433559997138</c:v>
                </c:pt>
                <c:pt idx="1">
                  <c:v>82.099496805082822</c:v>
                </c:pt>
                <c:pt idx="2">
                  <c:v>78.199709490141913</c:v>
                </c:pt>
                <c:pt idx="3">
                  <c:v>83.088562443091433</c:v>
                </c:pt>
                <c:pt idx="4">
                  <c:v>77.78744811282499</c:v>
                </c:pt>
              </c:numCache>
            </c:numRef>
          </c:yVal>
          <c:smooth val="0"/>
          <c:extLst>
            <c:ext xmlns:c16="http://schemas.microsoft.com/office/drawing/2014/chart" uri="{C3380CC4-5D6E-409C-BE32-E72D297353CC}">
              <c16:uniqueId val="{00000000-D6B3-2943-B418-B6B09E839F7A}"/>
            </c:ext>
          </c:extLst>
        </c:ser>
        <c:ser>
          <c:idx val="4"/>
          <c:order val="1"/>
          <c:spPr>
            <a:ln>
              <a:prstDash val="dash"/>
            </a:ln>
          </c:spPr>
          <c:marker>
            <c:symbol val="none"/>
          </c:marker>
          <c:xVal>
            <c:numRef>
              <c:f>'Rhodes Diag Calcs'!$H$10:$H$41</c:f>
              <c:numCache>
                <c:formatCode>General</c:formatCode>
                <c:ptCount val="32"/>
                <c:pt idx="0">
                  <c:v>0</c:v>
                </c:pt>
                <c:pt idx="1">
                  <c:v>2.3437500000000004</c:v>
                </c:pt>
                <c:pt idx="2">
                  <c:v>4.5801526717557257</c:v>
                </c:pt>
                <c:pt idx="3">
                  <c:v>6.7164179104477615</c:v>
                </c:pt>
                <c:pt idx="4">
                  <c:v>8.7591240875912408</c:v>
                </c:pt>
                <c:pt idx="5">
                  <c:v>10.714285714285715</c:v>
                </c:pt>
                <c:pt idx="6">
                  <c:v>12.587412587412588</c:v>
                </c:pt>
                <c:pt idx="7">
                  <c:v>14.383561643835618</c:v>
                </c:pt>
                <c:pt idx="8">
                  <c:v>16.107382550335572</c:v>
                </c:pt>
                <c:pt idx="9">
                  <c:v>17.763157894736842</c:v>
                </c:pt>
                <c:pt idx="10">
                  <c:v>19.354838709677423</c:v>
                </c:pt>
                <c:pt idx="11">
                  <c:v>20.886075949367093</c:v>
                </c:pt>
                <c:pt idx="12">
                  <c:v>22.36024844720497</c:v>
                </c:pt>
                <c:pt idx="13">
                  <c:v>23.780487804878053</c:v>
                </c:pt>
                <c:pt idx="14">
                  <c:v>25.149700598802394</c:v>
                </c:pt>
                <c:pt idx="15">
                  <c:v>26.47058823529412</c:v>
                </c:pt>
                <c:pt idx="16">
                  <c:v>27.745664739884393</c:v>
                </c:pt>
                <c:pt idx="17">
                  <c:v>28.977272727272734</c:v>
                </c:pt>
                <c:pt idx="18">
                  <c:v>34.554973821989535</c:v>
                </c:pt>
                <c:pt idx="19">
                  <c:v>39.320388349514566</c:v>
                </c:pt>
                <c:pt idx="20">
                  <c:v>43.438914027149323</c:v>
                </c:pt>
                <c:pt idx="21">
                  <c:v>47.033898305084747</c:v>
                </c:pt>
                <c:pt idx="22">
                  <c:v>50.199203187251008</c:v>
                </c:pt>
                <c:pt idx="23">
                  <c:v>55.516014234875449</c:v>
                </c:pt>
                <c:pt idx="24">
                  <c:v>59.80707395498392</c:v>
                </c:pt>
                <c:pt idx="25">
                  <c:v>63.343108504398828</c:v>
                </c:pt>
                <c:pt idx="26">
                  <c:v>70.588235294117652</c:v>
                </c:pt>
                <c:pt idx="27">
                  <c:v>82.758620689655174</c:v>
                </c:pt>
                <c:pt idx="28">
                  <c:v>90.566037735849051</c:v>
                </c:pt>
                <c:pt idx="29">
                  <c:v>95.049504950495049</c:v>
                </c:pt>
                <c:pt idx="30">
                  <c:v>97.959183673469397</c:v>
                </c:pt>
                <c:pt idx="31">
                  <c:v>99.585062240663902</c:v>
                </c:pt>
              </c:numCache>
            </c:numRef>
          </c:xVal>
          <c:yVal>
            <c:numRef>
              <c:f>'Rhodes Diag Calcs'!$I$10:$I$41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1-D6B3-2943-B418-B6B09E839F7A}"/>
            </c:ext>
          </c:extLst>
        </c:ser>
        <c:ser>
          <c:idx val="5"/>
          <c:order val="2"/>
          <c:marker>
            <c:symbol val="none"/>
          </c:marker>
          <c:xVal>
            <c:numRef>
              <c:f>'Rhodes Diag Calcs'!$C$10:$C$41</c:f>
              <c:numCache>
                <c:formatCode>General</c:formatCode>
                <c:ptCount val="32"/>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pt idx="31">
                  <c:v>99.630996309963095</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D6B3-2943-B418-B6B09E839F7A}"/>
            </c:ext>
          </c:extLst>
        </c:ser>
        <c:ser>
          <c:idx val="0"/>
          <c:order val="3"/>
          <c:spPr>
            <a:ln>
              <a:prstDash val="dash"/>
            </a:ln>
          </c:spPr>
          <c:marker>
            <c:symbol val="none"/>
          </c:marker>
          <c:xVal>
            <c:numRef>
              <c:f>'Rhodes Diag Calcs'!$M$10:$M$41</c:f>
              <c:numCache>
                <c:formatCode>General</c:formatCode>
                <c:ptCount val="32"/>
                <c:pt idx="0">
                  <c:v>0</c:v>
                </c:pt>
                <c:pt idx="1">
                  <c:v>2.9126213592233015</c:v>
                </c:pt>
                <c:pt idx="2">
                  <c:v>5.6603773584905666</c:v>
                </c:pt>
                <c:pt idx="3">
                  <c:v>8.2568807339449553</c:v>
                </c:pt>
                <c:pt idx="4">
                  <c:v>10.714285714285715</c:v>
                </c:pt>
                <c:pt idx="5">
                  <c:v>13.043478260869568</c:v>
                </c:pt>
                <c:pt idx="6">
                  <c:v>15.254237288135597</c:v>
                </c:pt>
                <c:pt idx="7">
                  <c:v>17.355371900826448</c:v>
                </c:pt>
                <c:pt idx="8">
                  <c:v>19.354838709677423</c:v>
                </c:pt>
                <c:pt idx="9">
                  <c:v>21.259842519685044</c:v>
                </c:pt>
                <c:pt idx="10">
                  <c:v>23.07692307692308</c:v>
                </c:pt>
                <c:pt idx="11">
                  <c:v>24.812030075187973</c:v>
                </c:pt>
                <c:pt idx="12">
                  <c:v>26.47058823529412</c:v>
                </c:pt>
                <c:pt idx="13">
                  <c:v>28.057553956834536</c:v>
                </c:pt>
                <c:pt idx="14">
                  <c:v>29.577464788732399</c:v>
                </c:pt>
                <c:pt idx="15">
                  <c:v>31.03448275862069</c:v>
                </c:pt>
                <c:pt idx="16">
                  <c:v>32.432432432432435</c:v>
                </c:pt>
                <c:pt idx="17">
                  <c:v>33.774834437086092</c:v>
                </c:pt>
                <c:pt idx="18">
                  <c:v>39.759036144578317</c:v>
                </c:pt>
                <c:pt idx="19">
                  <c:v>44.751381215469621</c:v>
                </c:pt>
                <c:pt idx="20">
                  <c:v>48.979591836734699</c:v>
                </c:pt>
                <c:pt idx="21">
                  <c:v>52.606635071090054</c:v>
                </c:pt>
                <c:pt idx="22">
                  <c:v>55.752212389380539</c:v>
                </c:pt>
                <c:pt idx="23">
                  <c:v>60.9375</c:v>
                </c:pt>
                <c:pt idx="24">
                  <c:v>65.03496503496504</c:v>
                </c:pt>
                <c:pt idx="25">
                  <c:v>68.354430379746844</c:v>
                </c:pt>
                <c:pt idx="26">
                  <c:v>75.000000000000014</c:v>
                </c:pt>
                <c:pt idx="27">
                  <c:v>85.714285714285722</c:v>
                </c:pt>
                <c:pt idx="28">
                  <c:v>92.307692307692307</c:v>
                </c:pt>
                <c:pt idx="29">
                  <c:v>96</c:v>
                </c:pt>
                <c:pt idx="30">
                  <c:v>98.360655737704917</c:v>
                </c:pt>
                <c:pt idx="31">
                  <c:v>99.667774086378742</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3-D6B3-2943-B418-B6B09E839F7A}"/>
            </c:ext>
          </c:extLst>
        </c:ser>
        <c:dLbls>
          <c:showLegendKey val="0"/>
          <c:showVal val="0"/>
          <c:showCatName val="0"/>
          <c:showSerName val="0"/>
          <c:showPercent val="0"/>
          <c:showBubbleSize val="0"/>
        </c:dLbls>
        <c:axId val="1857223080"/>
        <c:axId val="1857229320"/>
      </c:scatterChart>
      <c:valAx>
        <c:axId val="1857223080"/>
        <c:scaling>
          <c:orientation val="minMax"/>
          <c:max val="100"/>
        </c:scaling>
        <c:delete val="0"/>
        <c:axPos val="b"/>
        <c:title>
          <c:tx>
            <c:rich>
              <a:bodyPr/>
              <a:lstStyle/>
              <a:p>
                <a:pPr>
                  <a:defRPr sz="1800" b="0" i="0" u="none" strike="noStrike" baseline="0">
                    <a:solidFill>
                      <a:srgbClr val="000000"/>
                    </a:solidFill>
                    <a:latin typeface="Verdana"/>
                    <a:ea typeface="Verdana"/>
                    <a:cs typeface="Verdana"/>
                  </a:defRPr>
                </a:pPr>
                <a:r>
                  <a:rPr lang="en-US" sz="1800" b="0"/>
                  <a:t>100xMg# Liquid</a:t>
                </a:r>
              </a:p>
            </c:rich>
          </c:tx>
          <c:layout>
            <c:manualLayout>
              <c:xMode val="edge"/>
              <c:yMode val="edge"/>
              <c:x val="0.41414141414141398"/>
              <c:y val="0.92810457516339895"/>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9320"/>
        <c:crosses val="autoZero"/>
        <c:crossBetween val="midCat"/>
      </c:valAx>
      <c:valAx>
        <c:axId val="1857229320"/>
        <c:scaling>
          <c:orientation val="minMax"/>
          <c:max val="100"/>
        </c:scaling>
        <c:delete val="0"/>
        <c:axPos val="l"/>
        <c:title>
          <c:tx>
            <c:rich>
              <a:bodyPr/>
              <a:lstStyle/>
              <a:p>
                <a:pPr>
                  <a:defRPr sz="1800" b="0" i="0" u="none" strike="noStrike" baseline="0">
                    <a:solidFill>
                      <a:srgbClr val="000000"/>
                    </a:solidFill>
                    <a:latin typeface="Verdana"/>
                    <a:ea typeface="Verdana"/>
                    <a:cs typeface="Verdana"/>
                  </a:defRPr>
                </a:pPr>
                <a:r>
                  <a:rPr lang="en-US" sz="1800" b="0"/>
                  <a:t>100xMg# Olivine</a:t>
                </a:r>
              </a:p>
            </c:rich>
          </c:tx>
          <c:layout>
            <c:manualLayout>
              <c:xMode val="edge"/>
              <c:yMode val="edge"/>
              <c:x val="1.8181818181818198E-2"/>
              <c:y val="0.29847494553376902"/>
            </c:manualLayout>
          </c:layout>
          <c:overlay val="0"/>
          <c:spPr>
            <a:noFill/>
            <a:ln w="25400">
              <a:noFill/>
            </a:ln>
          </c:spPr>
        </c:title>
        <c:numFmt formatCode="0" sourceLinked="0"/>
        <c:majorTickMark val="in"/>
        <c:minorTickMark val="none"/>
        <c:tickLblPos val="nextTo"/>
        <c:spPr>
          <a:ln w="25400">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857223080"/>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25" workbookViewId="0"/>
  </sheetViews>
  <pageMargins left="0.75" right="0.75" top="1" bottom="1" header="0.5" footer="0.5"/>
  <pageSetup orientation="portrait"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DEAB69A-08D3-594B-B52E-DAA34DF2A831}">
  <sheetPr/>
  <sheetViews>
    <sheetView zoomScale="9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50800</xdr:rowOff>
    </xdr:from>
    <xdr:to>
      <xdr:col>10</xdr:col>
      <xdr:colOff>422266</xdr:colOff>
      <xdr:row>54</xdr:row>
      <xdr:rowOff>130182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800" y="50800"/>
          <a:ext cx="9893300" cy="900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0" strike="noStrike">
              <a:solidFill>
                <a:srgbClr val="000000"/>
              </a:solidFill>
              <a:latin typeface="Calibri"/>
              <a:ea typeface="Calibri"/>
              <a:cs typeface="Calibri"/>
            </a:rPr>
            <a:t>Instructions for Estimating P and T Using Clinopyroxene-based Thermobarometers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see: Putirka, K. (2008) Thermometers and Barometers for Volcanic Systems. In: Putirka, K., Tepley, F. (Eds.), Minerals, Inclusions and Volcanic Processes, Reviews in Mineralogy and Geochemistry, Mineralogical Soc. Am., v. 69, pp. 61-120,</a:t>
          </a:r>
          <a:r>
            <a:rPr lang="en-US" sz="1200" b="0" i="0" strike="noStrike" baseline="0">
              <a:solidFill>
                <a:srgbClr val="000000"/>
              </a:solidFill>
              <a:latin typeface="Calibri"/>
              <a:ea typeface="Calibri"/>
              <a:cs typeface="Calibri"/>
            </a:rPr>
            <a:t> and Neave and Putirka....</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1) Enter a nominal liquid composition in columns F-Q, leaving blank any oxides that are not available. The “liquid” could be the composition of a glass, or the whole rock, or some calculated composition – use whatever you think is most likely to be in equilibrium with a given clinopyroxene:</a:t>
          </a:r>
        </a:p>
        <a:p>
          <a:pPr algn="l" rtl="0">
            <a:defRPr sz="1000"/>
          </a:pPr>
          <a:r>
            <a:rPr lang="en-US" sz="1200" b="0" i="0" strike="noStrike">
              <a:solidFill>
                <a:srgbClr val="000000"/>
              </a:solidFill>
              <a:latin typeface="Calibri"/>
              <a:ea typeface="Calibri"/>
              <a:cs typeface="Calibri"/>
            </a:rPr>
            <a:t>2)</a:t>
          </a:r>
          <a:r>
            <a:rPr lang="en-US" sz="1200" b="0" i="0" strike="noStrike" baseline="0">
              <a:solidFill>
                <a:srgbClr val="000000"/>
              </a:solidFill>
              <a:latin typeface="Calibri"/>
              <a:ea typeface="Calibri"/>
              <a:cs typeface="Calibri"/>
            </a:rPr>
            <a:t> Enter an equilibrium cpx composition</a:t>
          </a:r>
          <a:r>
            <a:rPr lang="en-US" sz="1200" b="0" i="0" strike="noStrike">
              <a:solidFill>
                <a:srgbClr val="000000"/>
              </a:solidFill>
              <a:latin typeface="Calibri"/>
              <a:ea typeface="Calibri"/>
              <a:cs typeface="Calibri"/>
            </a:rPr>
            <a:t> in columns T - AC. Consider</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but</a:t>
          </a:r>
          <a:r>
            <a:rPr lang="en-US" sz="1200" b="0" i="0" strike="noStrike" baseline="0">
              <a:solidFill>
                <a:srgbClr val="000000"/>
              </a:solidFill>
              <a:latin typeface="Calibri"/>
              <a:ea typeface="Calibri"/>
              <a:cs typeface="Calibri"/>
            </a:rPr>
            <a:t> of course not be wedded to)</a:t>
          </a:r>
          <a:r>
            <a:rPr lang="en-US" sz="1200" b="0" i="0" strike="noStrike">
              <a:solidFill>
                <a:srgbClr val="000000"/>
              </a:solidFill>
              <a:latin typeface="Calibri"/>
              <a:ea typeface="Calibri"/>
              <a:cs typeface="Calibri"/>
            </a:rPr>
            <a:t> matching mineral rims to matrix glass and mineral cores to whole rock compositions, at least to start.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Most</a:t>
          </a:r>
          <a:r>
            <a:rPr lang="en-US" sz="1200" b="0" i="0" strike="noStrike" baseline="0">
              <a:solidFill>
                <a:srgbClr val="000000"/>
              </a:solidFill>
              <a:latin typeface="Calibri"/>
              <a:ea typeface="Calibri"/>
              <a:cs typeface="Calibri"/>
            </a:rPr>
            <a:t> cyrstals are not in equilibrium with their host whole rocks but it may be possible to find the correct liquid by comparing whole rock compositions along a liquid line of descent, in a variation diagram. On the assumption that the minerals in question are related to the liquid on such a trend, one can then obain the liquid by simply mixing variation proportions of observed end members until teh Fe-Mg exchange coefficient approaches 0.27-0.28 and the difference between predicted and observed DiHd values approach zero. If these two tests do not converge, it could be because of model error, or that none of the proposed compositions satisfy as a liquid.</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Columns</a:t>
          </a:r>
          <a:r>
            <a:rPr lang="en-US" sz="1200" b="0" i="0" strike="noStrike" baseline="0">
              <a:solidFill>
                <a:srgbClr val="000000"/>
              </a:solidFill>
              <a:latin typeface="Calibri"/>
              <a:ea typeface="Calibri"/>
              <a:cs typeface="Calibri"/>
            </a:rPr>
            <a:t> AF and AG provide P-T estimates using the new barometer of Neave and Putirka (2017), paired with Eqn. 33, a thermometer from Putirka (2008). </a:t>
          </a:r>
          <a:r>
            <a:rPr lang="en-US" sz="1200" b="0" i="0" strike="noStrike">
              <a:solidFill>
                <a:srgbClr val="000000"/>
              </a:solidFill>
              <a:latin typeface="Calibri"/>
              <a:ea typeface="Calibri"/>
              <a:cs typeface="Calibri"/>
            </a:rPr>
            <a:t>Other results, using earlier-calibrated</a:t>
          </a:r>
          <a:r>
            <a:rPr lang="en-US" sz="1200" b="0" i="0" strike="noStrike" baseline="0">
              <a:solidFill>
                <a:srgbClr val="000000"/>
              </a:solidFill>
              <a:latin typeface="Calibri"/>
              <a:ea typeface="Calibri"/>
              <a:cs typeface="Calibri"/>
            </a:rPr>
            <a:t> models, are shown in columns AV-BJ. </a:t>
          </a:r>
          <a:r>
            <a:rPr lang="en-US" sz="1200" b="0" i="0" strike="noStrike">
              <a:solidFill>
                <a:srgbClr val="000000"/>
              </a:solidFill>
              <a:latin typeface="Calibri"/>
              <a:ea typeface="Calibri"/>
              <a:cs typeface="Calibri"/>
            </a:rPr>
            <a:t>Default settings here,</a:t>
          </a:r>
          <a:r>
            <a:rPr lang="en-US" sz="1200" b="0" i="0" strike="noStrike" baseline="0">
              <a:solidFill>
                <a:srgbClr val="000000"/>
              </a:solidFill>
              <a:latin typeface="Calibri"/>
              <a:ea typeface="Calibri"/>
              <a:cs typeface="Calibri"/>
            </a:rPr>
            <a:t> are</a:t>
          </a:r>
          <a:r>
            <a:rPr lang="en-US" sz="1200" b="0" i="0" strike="noStrike">
              <a:solidFill>
                <a:srgbClr val="000000"/>
              </a:solidFill>
              <a:latin typeface="Calibri"/>
              <a:ea typeface="Calibri"/>
              <a:cs typeface="Calibri"/>
            </a:rPr>
            <a:t> that the models from Putirka</a:t>
          </a:r>
          <a:r>
            <a:rPr lang="en-US" sz="1200" b="0" i="0" strike="noStrike" baseline="0">
              <a:solidFill>
                <a:srgbClr val="000000"/>
              </a:solidFill>
              <a:latin typeface="Calibri"/>
              <a:ea typeface="Calibri"/>
              <a:cs typeface="Calibri"/>
            </a:rPr>
            <a:t> et a (1996) and from Putirka et al. (2003) are solved as two separate sets of P-T estimates. There is no problem with mixing thermometers and barometers.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If you would rather solve two other equations simultaneously, then change</a:t>
          </a:r>
          <a:r>
            <a:rPr lang="en-US" sz="1200" b="0" i="0" strike="noStrike" baseline="0">
              <a:solidFill>
                <a:srgbClr val="000000"/>
              </a:solidFill>
              <a:latin typeface="Calibri"/>
              <a:ea typeface="Calibri"/>
              <a:cs typeface="Calibri"/>
            </a:rPr>
            <a:t> the cell references to any of the models as appropriate</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1) </a:t>
          </a:r>
          <a:r>
            <a:rPr lang="en-US" sz="1200" b="0" i="0" u="sng" strike="noStrike">
              <a:solidFill>
                <a:srgbClr val="000000"/>
              </a:solidFill>
              <a:latin typeface="Calibri"/>
              <a:ea typeface="Calibri"/>
              <a:cs typeface="Calibri"/>
            </a:rPr>
            <a:t>The best test is to compare T or P estimates from independent equilibria</a:t>
          </a:r>
          <a:r>
            <a:rPr lang="en-US" sz="1200" b="0" i="0" u="none" strike="noStrike">
              <a:solidFill>
                <a:srgbClr val="000000"/>
              </a:solidFill>
              <a:latin typeface="Calibri"/>
              <a:ea typeface="Calibri"/>
              <a:cs typeface="Calibri"/>
            </a:rPr>
            <a:t>.</a:t>
          </a:r>
          <a:r>
            <a:rPr lang="en-US" sz="1200" b="0" i="0" u="none"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2</a:t>
          </a:r>
          <a:r>
            <a:rPr lang="en-US" sz="1200" b="0" i="0" u="sng" strike="noStrike">
              <a:solidFill>
                <a:srgbClr val="000000"/>
              </a:solidFill>
              <a:latin typeface="Calibri"/>
              <a:ea typeface="Calibri"/>
              <a:cs typeface="Calibri"/>
            </a:rPr>
            <a:t>) The Rhodes Diagram</a:t>
          </a:r>
          <a:r>
            <a:rPr lang="en-US" sz="1200" b="0" i="0" strike="noStrike">
              <a:solidFill>
                <a:srgbClr val="000000"/>
              </a:solidFill>
              <a:latin typeface="Calibri"/>
              <a:ea typeface="Calibri"/>
              <a:cs typeface="Calibri"/>
            </a:rPr>
            <a:t>.</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Tests for equilibrium between clinopyroxene and a nominal coexisting liquid can be made by comparing observed and predicted valuesof Fe and Mg contents,</a:t>
          </a:r>
          <a:r>
            <a:rPr lang="en-US" sz="1200" b="0" i="0" strike="noStrike" baseline="0">
              <a:solidFill>
                <a:srgbClr val="000000"/>
              </a:solidFill>
              <a:latin typeface="Calibri"/>
              <a:ea typeface="Calibri"/>
              <a:cs typeface="Calibri"/>
            </a:rPr>
            <a:t> illustrated as </a:t>
          </a:r>
          <a:r>
            <a:rPr lang="en-US" sz="1200" b="0" i="0" strike="noStrike">
              <a:solidFill>
                <a:srgbClr val="000000"/>
              </a:solidFill>
              <a:latin typeface="Calibri"/>
              <a:ea typeface="Calibri"/>
              <a:cs typeface="Calibri"/>
            </a:rPr>
            <a:t>a Fe-Mg exchange coefficient, 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 which should be close</a:t>
          </a:r>
          <a:r>
            <a:rPr lang="en-US" sz="1200" b="0" i="0" strike="noStrike" baseline="0">
              <a:solidFill>
                <a:srgbClr val="000000"/>
              </a:solidFill>
              <a:latin typeface="Calibri"/>
              <a:ea typeface="Calibri"/>
              <a:cs typeface="Calibri"/>
            </a:rPr>
            <a:t> to</a:t>
          </a:r>
          <a:r>
            <a:rPr lang="en-US" sz="1200" b="0" i="0" strike="noStrike">
              <a:solidFill>
                <a:srgbClr val="000000"/>
              </a:solidFill>
              <a:latin typeface="Calibri"/>
              <a:ea typeface="Calibri"/>
              <a:cs typeface="Calibri"/>
            </a:rPr>
            <a:t> 0.27±0.03. To make this test visiual, we use the Rhodes diagram (see chart titled "Rhodes Diag"). This is based on a comparison of Mg# for the liq and Cpx phases, and the curves shown in this diagram assume an</a:t>
          </a:r>
          <a:r>
            <a:rPr lang="en-US" sz="1200" b="0" i="0" strike="noStrike" baseline="0">
              <a:solidFill>
                <a:srgbClr val="000000"/>
              </a:solidFill>
              <a:latin typeface="Calibri"/>
              <a:ea typeface="Calibri"/>
              <a:cs typeface="Calibri"/>
            </a:rPr>
            <a:t> Fe-Mg eschange coefficient of 0.27 (see cell C4 in Rhodes Diag Calcs sheet). </a:t>
          </a:r>
          <a:r>
            <a:rPr lang="en-US" sz="1200" b="0" i="0" strike="noStrike">
              <a:solidFill>
                <a:srgbClr val="000000"/>
              </a:solidFill>
              <a:latin typeface="Calibri"/>
              <a:ea typeface="Calibri"/>
              <a:cs typeface="Calibri"/>
            </a:rPr>
            <a:t>In column I in the Cpx and Input</a:t>
          </a:r>
          <a:r>
            <a:rPr lang="en-US" sz="1200" b="0" i="0" strike="noStrike" baseline="0">
              <a:solidFill>
                <a:srgbClr val="000000"/>
              </a:solidFill>
              <a:latin typeface="Calibri"/>
              <a:ea typeface="Calibri"/>
              <a:cs typeface="Calibri"/>
            </a:rPr>
            <a:t> Models sheet</a:t>
          </a:r>
          <a:r>
            <a:rPr lang="en-US" sz="1200" b="0" i="0" strike="noStrike">
              <a:solidFill>
                <a:srgbClr val="000000"/>
              </a:solidFill>
              <a:latin typeface="Calibri"/>
              <a:ea typeface="Calibri"/>
              <a:cs typeface="Calibri"/>
            </a:rPr>
            <a:t>, Fe is entered as FeOt for total FeO; this is best in most cases, since all experimental data are treatd this way (even if at high oxygen fugacity).</a:t>
          </a:r>
          <a:r>
            <a:rPr lang="en-US" sz="1200" b="0" i="0" strike="noStrike" baseline="0">
              <a:solidFill>
                <a:srgbClr val="000000"/>
              </a:solidFill>
              <a:latin typeface="Calibri"/>
              <a:ea typeface="Calibri"/>
              <a:cs typeface="Calibri"/>
            </a:rPr>
            <a:t> I</a:t>
          </a:r>
          <a:r>
            <a:rPr lang="en-US" sz="1200" b="0" i="0" strike="noStrike">
              <a:solidFill>
                <a:srgbClr val="000000"/>
              </a:solidFill>
              <a:latin typeface="Calibri"/>
              <a:ea typeface="Calibri"/>
              <a:cs typeface="Calibri"/>
            </a:rPr>
            <a:t>f Fe3+ is significant, then the coefficient in cell G8 could be less than 1. Independent</a:t>
          </a:r>
          <a:r>
            <a:rPr lang="en-US" sz="1200" b="0" i="0" strike="noStrike" baseline="0">
              <a:solidFill>
                <a:srgbClr val="000000"/>
              </a:solidFill>
              <a:latin typeface="Calibri"/>
              <a:ea typeface="Calibri"/>
              <a:cs typeface="Calibri"/>
            </a:rPr>
            <a:t> of Fe3+ contents, if a liquid Fe content is expressed as Fe2O3, partly or wholly,</a:t>
          </a:r>
          <a:r>
            <a:rPr lang="en-US" sz="1200" b="0" i="0" strike="noStrike">
              <a:solidFill>
                <a:srgbClr val="000000"/>
              </a:solidFill>
              <a:latin typeface="Calibri"/>
              <a:ea typeface="Calibri"/>
              <a:cs typeface="Calibri"/>
            </a:rPr>
            <a:t> it is much easy</a:t>
          </a:r>
          <a:r>
            <a:rPr lang="en-US" sz="1200" b="0" i="0" strike="noStrike" baseline="0">
              <a:solidFill>
                <a:srgbClr val="000000"/>
              </a:solidFill>
              <a:latin typeface="Calibri"/>
              <a:ea typeface="Calibri"/>
              <a:cs typeface="Calibri"/>
            </a:rPr>
            <a:t> </a:t>
          </a:r>
          <a:r>
            <a:rPr lang="en-US" sz="1200" b="0" i="0" strike="noStrike">
              <a:solidFill>
                <a:srgbClr val="000000"/>
              </a:solidFill>
              <a:latin typeface="Calibri"/>
              <a:ea typeface="Calibri"/>
              <a:cs typeface="Calibri"/>
            </a:rPr>
            <a:t>to make the correction on the weight % side</a:t>
          </a:r>
          <a:r>
            <a:rPr lang="en-US" sz="1200" b="0" i="0" strike="noStrike" baseline="0">
              <a:solidFill>
                <a:srgbClr val="000000"/>
              </a:solidFill>
              <a:latin typeface="Calibri"/>
              <a:ea typeface="Calibri"/>
              <a:cs typeface="Calibri"/>
            </a:rPr>
            <a:t> using:</a:t>
          </a:r>
          <a:r>
            <a:rPr lang="en-US" sz="1200" b="0" i="0" strike="noStrike">
              <a:solidFill>
                <a:srgbClr val="000000"/>
              </a:solidFill>
              <a:latin typeface="Calibri"/>
              <a:ea typeface="Calibri"/>
              <a:cs typeface="Calibri"/>
            </a:rPr>
            <a:t> FeO=x(Fe2O3t), where x 0.8998 (I use 0.9).</a:t>
          </a:r>
          <a:r>
            <a:rPr lang="en-US" sz="1200" b="0" i="0" strike="noStrike" baseline="0">
              <a:solidFill>
                <a:srgbClr val="000000"/>
              </a:solidFill>
              <a:latin typeface="Calibri"/>
              <a:ea typeface="Calibri"/>
              <a:cs typeface="Calibri"/>
            </a:rPr>
            <a:t> If Fe is reported as both FeO and Fe2O3, then FeOt  = FeO + 0.9*Fe2O3. </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3) </a:t>
          </a:r>
          <a:r>
            <a:rPr lang="en-US" sz="1200" b="0" i="0" u="sng" strike="noStrike">
              <a:solidFill>
                <a:srgbClr val="000000"/>
              </a:solidFill>
              <a:latin typeface="Calibri"/>
              <a:ea typeface="Calibri"/>
              <a:cs typeface="Calibri"/>
            </a:rPr>
            <a:t>Comparin predicted and calculated mineral components. </a:t>
          </a:r>
          <a:r>
            <a:rPr lang="en-US" sz="1200" b="0" i="0" strike="noStrike">
              <a:solidFill>
                <a:srgbClr val="000000"/>
              </a:solidFill>
              <a:latin typeface="Calibri"/>
              <a:ea typeface="Calibri"/>
              <a:cs typeface="Calibri"/>
            </a:rPr>
            <a:t>Another, and perhaps better, test is to compare predicated and observed values for the clinopyroxene components (i.e., compare columns BL-BR with BT-BC (see the chart "Test of Equilibrium" for a graphical comparison). In theory,</a:t>
          </a:r>
          <a:r>
            <a:rPr lang="en-US" sz="1200" b="0" i="0" strike="noStrike" baseline="0">
              <a:solidFill>
                <a:srgbClr val="000000"/>
              </a:solidFill>
              <a:latin typeface="Calibri"/>
              <a:ea typeface="Calibri"/>
              <a:cs typeface="Calibri"/>
            </a:rPr>
            <a:t> if the system is equilibrated, the sum of calculated components in column BZ should equal 1 (but this sum, and its closeness to 1.0, does not seem to be a secure test of equilibrium).</a:t>
          </a:r>
          <a:r>
            <a:rPr lang="en-US" sz="1200" b="0" i="0" strike="noStrike">
              <a:solidFill>
                <a:srgbClr val="000000"/>
              </a:solidFill>
              <a:latin typeface="Calibri"/>
              <a:ea typeface="Calibri"/>
              <a:cs typeface="Calibri"/>
            </a:rPr>
            <a:t> For experimental data, various quantities that can be used as tests for equilibrium appear to be correlated; thus, if equilibrium or disequilibrium is indicated by one parameter, other parameters often (though not always) follow. However, in the RiMG volume, I show some instances for experimental data where the comparison of clinopyroxene components provides a more certain test than for K</a:t>
          </a:r>
          <a:r>
            <a:rPr lang="en-US" sz="1200" b="0" i="0" strike="noStrike" baseline="-25000">
              <a:solidFill>
                <a:srgbClr val="000000"/>
              </a:solidFill>
              <a:latin typeface="Calibri"/>
              <a:ea typeface="Calibri"/>
              <a:cs typeface="Calibri"/>
            </a:rPr>
            <a:t>D</a:t>
          </a:r>
          <a:r>
            <a:rPr lang="en-US" sz="1200" b="0" i="0" strike="noStrike">
              <a:solidFill>
                <a:srgbClr val="000000"/>
              </a:solidFill>
              <a:latin typeface="Calibri"/>
              <a:ea typeface="Calibri"/>
              <a:cs typeface="Calibri"/>
            </a:rPr>
            <a:t>(Fe-Mg)</a:t>
          </a:r>
          <a:r>
            <a:rPr lang="en-US" sz="1200" b="0" i="0" strike="noStrike" baseline="30000">
              <a:solidFill>
                <a:srgbClr val="000000"/>
              </a:solidFill>
              <a:latin typeface="Calibri"/>
              <a:ea typeface="Calibri"/>
              <a:cs typeface="Calibri"/>
            </a:rPr>
            <a:t>cpx-liq</a:t>
          </a:r>
          <a:r>
            <a:rPr lang="en-US" sz="1200" b="0" i="0" strike="noStrike">
              <a:solidFill>
                <a:srgbClr val="000000"/>
              </a:solidFill>
              <a:latin typeface="Calibri"/>
              <a:ea typeface="Calibri"/>
              <a:cs typeface="Calibri"/>
            </a:rPr>
            <a:t>.</a:t>
          </a: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89040" cy="811784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1919" cy="6285859"/>
    <xdr:graphicFrame macro="">
      <xdr:nvGraphicFramePr>
        <xdr:cNvPr id="2" name="Chart 1">
          <a:extLst>
            <a:ext uri="{FF2B5EF4-FFF2-40B4-BE49-F238E27FC236}">
              <a16:creationId xmlns:a16="http://schemas.microsoft.com/office/drawing/2014/main" id="{269F2BD7-4B90-FA42-A277-6FCEFC9F6A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0.41568</cdr:x>
      <cdr:y>0.12245</cdr:y>
    </cdr:from>
    <cdr:to>
      <cdr:x>0.49852</cdr:x>
      <cdr:y>0.2</cdr:y>
    </cdr:to>
    <cdr:sp macro="" textlink="">
      <cdr:nvSpPr>
        <cdr:cNvPr id="2" name="TextBox 1">
          <a:extLst xmlns:a="http://schemas.openxmlformats.org/drawingml/2006/main">
            <a:ext uri="{FF2B5EF4-FFF2-40B4-BE49-F238E27FC236}">
              <a16:creationId xmlns:a16="http://schemas.microsoft.com/office/drawing/2014/main" id="{2A7991A2-168B-6E4B-9815-25168FB46E1B}"/>
            </a:ext>
          </a:extLst>
        </cdr:cNvPr>
        <cdr:cNvSpPr txBox="1"/>
      </cdr:nvSpPr>
      <cdr:spPr>
        <a:xfrm xmlns:a="http://schemas.openxmlformats.org/drawingml/2006/main">
          <a:off x="3604747" y="769697"/>
          <a:ext cx="718384" cy="487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400"/>
            <a:t>Wo</a:t>
          </a:r>
        </a:p>
      </cdr:txBody>
    </cdr:sp>
  </cdr:relSizeAnchor>
  <cdr:relSizeAnchor xmlns:cdr="http://schemas.openxmlformats.org/drawingml/2006/chartDrawing">
    <cdr:from>
      <cdr:x>0.2174</cdr:x>
      <cdr:y>0.48563</cdr:y>
    </cdr:from>
    <cdr:to>
      <cdr:x>0.30024</cdr:x>
      <cdr:y>0.56318</cdr:y>
    </cdr:to>
    <cdr:sp macro="" textlink="">
      <cdr:nvSpPr>
        <cdr:cNvPr id="3"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1885244" y="3052619"/>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Di</a:t>
          </a:r>
        </a:p>
      </cdr:txBody>
    </cdr:sp>
  </cdr:relSizeAnchor>
  <cdr:relSizeAnchor xmlns:cdr="http://schemas.openxmlformats.org/drawingml/2006/chartDrawing">
    <cdr:from>
      <cdr:x>0.64195</cdr:x>
      <cdr:y>0.48971</cdr:y>
    </cdr:from>
    <cdr:to>
      <cdr:x>0.72479</cdr:x>
      <cdr:y>0.56727</cdr:y>
    </cdr:to>
    <cdr:sp macro="" textlink="">
      <cdr:nvSpPr>
        <cdr:cNvPr id="4"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5566962" y="3078276"/>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Hd</a:t>
          </a:r>
        </a:p>
      </cdr:txBody>
    </cdr:sp>
  </cdr:relSizeAnchor>
  <cdr:relSizeAnchor xmlns:cdr="http://schemas.openxmlformats.org/drawingml/2006/chartDrawing">
    <cdr:from>
      <cdr:x>0.05615</cdr:x>
      <cdr:y>0.87339</cdr:y>
    </cdr:from>
    <cdr:to>
      <cdr:x>0.13899</cdr:x>
      <cdr:y>0.95094</cdr:y>
    </cdr:to>
    <cdr:sp macro="" textlink="">
      <cdr:nvSpPr>
        <cdr:cNvPr id="5"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486962" y="5489992"/>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En</a:t>
          </a:r>
        </a:p>
      </cdr:txBody>
    </cdr:sp>
  </cdr:relSizeAnchor>
  <cdr:relSizeAnchor xmlns:cdr="http://schemas.openxmlformats.org/drawingml/2006/chartDrawing">
    <cdr:from>
      <cdr:x>0.81503</cdr:x>
      <cdr:y>0.8591</cdr:y>
    </cdr:from>
    <cdr:to>
      <cdr:x>0.89787</cdr:x>
      <cdr:y>0.93665</cdr:y>
    </cdr:to>
    <cdr:sp macro="" textlink="">
      <cdr:nvSpPr>
        <cdr:cNvPr id="6" name="TextBox 1">
          <a:extLst xmlns:a="http://schemas.openxmlformats.org/drawingml/2006/main">
            <a:ext uri="{FF2B5EF4-FFF2-40B4-BE49-F238E27FC236}">
              <a16:creationId xmlns:a16="http://schemas.microsoft.com/office/drawing/2014/main" id="{C8723E7F-34D0-974D-89E5-CC21C5698210}"/>
            </a:ext>
          </a:extLst>
        </cdr:cNvPr>
        <cdr:cNvSpPr txBox="1"/>
      </cdr:nvSpPr>
      <cdr:spPr>
        <a:xfrm xmlns:a="http://schemas.openxmlformats.org/drawingml/2006/main">
          <a:off x="7067871" y="5400194"/>
          <a:ext cx="718384" cy="487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t>Fs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1" workbookViewId="0">
      <selection activeCell="G52" sqref="G52"/>
    </sheetView>
  </sheetViews>
  <sheetFormatPr defaultColWidth="11" defaultRowHeight="12.6"/>
  <sheetData/>
  <phoneticPr fontId="3" type="noConversion"/>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3"/>
  <sheetViews>
    <sheetView tabSelected="1" topLeftCell="EL1" zoomScale="60" zoomScaleNormal="60" workbookViewId="0">
      <selection activeCell="FD10" sqref="FD10"/>
    </sheetView>
  </sheetViews>
  <sheetFormatPr defaultColWidth="10.7265625" defaultRowHeight="12.6"/>
  <cols>
    <col min="1" max="1" width="28.1796875" style="129" customWidth="1"/>
    <col min="2" max="2" width="16.7265625" style="129" customWidth="1"/>
    <col min="3" max="17" width="10.7265625" style="3"/>
    <col min="18" max="18" width="10.7265625" style="15"/>
    <col min="19" max="19" width="4.453125" customWidth="1"/>
    <col min="20" max="29" width="10.7265625" style="3"/>
    <col min="30" max="30" width="10.7265625" style="1"/>
    <col min="31" max="32" width="18.453125" style="27" customWidth="1"/>
    <col min="33" max="33" width="30.26953125" style="27" customWidth="1"/>
    <col min="34" max="35" width="15" style="27" customWidth="1"/>
    <col min="36" max="36" width="4.1796875" style="27" customWidth="1"/>
    <col min="37" max="37" width="14.453125" style="27" customWidth="1"/>
    <col min="38" max="38" width="18.453125" style="27" customWidth="1"/>
    <col min="39" max="39" width="1.453125" customWidth="1"/>
    <col min="40" max="40" width="18.453125" style="27" customWidth="1"/>
    <col min="41" max="41" width="7.1796875" style="27" customWidth="1"/>
    <col min="42" max="42" width="13.1796875" style="1" customWidth="1"/>
    <col min="43" max="43" width="2.453125" style="27" customWidth="1"/>
    <col min="44" max="44" width="19.1796875" style="27" customWidth="1"/>
    <col min="45" max="45" width="12.1796875" style="27" customWidth="1"/>
    <col min="46" max="46" width="18.453125" style="27" customWidth="1"/>
    <col min="47" max="47" width="6.81640625" style="1" customWidth="1"/>
    <col min="48" max="52" width="10.7265625" style="3"/>
    <col min="53" max="53" width="1.453125" style="3" customWidth="1"/>
    <col min="54" max="56" width="13.453125" style="3" customWidth="1"/>
    <col min="57" max="58" width="10.7265625" style="3"/>
    <col min="59" max="60" width="12.453125" style="3" customWidth="1"/>
    <col min="61" max="61" width="10.7265625" style="3"/>
    <col min="62" max="62" width="13.453125" style="3" customWidth="1"/>
    <col min="63" max="63" width="9.1796875" style="3" customWidth="1"/>
    <col min="64" max="67" width="6.453125" style="3" customWidth="1"/>
    <col min="68" max="68" width="6.453125" style="172" customWidth="1"/>
    <col min="69" max="69" width="9.1796875" style="3" customWidth="1"/>
    <col min="70" max="71" width="6.453125" style="3" customWidth="1"/>
    <col min="72" max="72" width="7.7265625" style="3" customWidth="1"/>
    <col min="73" max="73" width="8" style="3" customWidth="1"/>
    <col min="74" max="74" width="7.453125" style="3" customWidth="1"/>
    <col min="75" max="75" width="7.26953125" style="3" customWidth="1"/>
    <col min="76" max="76" width="7.453125" style="172" customWidth="1"/>
    <col min="77" max="77" width="8" style="3" customWidth="1"/>
    <col min="78" max="78" width="7.26953125" style="3" customWidth="1"/>
    <col min="79" max="79" width="8" style="3" customWidth="1"/>
    <col min="80" max="80" width="8.453125" style="3" customWidth="1"/>
    <col min="81" max="81" width="1.453125" style="3" customWidth="1"/>
    <col min="82" max="82" width="10.7265625" style="1"/>
    <col min="83" max="83" width="15" style="1" customWidth="1"/>
    <col min="84" max="84" width="12.26953125" style="1" customWidth="1"/>
    <col min="85" max="86" width="9.81640625" style="1" customWidth="1"/>
    <col min="87" max="87" width="1" style="1" customWidth="1"/>
    <col min="88" max="88" width="15.26953125" style="1" customWidth="1"/>
    <col min="89" max="89" width="19.453125" style="1" customWidth="1"/>
    <col min="90" max="90" width="18" style="1" customWidth="1"/>
    <col min="91" max="91" width="5" style="1" customWidth="1"/>
    <col min="92" max="103" width="10.7265625" style="1"/>
    <col min="104" max="104" width="3" style="1" customWidth="1"/>
    <col min="105" max="115" width="10.7265625" style="1"/>
    <col min="116" max="116" width="3.453125" style="1" customWidth="1"/>
    <col min="117" max="117" width="6.81640625" style="1" customWidth="1"/>
    <col min="118" max="125" width="7.7265625" style="1" customWidth="1"/>
    <col min="126" max="126" width="5.1796875" style="1" customWidth="1"/>
    <col min="127" max="127" width="7.7265625" style="1" customWidth="1"/>
    <col min="128" max="128" width="4.453125" style="1" customWidth="1"/>
    <col min="129" max="129" width="2.453125" style="1" customWidth="1"/>
    <col min="130" max="139" width="10.7265625" style="1"/>
    <col min="140" max="140" width="5.81640625" style="1" customWidth="1"/>
    <col min="141" max="141" width="17" style="1" customWidth="1"/>
    <col min="142" max="142" width="2.453125" style="1" customWidth="1"/>
    <col min="143" max="146" width="10.7265625" style="1"/>
    <col min="147" max="147" width="7" style="1" customWidth="1"/>
    <col min="148" max="152" width="10.7265625" style="1"/>
    <col min="153" max="153" width="9" style="1" customWidth="1"/>
    <col min="154" max="154" width="10.7265625" style="1"/>
    <col min="155" max="155" width="6" style="1" customWidth="1"/>
    <col min="156" max="157" width="14.81640625" style="1" customWidth="1"/>
    <col min="158" max="161" width="10.7265625" style="1"/>
    <col min="162" max="162" width="11.26953125" style="1" customWidth="1"/>
    <col min="163" max="163" width="10.7265625" style="1"/>
    <col min="164" max="164" width="9.1796875" style="1" customWidth="1"/>
    <col min="165" max="165" width="10.81640625" style="1" customWidth="1"/>
    <col min="166" max="166" width="9.1796875" style="1" customWidth="1"/>
    <col min="167" max="167" width="9.453125" style="1" customWidth="1"/>
    <col min="168" max="169" width="9.1796875" style="1" customWidth="1"/>
    <col min="170" max="174" width="10.7265625" style="1"/>
    <col min="175" max="175" width="21.26953125" style="1" customWidth="1"/>
    <col min="176" max="183" width="10.7265625" style="1"/>
    <col min="184" max="184" width="12.453125" style="1" customWidth="1"/>
    <col min="185" max="198" width="10.7265625" style="1"/>
    <col min="199" max="200" width="10.453125" style="1" customWidth="1"/>
    <col min="201" max="233" width="10.7265625" style="1"/>
    <col min="234" max="234" width="14.453125" style="1" customWidth="1"/>
    <col min="235" max="235" width="10.7265625" style="1"/>
    <col min="236" max="236" width="13.7265625" style="1" customWidth="1"/>
    <col min="237" max="247" width="10.7265625" style="1"/>
    <col min="248" max="250" width="10.7265625" style="166"/>
    <col min="251" max="251" width="2.453125" style="166" customWidth="1"/>
    <col min="252" max="254" width="10.7265625" style="166"/>
    <col min="255" max="255" width="16.1796875" style="166" customWidth="1"/>
    <col min="256" max="257" width="15.1796875" style="166" customWidth="1"/>
    <col min="258" max="258" width="3.1796875" style="166" customWidth="1"/>
    <col min="259" max="260" width="10.7265625" style="166"/>
    <col min="261" max="16384" width="10.7265625" style="1"/>
  </cols>
  <sheetData>
    <row r="1" spans="1:260" ht="22.2">
      <c r="A1" s="134" t="s">
        <v>20</v>
      </c>
      <c r="B1" s="128"/>
      <c r="C1" s="18"/>
      <c r="D1" s="18"/>
      <c r="E1" s="18"/>
      <c r="F1" s="18"/>
      <c r="AE1" s="3"/>
      <c r="AF1" s="3"/>
      <c r="AG1" s="3"/>
      <c r="AH1" s="3"/>
      <c r="AI1" s="3"/>
      <c r="AJ1" s="3"/>
      <c r="AK1" s="3"/>
      <c r="AL1" s="3"/>
      <c r="AN1" s="3"/>
      <c r="AO1" s="3"/>
      <c r="AP1" s="3"/>
      <c r="AQ1" s="3"/>
      <c r="AR1" s="3"/>
      <c r="AS1" s="3"/>
      <c r="AT1" s="3"/>
      <c r="BD1"/>
      <c r="BJ1"/>
    </row>
    <row r="2" spans="1:260">
      <c r="A2" s="135"/>
      <c r="B2" s="128"/>
      <c r="C2" s="18"/>
      <c r="D2" s="18"/>
      <c r="E2" s="18"/>
      <c r="F2" s="18"/>
      <c r="AE2" s="3"/>
      <c r="AF2" s="3"/>
      <c r="AG2" s="3"/>
      <c r="AH2" s="3"/>
      <c r="AI2" s="3"/>
      <c r="AJ2" s="3"/>
      <c r="AK2" s="3"/>
      <c r="AL2" s="3"/>
      <c r="AN2" s="3"/>
      <c r="AO2" s="3"/>
      <c r="AP2" s="3"/>
      <c r="AQ2" s="3"/>
      <c r="AR2" s="3"/>
      <c r="AS2" s="3"/>
      <c r="AT2" s="3"/>
      <c r="BD2"/>
      <c r="BJ2"/>
      <c r="BL2"/>
    </row>
    <row r="3" spans="1:260" ht="22.2">
      <c r="A3" s="136" t="s">
        <v>48</v>
      </c>
      <c r="B3" s="128"/>
      <c r="C3" s="18"/>
      <c r="D3" s="18"/>
      <c r="E3" s="23"/>
      <c r="F3" s="23">
        <v>0.50778657177886566</v>
      </c>
      <c r="G3" s="23">
        <v>0.1756414347462506</v>
      </c>
      <c r="H3" s="23">
        <v>0.73186189224289822</v>
      </c>
      <c r="I3" s="23">
        <v>0.77678459533347888</v>
      </c>
      <c r="J3" s="23">
        <v>0.88752596528366512</v>
      </c>
      <c r="K3" s="23">
        <v>7.0919464930490062E-2</v>
      </c>
      <c r="L3" s="23">
        <v>0.7495427985446308</v>
      </c>
      <c r="M3" s="23">
        <v>0.60379676262280957</v>
      </c>
      <c r="N3" s="23">
        <v>0.31077775323145385</v>
      </c>
      <c r="O3" s="23">
        <v>0.33562153225918101</v>
      </c>
      <c r="P3" s="23">
        <v>0.21222118168376791</v>
      </c>
      <c r="Q3" s="23">
        <v>4.3720348776956741E-2</v>
      </c>
      <c r="R3" s="23">
        <v>0.18699371222241579</v>
      </c>
      <c r="S3" s="23">
        <v>0.39004486227266733</v>
      </c>
      <c r="T3" s="23">
        <v>0.21207225926878825</v>
      </c>
      <c r="U3" s="23">
        <v>0.85298302185046404</v>
      </c>
      <c r="V3" s="23">
        <v>0.17703561113176258</v>
      </c>
      <c r="W3" s="23">
        <v>6.9534306024134573E-2</v>
      </c>
      <c r="X3" s="23">
        <v>0.9210306137022144</v>
      </c>
      <c r="Y3" s="23">
        <v>0.59839012392276159</v>
      </c>
      <c r="Z3" s="23">
        <v>0.65496829533065526</v>
      </c>
      <c r="AA3" s="23">
        <v>0.40975799234234844</v>
      </c>
      <c r="AB3" s="23">
        <v>0.19804933163330218</v>
      </c>
      <c r="AC3" s="23">
        <v>0.74213763230491692</v>
      </c>
      <c r="AE3" s="3"/>
      <c r="AF3" s="3"/>
      <c r="AG3" s="53"/>
      <c r="AH3" s="3"/>
      <c r="AI3" s="3"/>
      <c r="AJ3" s="3"/>
      <c r="AK3" s="3"/>
      <c r="AL3" s="3"/>
      <c r="AN3" s="3"/>
      <c r="AO3" s="3"/>
      <c r="AP3" s="3"/>
      <c r="AQ3" s="3"/>
      <c r="AR3" s="3"/>
      <c r="AS3" s="3"/>
      <c r="AT3" s="3"/>
      <c r="BD3"/>
      <c r="BJ3"/>
      <c r="BR3" s="41" t="s">
        <v>133</v>
      </c>
      <c r="BS3" s="42"/>
      <c r="IU3"/>
      <c r="IV3"/>
      <c r="IW3"/>
    </row>
    <row r="4" spans="1:260" ht="22.2">
      <c r="A4" s="136" t="s">
        <v>49</v>
      </c>
      <c r="B4" s="128"/>
      <c r="C4" s="18"/>
      <c r="D4" s="18"/>
      <c r="E4" s="23"/>
      <c r="F4" s="23">
        <v>0.40345861362270252</v>
      </c>
      <c r="G4" s="23">
        <v>0.14880578000670952</v>
      </c>
      <c r="H4" s="23">
        <v>0.9046721879081574</v>
      </c>
      <c r="I4" s="23">
        <v>0.16915111650770154</v>
      </c>
      <c r="J4" s="23">
        <v>2.2297221007993362E-2</v>
      </c>
      <c r="K4" s="23">
        <v>0.34327141827917029</v>
      </c>
      <c r="L4" s="23">
        <v>0.68684304227017157</v>
      </c>
      <c r="M4" s="23">
        <v>0.88382440120196093</v>
      </c>
      <c r="N4" s="23">
        <v>0.65337631951358777</v>
      </c>
      <c r="O4" s="23">
        <v>0.51085264871045544</v>
      </c>
      <c r="P4" s="23">
        <v>0.74011755325400697</v>
      </c>
      <c r="Q4" s="23">
        <v>0.73387630272086379</v>
      </c>
      <c r="R4" s="23">
        <v>0.89755432794135548</v>
      </c>
      <c r="S4" s="23">
        <v>0.59154049395579056</v>
      </c>
      <c r="T4" s="23">
        <v>0.67605538414174626</v>
      </c>
      <c r="U4" s="23">
        <v>0.6601542319721303</v>
      </c>
      <c r="V4" s="23">
        <v>0.92189055203070613</v>
      </c>
      <c r="W4" s="23">
        <v>0.89037553743326547</v>
      </c>
      <c r="X4" s="23">
        <v>0.42516798769416786</v>
      </c>
      <c r="Y4" s="23">
        <v>0.74476941420480713</v>
      </c>
      <c r="Z4" s="23">
        <v>0.96045175694662033</v>
      </c>
      <c r="AA4" s="23">
        <v>0.82477511402758608</v>
      </c>
      <c r="AB4" s="23">
        <v>0.49022489877632835</v>
      </c>
      <c r="AC4" s="23">
        <v>0.76123932308254005</v>
      </c>
      <c r="AE4" s="3"/>
      <c r="AF4" s="3"/>
      <c r="AG4" s="53"/>
      <c r="AH4" s="3"/>
      <c r="AI4" s="3"/>
      <c r="AJ4" s="3"/>
      <c r="AK4" s="3"/>
      <c r="AL4" s="3"/>
      <c r="AN4" s="3"/>
      <c r="AO4" s="3"/>
      <c r="AP4" s="3"/>
      <c r="AQ4" s="3"/>
      <c r="AR4" s="3"/>
      <c r="AS4" s="3"/>
      <c r="AT4" s="3"/>
      <c r="BD4"/>
      <c r="BJ4"/>
      <c r="BR4" s="72">
        <v>0</v>
      </c>
      <c r="BS4" s="73">
        <f>BR4</f>
        <v>0</v>
      </c>
      <c r="IN4" s="166">
        <v>0</v>
      </c>
      <c r="IO4" s="166">
        <v>0.5</v>
      </c>
      <c r="IP4" s="166">
        <v>0.5</v>
      </c>
      <c r="IR4" s="167">
        <f t="shared" ref="IR4:IR5" si="0">IO4/(COS(RADIANS(30)))+IP4*TAN(RADIANS(30))</f>
        <v>0.8660254037844386</v>
      </c>
      <c r="IS4" s="167">
        <f t="shared" ref="IS4:IS5" si="1">IP4</f>
        <v>0.5</v>
      </c>
      <c r="IU4"/>
      <c r="IV4"/>
      <c r="IW4"/>
    </row>
    <row r="5" spans="1:260">
      <c r="A5" s="135"/>
      <c r="B5" s="128"/>
      <c r="C5" s="18"/>
      <c r="D5" s="18"/>
      <c r="E5" s="23"/>
      <c r="F5" s="23"/>
      <c r="G5" s="23"/>
      <c r="H5" s="23"/>
      <c r="I5" s="23"/>
      <c r="J5" s="23"/>
      <c r="K5" s="23"/>
      <c r="L5" s="23"/>
      <c r="M5" s="23"/>
      <c r="N5" s="23"/>
      <c r="O5" s="23"/>
      <c r="P5" s="23"/>
      <c r="Q5" s="23"/>
      <c r="R5" s="118"/>
      <c r="AE5" s="3"/>
      <c r="AF5" s="3"/>
      <c r="AG5" s="3"/>
      <c r="AH5" s="3"/>
      <c r="AI5" s="3"/>
      <c r="AJ5" s="3"/>
      <c r="AK5" s="3"/>
      <c r="AL5" s="3"/>
      <c r="AN5" s="3"/>
      <c r="AO5" s="3"/>
      <c r="AQ5" s="3"/>
      <c r="BD5"/>
      <c r="BJ5"/>
      <c r="BL5" s="3" t="s">
        <v>242</v>
      </c>
      <c r="BR5" s="72">
        <v>0.1</v>
      </c>
      <c r="BS5" s="73">
        <f>BR5</f>
        <v>0.1</v>
      </c>
      <c r="IN5" s="166">
        <v>0.5</v>
      </c>
      <c r="IO5" s="166">
        <v>0</v>
      </c>
      <c r="IP5" s="166">
        <v>0.5</v>
      </c>
      <c r="IR5" s="167">
        <f t="shared" si="0"/>
        <v>0.28867513459481287</v>
      </c>
      <c r="IS5" s="167">
        <f t="shared" si="1"/>
        <v>0.5</v>
      </c>
      <c r="IU5"/>
      <c r="IV5"/>
      <c r="IW5"/>
    </row>
    <row r="6" spans="1:260" ht="17.399999999999999">
      <c r="A6" s="137" t="s">
        <v>208</v>
      </c>
      <c r="B6" s="128"/>
      <c r="C6" s="18"/>
      <c r="D6" s="18"/>
      <c r="E6" s="23"/>
      <c r="F6" s="23"/>
      <c r="G6" s="23"/>
      <c r="H6" s="23"/>
      <c r="I6" s="23"/>
      <c r="J6" s="23"/>
      <c r="K6" s="23"/>
      <c r="L6" s="23"/>
      <c r="M6" s="23"/>
      <c r="N6" s="23"/>
      <c r="O6" s="23"/>
      <c r="P6" s="23"/>
      <c r="Q6" s="23"/>
      <c r="R6" s="118"/>
      <c r="AE6" s="115"/>
      <c r="AF6" s="115"/>
      <c r="AG6" s="115"/>
      <c r="AH6" s="3"/>
      <c r="AI6" s="3"/>
      <c r="AJ6" s="3"/>
      <c r="AK6" s="3"/>
      <c r="AL6" s="3"/>
      <c r="AN6" s="3"/>
      <c r="AO6" s="3"/>
      <c r="AQ6" s="3"/>
      <c r="AR6" s="115"/>
      <c r="AS6" s="115"/>
      <c r="AT6" s="115"/>
      <c r="AU6" s="113"/>
      <c r="AV6"/>
      <c r="AW6"/>
      <c r="AX6"/>
      <c r="AY6"/>
      <c r="AZ6"/>
      <c r="BA6"/>
      <c r="BB6"/>
      <c r="BC6"/>
      <c r="BD6"/>
      <c r="BJ6"/>
      <c r="BR6" s="74">
        <v>0.5</v>
      </c>
      <c r="BS6" s="73">
        <f>BR6</f>
        <v>0.5</v>
      </c>
      <c r="IN6" s="166">
        <v>0</v>
      </c>
      <c r="IO6" s="166">
        <v>1</v>
      </c>
      <c r="IP6" s="166">
        <f>GN6</f>
        <v>0</v>
      </c>
      <c r="IR6" s="167">
        <f t="shared" ref="IR6:IR11" si="2">IO6/(COS(RADIANS(30)))+IP6*TAN(RADIANS(30))</f>
        <v>1.1547005383792515</v>
      </c>
      <c r="IS6" s="167">
        <f t="shared" ref="IS6:IS11" si="3">IP6</f>
        <v>0</v>
      </c>
      <c r="IU6"/>
      <c r="IV6"/>
      <c r="IW6"/>
    </row>
    <row r="7" spans="1:260" ht="17.399999999999999">
      <c r="A7" s="137" t="s">
        <v>209</v>
      </c>
      <c r="B7" s="128"/>
      <c r="C7" s="18"/>
      <c r="D7" s="18"/>
      <c r="E7" s="23"/>
      <c r="F7" s="81"/>
      <c r="G7" s="82" t="s">
        <v>240</v>
      </c>
      <c r="H7" s="83"/>
      <c r="I7" s="23"/>
      <c r="J7" s="23"/>
      <c r="K7" s="23"/>
      <c r="L7" s="23"/>
      <c r="M7" s="23"/>
      <c r="N7" s="23"/>
      <c r="O7" s="23"/>
      <c r="P7" s="23"/>
      <c r="Q7" s="23"/>
      <c r="R7" s="118"/>
      <c r="AE7" s="113"/>
      <c r="AF7" s="113"/>
      <c r="AG7" s="113"/>
      <c r="AH7" s="3"/>
      <c r="AI7" s="3"/>
      <c r="AJ7" s="3"/>
      <c r="AK7" s="3"/>
      <c r="AL7" s="3"/>
      <c r="AN7" s="3"/>
      <c r="AO7" s="3"/>
      <c r="AQ7" s="3"/>
      <c r="AR7" s="113"/>
      <c r="AS7" s="113"/>
      <c r="AT7" s="113"/>
      <c r="AU7" s="27"/>
      <c r="AV7" s="96" t="s">
        <v>192</v>
      </c>
      <c r="AW7" s="44"/>
      <c r="AX7" s="44"/>
      <c r="AY7" s="44"/>
      <c r="AZ7" s="44"/>
      <c r="BA7" s="44"/>
      <c r="BB7" s="44"/>
      <c r="BC7" s="44"/>
      <c r="BD7"/>
      <c r="BJ7"/>
      <c r="BR7" s="75">
        <v>1</v>
      </c>
      <c r="BS7" s="43">
        <f>BR7</f>
        <v>1</v>
      </c>
      <c r="IN7" s="166">
        <v>1</v>
      </c>
      <c r="IO7" s="166">
        <v>0</v>
      </c>
      <c r="IP7" s="166">
        <v>0</v>
      </c>
      <c r="IR7" s="167">
        <f t="shared" si="2"/>
        <v>0</v>
      </c>
      <c r="IS7" s="167">
        <f t="shared" si="3"/>
        <v>0</v>
      </c>
      <c r="IU7"/>
      <c r="IV7"/>
      <c r="IW7"/>
    </row>
    <row r="8" spans="1:260" ht="17.399999999999999">
      <c r="A8" s="137"/>
      <c r="B8" s="128"/>
      <c r="C8" s="18"/>
      <c r="D8" s="18"/>
      <c r="E8" s="23"/>
      <c r="F8" s="75"/>
      <c r="G8" s="159">
        <v>1</v>
      </c>
      <c r="H8" s="84"/>
      <c r="I8" s="23"/>
      <c r="J8" s="23"/>
      <c r="K8" s="23"/>
      <c r="L8" s="23"/>
      <c r="M8" s="23"/>
      <c r="N8" s="23"/>
      <c r="O8" s="23"/>
      <c r="P8" s="23"/>
      <c r="Q8" s="23"/>
      <c r="R8" s="118"/>
      <c r="AH8" s="96" t="s">
        <v>193</v>
      </c>
      <c r="AI8" s="44"/>
      <c r="AJ8" s="44"/>
      <c r="AK8" s="44"/>
      <c r="AL8" s="42"/>
      <c r="AN8" s="3"/>
      <c r="AO8" s="3"/>
      <c r="AQ8" s="3"/>
      <c r="AR8" s="116"/>
      <c r="AS8" s="116"/>
      <c r="AT8" s="116"/>
      <c r="AU8" s="3"/>
      <c r="AV8" s="86" t="s">
        <v>185</v>
      </c>
      <c r="AW8" s="44"/>
      <c r="AX8" s="44"/>
      <c r="AY8" s="87"/>
      <c r="AZ8" s="87"/>
      <c r="BA8" s="87"/>
      <c r="BB8" s="87"/>
      <c r="BC8" s="88"/>
      <c r="BD8"/>
      <c r="BJ8"/>
      <c r="BK8" s="69"/>
      <c r="BL8" s="93" t="s">
        <v>190</v>
      </c>
      <c r="BM8" s="69"/>
      <c r="BN8" s="69"/>
      <c r="BO8" s="69"/>
      <c r="BP8" s="173"/>
      <c r="BQ8" s="69"/>
      <c r="BR8" s="69"/>
      <c r="BS8" s="69"/>
      <c r="BT8" s="69"/>
      <c r="BU8" s="69"/>
      <c r="BY8" s="69"/>
      <c r="CD8"/>
      <c r="CN8" s="1" t="s">
        <v>154</v>
      </c>
      <c r="FN8"/>
      <c r="FO8"/>
      <c r="FU8"/>
      <c r="FV8"/>
      <c r="FW8"/>
      <c r="FX8"/>
      <c r="HZ8" s="1" t="s">
        <v>0</v>
      </c>
      <c r="IA8" s="1">
        <v>537.00300000000004</v>
      </c>
      <c r="IC8" s="1">
        <v>621.15099999999995</v>
      </c>
      <c r="IN8" s="166">
        <v>0</v>
      </c>
      <c r="IO8" s="166">
        <v>0</v>
      </c>
      <c r="IP8" s="166">
        <v>1</v>
      </c>
      <c r="IR8" s="167">
        <f t="shared" ref="IR8:IR9" si="4">IO8/(COS(RADIANS(30)))+IP8*TAN(RADIANS(30))</f>
        <v>0.57735026918962573</v>
      </c>
      <c r="IS8" s="167">
        <f t="shared" ref="IS8:IS9" si="5">IP8</f>
        <v>1</v>
      </c>
      <c r="IU8"/>
      <c r="IV8"/>
      <c r="IW8"/>
    </row>
    <row r="9" spans="1:260" ht="17.399999999999999">
      <c r="A9" s="137"/>
      <c r="B9" s="128"/>
      <c r="C9" s="18"/>
      <c r="D9" s="18"/>
      <c r="E9" s="23"/>
      <c r="F9" s="23"/>
      <c r="G9" s="23"/>
      <c r="H9" s="23"/>
      <c r="I9" s="23"/>
      <c r="J9" s="23"/>
      <c r="K9" s="23"/>
      <c r="L9" s="23"/>
      <c r="M9" s="23"/>
      <c r="N9" s="23"/>
      <c r="O9" s="23"/>
      <c r="P9" s="23"/>
      <c r="Q9" s="23"/>
      <c r="R9" s="118"/>
      <c r="AE9" s="143"/>
      <c r="AF9" s="113"/>
      <c r="AG9" s="140"/>
      <c r="AH9" s="86" t="s">
        <v>188</v>
      </c>
      <c r="AI9" s="44"/>
      <c r="AJ9" s="44"/>
      <c r="AK9" s="44"/>
      <c r="AL9" s="42"/>
      <c r="AN9" s="26"/>
      <c r="AO9" s="26"/>
      <c r="AQ9" s="26"/>
      <c r="AR9" s="113"/>
      <c r="AS9" s="113"/>
      <c r="AT9" s="113"/>
      <c r="AU9" s="27"/>
      <c r="AV9" s="85" t="s">
        <v>186</v>
      </c>
      <c r="AW9" s="26"/>
      <c r="AX9" s="26"/>
      <c r="AY9" s="45"/>
      <c r="AZ9" s="45"/>
      <c r="BA9" s="45"/>
      <c r="BB9" s="45"/>
      <c r="BC9" s="46"/>
      <c r="BD9"/>
      <c r="BJ9"/>
      <c r="BK9" s="69"/>
      <c r="BL9" s="77" t="s">
        <v>191</v>
      </c>
      <c r="BM9" s="78"/>
      <c r="BN9" s="78"/>
      <c r="BO9" s="78"/>
      <c r="BP9" s="174"/>
      <c r="BQ9" s="78"/>
      <c r="BR9" s="78"/>
      <c r="BS9" s="78"/>
      <c r="BT9" s="78"/>
      <c r="BU9" s="78"/>
      <c r="BV9" s="26"/>
      <c r="BW9" s="26"/>
      <c r="BX9" s="178"/>
      <c r="BY9" s="78"/>
      <c r="CD9"/>
      <c r="CN9" s="1" t="s">
        <v>1</v>
      </c>
      <c r="CO9" s="1" t="s">
        <v>122</v>
      </c>
      <c r="CP9" s="1" t="s">
        <v>123</v>
      </c>
      <c r="CQ9" s="1" t="s">
        <v>124</v>
      </c>
      <c r="CR9" s="1" t="s">
        <v>125</v>
      </c>
      <c r="CS9" s="1" t="s">
        <v>126</v>
      </c>
      <c r="CT9" s="1" t="s">
        <v>127</v>
      </c>
      <c r="CU9" s="1" t="s">
        <v>128</v>
      </c>
      <c r="CV9" s="1" t="s">
        <v>129</v>
      </c>
      <c r="CW9" s="1" t="s">
        <v>130</v>
      </c>
      <c r="CX9" s="1" t="s">
        <v>131</v>
      </c>
      <c r="DA9"/>
      <c r="DB9"/>
      <c r="DC9"/>
      <c r="DD9"/>
      <c r="DE9"/>
      <c r="DF9"/>
      <c r="DG9"/>
      <c r="DH9"/>
      <c r="DI9"/>
      <c r="FJ9"/>
      <c r="FK9"/>
      <c r="FN9"/>
      <c r="FO9"/>
      <c r="FU9"/>
      <c r="FV9"/>
      <c r="FW9"/>
      <c r="FX9"/>
      <c r="GU9" s="1" t="s">
        <v>0</v>
      </c>
      <c r="GV9" s="1">
        <v>592.58900000000006</v>
      </c>
      <c r="GW9" s="1">
        <v>537.00300000000004</v>
      </c>
      <c r="GX9" s="1">
        <v>621.15099999999995</v>
      </c>
      <c r="HZ9" s="1" t="s">
        <v>117</v>
      </c>
      <c r="IA9" s="1">
        <v>-1.0169999999999999</v>
      </c>
      <c r="IC9" s="1">
        <v>-1.22</v>
      </c>
      <c r="IN9" s="166">
        <v>1</v>
      </c>
      <c r="IO9" s="166">
        <v>0</v>
      </c>
      <c r="IP9" s="166">
        <v>0</v>
      </c>
      <c r="IR9" s="167">
        <f t="shared" si="4"/>
        <v>0</v>
      </c>
      <c r="IS9" s="167">
        <f t="shared" si="5"/>
        <v>0</v>
      </c>
      <c r="IU9"/>
      <c r="IV9"/>
      <c r="IW9"/>
    </row>
    <row r="10" spans="1:260" ht="18" thickBot="1">
      <c r="A10" s="137"/>
      <c r="B10" s="128"/>
      <c r="C10" s="18"/>
      <c r="D10" s="18"/>
      <c r="E10" s="23"/>
      <c r="F10" s="23"/>
      <c r="G10" s="23"/>
      <c r="H10" s="23"/>
      <c r="I10" s="23"/>
      <c r="J10" s="23"/>
      <c r="K10" s="23"/>
      <c r="L10" s="23"/>
      <c r="M10" s="23"/>
      <c r="N10" s="23"/>
      <c r="O10" s="23"/>
      <c r="P10" s="23"/>
      <c r="Q10" s="23"/>
      <c r="R10" s="118"/>
      <c r="AE10" s="161" t="s">
        <v>218</v>
      </c>
      <c r="AF10" s="141"/>
      <c r="AG10" s="142"/>
      <c r="AH10" s="85" t="s">
        <v>189</v>
      </c>
      <c r="AI10" s="94"/>
      <c r="AJ10" s="94"/>
      <c r="AK10" s="94"/>
      <c r="AL10" s="95"/>
      <c r="AN10" s="26"/>
      <c r="AO10" s="26"/>
      <c r="AQ10" s="26"/>
      <c r="AR10" s="116"/>
      <c r="AS10" s="116"/>
      <c r="AT10" s="116"/>
      <c r="AU10" s="114"/>
      <c r="AV10" s="85" t="s">
        <v>187</v>
      </c>
      <c r="AW10" s="26"/>
      <c r="AX10" s="26"/>
      <c r="AY10" s="26"/>
      <c r="AZ10" s="26"/>
      <c r="BA10" s="26"/>
      <c r="BB10" s="26"/>
      <c r="BC10" s="73"/>
      <c r="BD10"/>
      <c r="BJ10"/>
      <c r="BK10" s="69"/>
      <c r="BL10" s="79" t="s">
        <v>116</v>
      </c>
      <c r="BM10" s="80"/>
      <c r="BN10" s="80"/>
      <c r="BO10" s="80"/>
      <c r="BP10" s="175"/>
      <c r="BQ10" s="80"/>
      <c r="BR10" s="80"/>
      <c r="BS10" s="80"/>
      <c r="BT10" s="80"/>
      <c r="BU10" s="80"/>
      <c r="BV10" s="80"/>
      <c r="BW10" s="80"/>
      <c r="BX10" s="175"/>
      <c r="BY10" s="80"/>
      <c r="BZ10" s="80"/>
      <c r="CA10" s="78"/>
      <c r="CB10" s="69"/>
      <c r="CD10"/>
      <c r="CN10" s="1">
        <v>60.084299999999999</v>
      </c>
      <c r="CO10" s="1">
        <v>79.878799999999998</v>
      </c>
      <c r="CP10" s="1">
        <v>101.961</v>
      </c>
      <c r="CQ10" s="1">
        <v>71.846400000000003</v>
      </c>
      <c r="CR10" s="1">
        <v>70.9375</v>
      </c>
      <c r="CS10" s="1">
        <v>40.304400000000001</v>
      </c>
      <c r="CT10" s="1">
        <v>56.077399999999997</v>
      </c>
      <c r="CU10" s="1">
        <v>61.978900000000003</v>
      </c>
      <c r="CV10" s="1">
        <v>94.195999999999998</v>
      </c>
      <c r="CW10" s="1">
        <f>52*2+3*15.9994</f>
        <v>151.9982</v>
      </c>
      <c r="CX10" s="1">
        <f>2*30.97+5*15.9994</f>
        <v>141.93700000000001</v>
      </c>
      <c r="EQ10"/>
      <c r="ER10"/>
      <c r="ES10"/>
      <c r="FJ10"/>
      <c r="FK10"/>
      <c r="FN10"/>
      <c r="FO10"/>
      <c r="FS10" s="2"/>
      <c r="FU10"/>
      <c r="FV10"/>
      <c r="FW10"/>
      <c r="FX10"/>
      <c r="GU10" s="1" t="s">
        <v>117</v>
      </c>
      <c r="GV10" s="1">
        <v>-1.085</v>
      </c>
      <c r="GW10" s="1">
        <v>-1.0169999999999999</v>
      </c>
      <c r="GX10" s="1">
        <v>-1.22</v>
      </c>
      <c r="HZ10" s="1" t="s">
        <v>118</v>
      </c>
      <c r="IA10" s="1">
        <v>-5.6630000000000003</v>
      </c>
      <c r="IC10" s="1">
        <v>-4.62</v>
      </c>
      <c r="IN10" s="166">
        <v>0</v>
      </c>
      <c r="IO10" s="166">
        <v>0</v>
      </c>
      <c r="IP10" s="166">
        <v>1</v>
      </c>
      <c r="IR10" s="167">
        <f t="shared" si="2"/>
        <v>0.57735026918962573</v>
      </c>
      <c r="IS10" s="167">
        <f t="shared" si="3"/>
        <v>1</v>
      </c>
      <c r="IU10"/>
      <c r="IV10"/>
      <c r="IW10"/>
    </row>
    <row r="11" spans="1:260" ht="18" thickBot="1">
      <c r="A11" s="137"/>
      <c r="B11" s="128"/>
      <c r="C11" s="23"/>
      <c r="D11" s="23"/>
      <c r="E11" s="18"/>
      <c r="F11" s="124" t="s">
        <v>63</v>
      </c>
      <c r="G11" s="125"/>
      <c r="H11" s="125"/>
      <c r="I11" s="130"/>
      <c r="J11" s="131"/>
      <c r="K11" s="131"/>
      <c r="Q11" s="113"/>
      <c r="T11" s="124" t="s">
        <v>52</v>
      </c>
      <c r="U11" s="125"/>
      <c r="V11" s="126"/>
      <c r="AE11" s="114"/>
      <c r="AF11" s="114"/>
      <c r="AG11" s="114"/>
      <c r="AH11" s="100" t="s">
        <v>195</v>
      </c>
      <c r="AI11" s="92"/>
      <c r="AJ11" s="92"/>
      <c r="AK11" s="92"/>
      <c r="AL11" s="99"/>
      <c r="AN11" s="102" t="s">
        <v>199</v>
      </c>
      <c r="AO11" s="102"/>
      <c r="AP11" s="103"/>
      <c r="AQ11" s="102"/>
      <c r="AR11" s="114"/>
      <c r="AS11" s="114"/>
      <c r="AT11" s="114"/>
      <c r="AV11" s="47" t="s">
        <v>182</v>
      </c>
      <c r="AW11" s="48"/>
      <c r="AX11" s="48"/>
      <c r="AY11" s="24"/>
      <c r="AZ11" s="24"/>
      <c r="BA11" s="24"/>
      <c r="BB11" s="24"/>
      <c r="BC11" s="49"/>
      <c r="BD11"/>
      <c r="BE11" s="28" t="s">
        <v>60</v>
      </c>
      <c r="BF11" s="28"/>
      <c r="BG11" s="28"/>
      <c r="BH11" s="28"/>
      <c r="BI11" s="28"/>
      <c r="BJ11" s="28"/>
      <c r="BK11" s="68"/>
      <c r="BL11" s="28" t="s">
        <v>3</v>
      </c>
      <c r="BM11" s="28"/>
      <c r="BN11" s="28"/>
      <c r="BO11" s="28"/>
      <c r="BP11" s="176"/>
      <c r="BQ11" s="28"/>
      <c r="BR11" s="28"/>
      <c r="BS11" s="68"/>
      <c r="BT11" s="28" t="s">
        <v>2</v>
      </c>
      <c r="BU11" s="28"/>
      <c r="BV11" s="28"/>
      <c r="BW11" s="28"/>
      <c r="BX11" s="176"/>
      <c r="BY11" s="28"/>
      <c r="BZ11" s="28"/>
      <c r="CA11" s="28"/>
      <c r="CB11" s="68"/>
      <c r="CC11" s="28"/>
      <c r="CD11" s="158" t="s">
        <v>183</v>
      </c>
      <c r="CE11" s="30"/>
      <c r="CF11" s="30"/>
      <c r="CG11" s="29"/>
      <c r="CH11" s="29"/>
      <c r="CI11" s="50"/>
      <c r="CJ11" s="30"/>
      <c r="CK11" s="30"/>
      <c r="CL11" s="30"/>
      <c r="EQ11"/>
      <c r="ER11"/>
      <c r="ES11"/>
      <c r="FJ11"/>
      <c r="FK11"/>
      <c r="FU11"/>
      <c r="FV11"/>
      <c r="FW11"/>
      <c r="FX11"/>
      <c r="GA11" s="1" t="s">
        <v>38</v>
      </c>
      <c r="GU11" s="1" t="s">
        <v>118</v>
      </c>
      <c r="GV11" s="1">
        <v>-7.4589999999999996</v>
      </c>
      <c r="GW11" s="1">
        <v>-5.6630000000000003</v>
      </c>
      <c r="GX11" s="1">
        <v>-4.62</v>
      </c>
      <c r="HZ11" s="1" t="s">
        <v>39</v>
      </c>
      <c r="IA11" s="1">
        <v>-2.722</v>
      </c>
      <c r="IC11" s="1">
        <v>-7.7729999999999997</v>
      </c>
      <c r="IN11" s="166">
        <v>0</v>
      </c>
      <c r="IO11" s="166">
        <v>1</v>
      </c>
      <c r="IP11" s="166">
        <v>0</v>
      </c>
      <c r="IR11" s="167">
        <f t="shared" si="2"/>
        <v>1.1547005383792515</v>
      </c>
      <c r="IS11" s="167">
        <f t="shared" si="3"/>
        <v>0</v>
      </c>
    </row>
    <row r="12" spans="1:260" ht="18" thickBot="1">
      <c r="A12" s="137"/>
      <c r="B12" s="128"/>
      <c r="C12" s="76" t="s">
        <v>210</v>
      </c>
      <c r="D12" s="24"/>
      <c r="E12" s="18"/>
      <c r="F12" s="68"/>
      <c r="AE12" s="144" t="s">
        <v>198</v>
      </c>
      <c r="AF12" s="107"/>
      <c r="AG12" s="106"/>
      <c r="AH12" s="103" t="s">
        <v>200</v>
      </c>
      <c r="AN12" s="104" t="s">
        <v>213</v>
      </c>
      <c r="AO12" s="104"/>
      <c r="AP12" s="105"/>
      <c r="AQ12" s="106"/>
      <c r="AR12" s="107" t="s">
        <v>211</v>
      </c>
      <c r="AS12" s="107"/>
      <c r="AT12" s="106"/>
      <c r="AV12" s="28" t="s">
        <v>121</v>
      </c>
      <c r="AW12" s="28"/>
      <c r="AX12" s="28"/>
      <c r="AY12" s="28"/>
      <c r="AZ12" s="28"/>
      <c r="BA12" s="28"/>
      <c r="BB12" s="28" t="s">
        <v>37</v>
      </c>
      <c r="BC12" s="28"/>
      <c r="BD12" s="28"/>
      <c r="BE12" s="31"/>
      <c r="BF12" s="31"/>
      <c r="BG12" s="31"/>
      <c r="BH12" s="31"/>
      <c r="BI12" s="31"/>
      <c r="BJ12" s="28"/>
      <c r="BL12" s="71" t="s">
        <v>54</v>
      </c>
      <c r="BM12" s="31"/>
      <c r="BN12" s="31"/>
      <c r="BO12" s="31"/>
      <c r="BP12" s="177"/>
      <c r="BQ12" s="31"/>
      <c r="BR12" s="31"/>
      <c r="BT12" s="71" t="s">
        <v>80</v>
      </c>
      <c r="BU12" s="31"/>
      <c r="BV12" s="31"/>
      <c r="BW12" s="31"/>
      <c r="BX12" s="177"/>
      <c r="BY12" s="31"/>
      <c r="BZ12" s="31"/>
      <c r="CA12" s="31"/>
      <c r="CC12" s="33"/>
      <c r="CD12" s="34" t="s">
        <v>61</v>
      </c>
      <c r="CE12" s="34"/>
      <c r="CF12" s="34"/>
      <c r="CG12" s="35"/>
      <c r="CH12" s="35"/>
      <c r="CI12" s="51"/>
      <c r="CJ12" s="34"/>
      <c r="CK12" s="34"/>
      <c r="CL12" s="34"/>
      <c r="CM12" s="5"/>
      <c r="CN12" s="1" t="s">
        <v>119</v>
      </c>
      <c r="DA12" s="55" t="s">
        <v>119</v>
      </c>
      <c r="DB12" s="56"/>
      <c r="DC12" s="56"/>
      <c r="DD12" s="56"/>
      <c r="DE12" s="56"/>
      <c r="DF12" s="56"/>
      <c r="DG12" s="56"/>
      <c r="DH12" s="56"/>
      <c r="DI12" s="56"/>
      <c r="DJ12" s="56"/>
      <c r="DK12" s="57"/>
      <c r="DN12" s="1" t="s">
        <v>120</v>
      </c>
      <c r="DZ12" s="1" t="s">
        <v>120</v>
      </c>
      <c r="EM12" s="55" t="s">
        <v>120</v>
      </c>
      <c r="EN12" s="56"/>
      <c r="EO12" s="56"/>
      <c r="EP12" s="56"/>
      <c r="EQ12" s="63"/>
      <c r="ER12" s="63"/>
      <c r="ES12" s="63"/>
      <c r="ET12" s="56"/>
      <c r="EU12" s="56"/>
      <c r="EV12" s="56"/>
      <c r="EW12" s="56"/>
      <c r="EX12" s="56"/>
      <c r="EY12" s="57"/>
      <c r="EZ12" s="1" t="s">
        <v>59</v>
      </c>
      <c r="FQ12" s="5" t="s">
        <v>40</v>
      </c>
      <c r="FR12" s="5"/>
      <c r="FS12" s="1" t="s">
        <v>41</v>
      </c>
      <c r="GU12" s="1" t="s">
        <v>39</v>
      </c>
      <c r="GV12" s="1">
        <v>-5.5549999999999997</v>
      </c>
      <c r="GW12" s="1">
        <v>-2.722</v>
      </c>
      <c r="GX12" s="1">
        <v>-7.7729999999999997</v>
      </c>
      <c r="HZ12" s="1" t="s">
        <v>42</v>
      </c>
    </row>
    <row r="13" spans="1:260" ht="20.399999999999999" thickBot="1">
      <c r="A13" s="135" t="s">
        <v>50</v>
      </c>
      <c r="B13" s="138"/>
      <c r="C13" s="25" t="s">
        <v>51</v>
      </c>
      <c r="D13" s="19" t="s">
        <v>51</v>
      </c>
      <c r="E13" s="20"/>
      <c r="F13" s="21" t="s">
        <v>148</v>
      </c>
      <c r="G13" s="122"/>
      <c r="H13" s="122"/>
      <c r="I13" s="122"/>
      <c r="J13" s="122"/>
      <c r="K13" s="122"/>
      <c r="L13" s="122"/>
      <c r="M13" s="122"/>
      <c r="N13" s="122"/>
      <c r="O13" s="122"/>
      <c r="P13" s="122"/>
      <c r="Q13" s="122"/>
      <c r="R13" s="120" t="s">
        <v>207</v>
      </c>
      <c r="T13" s="127" t="s">
        <v>153</v>
      </c>
      <c r="U13" s="122"/>
      <c r="V13" s="122"/>
      <c r="W13" s="122"/>
      <c r="X13" s="122"/>
      <c r="Y13" s="122"/>
      <c r="Z13" s="122"/>
      <c r="AA13" s="122"/>
      <c r="AB13" s="122"/>
      <c r="AC13" s="122"/>
      <c r="AD13"/>
      <c r="AE13" s="111" t="s">
        <v>221</v>
      </c>
      <c r="AF13" s="162"/>
      <c r="AG13" s="163"/>
      <c r="AH13" s="108" t="s">
        <v>194</v>
      </c>
      <c r="AI13" s="109"/>
      <c r="AJ13" s="110"/>
      <c r="AK13" s="108" t="s">
        <v>184</v>
      </c>
      <c r="AL13" s="109"/>
      <c r="AM13" s="101"/>
      <c r="AN13" s="97" t="s">
        <v>204</v>
      </c>
      <c r="AO13" s="97"/>
      <c r="AP13" s="98"/>
      <c r="AQ13" s="101"/>
      <c r="AR13" s="97" t="s">
        <v>204</v>
      </c>
      <c r="AS13" s="97"/>
      <c r="AT13" s="98"/>
      <c r="AU13"/>
      <c r="AV13" s="33" t="s">
        <v>137</v>
      </c>
      <c r="AW13" s="33"/>
      <c r="AX13" s="33" t="s">
        <v>138</v>
      </c>
      <c r="AY13" s="33"/>
      <c r="AZ13" s="33" t="s">
        <v>139</v>
      </c>
      <c r="BA13" s="32"/>
      <c r="BB13" s="33"/>
      <c r="BC13" s="33"/>
      <c r="BD13" s="33"/>
      <c r="BE13" s="33" t="s">
        <v>140</v>
      </c>
      <c r="BF13" s="33" t="s">
        <v>141</v>
      </c>
      <c r="BG13" s="33" t="s">
        <v>142</v>
      </c>
      <c r="BH13" s="33" t="s">
        <v>143</v>
      </c>
      <c r="BI13" s="33" t="s">
        <v>143</v>
      </c>
      <c r="BJ13" s="117" t="s">
        <v>216</v>
      </c>
      <c r="BL13" s="117" t="s">
        <v>206</v>
      </c>
      <c r="BM13" s="33">
        <v>3.2</v>
      </c>
      <c r="BN13" s="33">
        <v>3.4</v>
      </c>
      <c r="BO13" s="33">
        <v>3.5</v>
      </c>
      <c r="BP13" s="178">
        <v>3.6</v>
      </c>
      <c r="BQ13" s="33">
        <v>3.7</v>
      </c>
      <c r="BR13" s="33"/>
      <c r="BT13" s="33"/>
      <c r="BU13" s="33"/>
      <c r="BV13" s="33"/>
      <c r="BW13" s="33"/>
      <c r="BX13" s="178"/>
      <c r="BY13" s="33"/>
      <c r="BZ13" s="33"/>
      <c r="CA13" s="33"/>
      <c r="CC13" s="33"/>
      <c r="CD13" s="36" t="s">
        <v>5</v>
      </c>
      <c r="CE13" s="36" t="s">
        <v>41</v>
      </c>
      <c r="CF13" s="36" t="s">
        <v>150</v>
      </c>
      <c r="CG13" s="36" t="s">
        <v>146</v>
      </c>
      <c r="CH13" s="36" t="s">
        <v>147</v>
      </c>
      <c r="CI13" s="5"/>
      <c r="CJ13" s="36" t="s">
        <v>105</v>
      </c>
      <c r="CK13" s="36" t="s">
        <v>62</v>
      </c>
      <c r="CL13" s="30" t="s">
        <v>115</v>
      </c>
      <c r="CM13" s="5"/>
      <c r="CN13" s="1" t="s">
        <v>43</v>
      </c>
      <c r="DA13" s="58" t="s">
        <v>44</v>
      </c>
      <c r="DB13" s="5"/>
      <c r="DC13" s="5"/>
      <c r="DD13" s="5"/>
      <c r="DE13" s="5"/>
      <c r="DF13" s="5"/>
      <c r="DG13" s="5"/>
      <c r="DH13" s="5"/>
      <c r="DI13" s="5"/>
      <c r="DJ13" s="5"/>
      <c r="DK13" s="59"/>
      <c r="DN13" s="1" t="s">
        <v>45</v>
      </c>
      <c r="DZ13" s="1" t="s">
        <v>46</v>
      </c>
      <c r="EJ13" s="1" t="s">
        <v>55</v>
      </c>
      <c r="EK13" s="1" t="s">
        <v>57</v>
      </c>
      <c r="EM13" s="58" t="s">
        <v>134</v>
      </c>
      <c r="EN13" s="5"/>
      <c r="EO13" s="5"/>
      <c r="EP13" s="5"/>
      <c r="EQ13" s="5"/>
      <c r="ER13" s="5"/>
      <c r="ES13" s="5"/>
      <c r="ET13" s="5"/>
      <c r="EU13" s="5"/>
      <c r="EV13" s="5"/>
      <c r="EW13" s="5"/>
      <c r="EX13" s="5"/>
      <c r="EY13" s="59" t="s">
        <v>6</v>
      </c>
      <c r="EZ13" s="1" t="s">
        <v>135</v>
      </c>
      <c r="FA13" s="1" t="s">
        <v>136</v>
      </c>
      <c r="FB13" s="55" t="s">
        <v>15</v>
      </c>
      <c r="FC13" s="56"/>
      <c r="FD13" s="56"/>
      <c r="FE13" s="56"/>
      <c r="FF13" s="56"/>
      <c r="FG13" s="56"/>
      <c r="FH13" s="56" t="s">
        <v>16</v>
      </c>
      <c r="FI13" s="57"/>
      <c r="FK13" s="1">
        <v>1996</v>
      </c>
      <c r="FL13" s="1">
        <v>2003</v>
      </c>
      <c r="FQ13" s="5" t="s">
        <v>144</v>
      </c>
      <c r="FR13" s="5" t="s">
        <v>144</v>
      </c>
      <c r="FS13" s="1" t="s">
        <v>145</v>
      </c>
      <c r="FW13" s="1" t="s">
        <v>143</v>
      </c>
      <c r="FX13" s="1" t="s">
        <v>104</v>
      </c>
      <c r="FY13" s="1" t="s">
        <v>105</v>
      </c>
      <c r="GA13" s="1" t="s">
        <v>106</v>
      </c>
      <c r="GH13" s="1" t="s">
        <v>107</v>
      </c>
      <c r="GO13" s="1" t="s">
        <v>42</v>
      </c>
      <c r="GQ13" s="1" t="s">
        <v>108</v>
      </c>
      <c r="GU13" s="1" t="s">
        <v>151</v>
      </c>
      <c r="GV13" s="1" t="s">
        <v>109</v>
      </c>
      <c r="GW13" s="1" t="s">
        <v>110</v>
      </c>
      <c r="GY13" s="1" t="s">
        <v>111</v>
      </c>
      <c r="HZ13" s="6" t="s">
        <v>112</v>
      </c>
      <c r="IA13" s="6"/>
      <c r="IB13" s="6" t="s">
        <v>113</v>
      </c>
      <c r="IC13" s="6"/>
      <c r="ID13" s="6" t="s">
        <v>114</v>
      </c>
      <c r="IE13" s="26"/>
      <c r="IN13" s="168" t="s">
        <v>235</v>
      </c>
    </row>
    <row r="14" spans="1:260" ht="18" customHeight="1" thickBot="1">
      <c r="A14" s="129" t="s">
        <v>21</v>
      </c>
      <c r="B14" s="129" t="s">
        <v>19</v>
      </c>
      <c r="C14" s="113" t="s">
        <v>22</v>
      </c>
      <c r="D14" s="3" t="s">
        <v>23</v>
      </c>
      <c r="E14" s="113" t="s">
        <v>205</v>
      </c>
      <c r="F14" s="22" t="s">
        <v>1</v>
      </c>
      <c r="G14" s="22" t="s">
        <v>122</v>
      </c>
      <c r="H14" s="22" t="s">
        <v>123</v>
      </c>
      <c r="I14" s="22" t="s">
        <v>149</v>
      </c>
      <c r="J14" s="22" t="s">
        <v>125</v>
      </c>
      <c r="K14" s="22" t="s">
        <v>126</v>
      </c>
      <c r="L14" s="22" t="s">
        <v>127</v>
      </c>
      <c r="M14" s="22" t="s">
        <v>128</v>
      </c>
      <c r="N14" s="22" t="s">
        <v>129</v>
      </c>
      <c r="O14" s="22" t="s">
        <v>130</v>
      </c>
      <c r="P14" s="22" t="s">
        <v>131</v>
      </c>
      <c r="Q14" s="22" t="s">
        <v>4</v>
      </c>
      <c r="R14" s="121" t="s">
        <v>4</v>
      </c>
      <c r="T14" s="22" t="s">
        <v>1</v>
      </c>
      <c r="U14" s="22" t="s">
        <v>122</v>
      </c>
      <c r="V14" s="22" t="s">
        <v>123</v>
      </c>
      <c r="W14" s="22" t="s">
        <v>149</v>
      </c>
      <c r="X14" s="22" t="s">
        <v>125</v>
      </c>
      <c r="Y14" s="22" t="s">
        <v>126</v>
      </c>
      <c r="Z14" s="22" t="s">
        <v>127</v>
      </c>
      <c r="AA14" s="22" t="s">
        <v>128</v>
      </c>
      <c r="AB14" s="22" t="s">
        <v>129</v>
      </c>
      <c r="AC14" s="22" t="s">
        <v>130</v>
      </c>
      <c r="AD14"/>
      <c r="AE14" s="160" t="s">
        <v>196</v>
      </c>
      <c r="AF14" s="164" t="s">
        <v>220</v>
      </c>
      <c r="AG14" s="164" t="s">
        <v>219</v>
      </c>
      <c r="AH14" s="89" t="s">
        <v>166</v>
      </c>
      <c r="AI14" s="89" t="s">
        <v>22</v>
      </c>
      <c r="AJ14" s="90"/>
      <c r="AK14" s="89" t="s">
        <v>166</v>
      </c>
      <c r="AL14" s="89" t="s">
        <v>22</v>
      </c>
      <c r="AM14" s="90"/>
      <c r="AN14" s="89" t="s">
        <v>197</v>
      </c>
      <c r="AO14" s="89" t="s">
        <v>214</v>
      </c>
      <c r="AP14" s="89" t="s">
        <v>212</v>
      </c>
      <c r="AQ14" s="90"/>
      <c r="AR14" s="89" t="s">
        <v>215</v>
      </c>
      <c r="AS14" s="89" t="s">
        <v>167</v>
      </c>
      <c r="AT14" s="89" t="s">
        <v>212</v>
      </c>
      <c r="AU14"/>
      <c r="AV14" s="37" t="s">
        <v>162</v>
      </c>
      <c r="AW14" s="37" t="s">
        <v>163</v>
      </c>
      <c r="AX14" s="37" t="s">
        <v>164</v>
      </c>
      <c r="AY14" s="37" t="s">
        <v>165</v>
      </c>
      <c r="AZ14" s="37" t="s">
        <v>22</v>
      </c>
      <c r="BA14" s="32"/>
      <c r="BB14" s="37" t="s">
        <v>166</v>
      </c>
      <c r="BC14" s="37" t="s">
        <v>22</v>
      </c>
      <c r="BD14" s="37" t="s">
        <v>167</v>
      </c>
      <c r="BE14" s="37" t="s">
        <v>22</v>
      </c>
      <c r="BF14" s="37" t="s">
        <v>22</v>
      </c>
      <c r="BG14" s="37" t="s">
        <v>167</v>
      </c>
      <c r="BH14" s="37" t="s">
        <v>167</v>
      </c>
      <c r="BI14" s="37" t="s">
        <v>167</v>
      </c>
      <c r="BJ14" s="117" t="s">
        <v>217</v>
      </c>
      <c r="BK14" s="113" t="s">
        <v>234</v>
      </c>
      <c r="BL14" s="37" t="s">
        <v>53</v>
      </c>
      <c r="BM14" s="37" t="s">
        <v>33</v>
      </c>
      <c r="BN14" s="37" t="s">
        <v>29</v>
      </c>
      <c r="BO14" s="37" t="s">
        <v>28</v>
      </c>
      <c r="BP14" s="179" t="s">
        <v>30</v>
      </c>
      <c r="BQ14" s="37" t="s">
        <v>31</v>
      </c>
      <c r="BR14" s="37" t="s">
        <v>56</v>
      </c>
      <c r="BT14" s="37" t="s">
        <v>53</v>
      </c>
      <c r="BU14" s="37" t="str">
        <f t="shared" ref="BU14:BU18" si="6">FG14</f>
        <v>EnFs</v>
      </c>
      <c r="BV14" s="37" t="str">
        <f t="shared" ref="BV14:BV18" si="7">FC14</f>
        <v>CaTs</v>
      </c>
      <c r="BW14" s="37" t="str">
        <f t="shared" ref="BW14:BW18" si="8">FB14</f>
        <v>Jd</v>
      </c>
      <c r="BX14" s="179" t="str">
        <f t="shared" ref="BX14:BY18" si="9">FD14</f>
        <v>CaTi</v>
      </c>
      <c r="BY14" s="37" t="str">
        <f t="shared" si="9"/>
        <v>CrCaTs</v>
      </c>
      <c r="BZ14" s="37" t="s">
        <v>56</v>
      </c>
      <c r="CA14" s="37" t="s">
        <v>132</v>
      </c>
      <c r="CC14" s="33"/>
      <c r="CD14" s="38" t="s">
        <v>22</v>
      </c>
      <c r="CE14" s="38" t="s">
        <v>22</v>
      </c>
      <c r="CF14" s="38" t="s">
        <v>152</v>
      </c>
      <c r="CG14" s="38" t="s">
        <v>167</v>
      </c>
      <c r="CH14" s="38" t="s">
        <v>170</v>
      </c>
      <c r="CI14" s="52"/>
      <c r="CJ14" s="38" t="s">
        <v>22</v>
      </c>
      <c r="CK14" s="38" t="s">
        <v>22</v>
      </c>
      <c r="CL14" s="39" t="s">
        <v>167</v>
      </c>
      <c r="CM14" s="5"/>
      <c r="CN14" s="1" t="s">
        <v>1</v>
      </c>
      <c r="CO14" s="1" t="s">
        <v>122</v>
      </c>
      <c r="CP14" s="1" t="s">
        <v>155</v>
      </c>
      <c r="CQ14" s="1" t="s">
        <v>124</v>
      </c>
      <c r="CR14" s="1" t="s">
        <v>125</v>
      </c>
      <c r="CS14" s="1" t="s">
        <v>126</v>
      </c>
      <c r="CT14" s="1" t="s">
        <v>127</v>
      </c>
      <c r="CU14" s="1" t="s">
        <v>156</v>
      </c>
      <c r="CV14" s="1" t="s">
        <v>157</v>
      </c>
      <c r="CW14" s="1" t="s">
        <v>158</v>
      </c>
      <c r="CX14" s="1" t="s">
        <v>159</v>
      </c>
      <c r="CY14" s="1" t="s">
        <v>160</v>
      </c>
      <c r="DA14" s="60" t="s">
        <v>1</v>
      </c>
      <c r="DB14" s="61" t="s">
        <v>122</v>
      </c>
      <c r="DC14" s="61" t="s">
        <v>155</v>
      </c>
      <c r="DD14" s="61" t="s">
        <v>124</v>
      </c>
      <c r="DE14" s="61" t="s">
        <v>125</v>
      </c>
      <c r="DF14" s="61" t="s">
        <v>126</v>
      </c>
      <c r="DG14" s="61" t="s">
        <v>127</v>
      </c>
      <c r="DH14" s="61" t="s">
        <v>156</v>
      </c>
      <c r="DI14" s="61" t="s">
        <v>157</v>
      </c>
      <c r="DJ14" s="61" t="s">
        <v>158</v>
      </c>
      <c r="DK14" s="62" t="s">
        <v>159</v>
      </c>
      <c r="DM14" s="157" t="s">
        <v>233</v>
      </c>
      <c r="DN14" s="1" t="s">
        <v>1</v>
      </c>
      <c r="DO14" s="1" t="s">
        <v>122</v>
      </c>
      <c r="DP14" s="1" t="s">
        <v>155</v>
      </c>
      <c r="DQ14" s="1" t="s">
        <v>124</v>
      </c>
      <c r="DR14" s="1" t="s">
        <v>125</v>
      </c>
      <c r="DS14" s="1" t="s">
        <v>126</v>
      </c>
      <c r="DT14" s="1" t="s">
        <v>127</v>
      </c>
      <c r="DU14" s="1" t="s">
        <v>156</v>
      </c>
      <c r="DV14" s="1" t="s">
        <v>157</v>
      </c>
      <c r="DW14" s="1" t="s">
        <v>158</v>
      </c>
      <c r="DX14" s="1" t="s">
        <v>160</v>
      </c>
      <c r="DZ14" s="1" t="s">
        <v>1</v>
      </c>
      <c r="EA14" s="1" t="s">
        <v>122</v>
      </c>
      <c r="EB14" s="1" t="s">
        <v>155</v>
      </c>
      <c r="EC14" s="1" t="s">
        <v>124</v>
      </c>
      <c r="ED14" s="1" t="s">
        <v>125</v>
      </c>
      <c r="EE14" s="1" t="s">
        <v>126</v>
      </c>
      <c r="EF14" s="1" t="s">
        <v>127</v>
      </c>
      <c r="EG14" s="1" t="s">
        <v>156</v>
      </c>
      <c r="EH14" s="1" t="s">
        <v>157</v>
      </c>
      <c r="EI14" s="1" t="s">
        <v>158</v>
      </c>
      <c r="EJ14" s="1" t="s">
        <v>56</v>
      </c>
      <c r="EK14" s="1" t="s">
        <v>58</v>
      </c>
      <c r="EM14" s="60" t="s">
        <v>14</v>
      </c>
      <c r="EN14" s="61" t="s">
        <v>13</v>
      </c>
      <c r="EO14" s="61" t="s">
        <v>24</v>
      </c>
      <c r="EP14" s="61" t="s">
        <v>25</v>
      </c>
      <c r="EQ14" s="61" t="s">
        <v>26</v>
      </c>
      <c r="ER14" s="61" t="s">
        <v>12</v>
      </c>
      <c r="ES14" s="61" t="s">
        <v>11</v>
      </c>
      <c r="ET14" s="61" t="s">
        <v>10</v>
      </c>
      <c r="EU14" s="61" t="s">
        <v>9</v>
      </c>
      <c r="EV14" s="61" t="s">
        <v>7</v>
      </c>
      <c r="EW14" s="61" t="s">
        <v>86</v>
      </c>
      <c r="EX14" s="61" t="s">
        <v>8</v>
      </c>
      <c r="EY14" s="62" t="s">
        <v>56</v>
      </c>
      <c r="EZ14" s="1" t="s">
        <v>27</v>
      </c>
      <c r="FA14" s="1" t="s">
        <v>27</v>
      </c>
      <c r="FB14" s="64" t="s">
        <v>28</v>
      </c>
      <c r="FC14" s="65" t="s">
        <v>29</v>
      </c>
      <c r="FD14" s="65" t="s">
        <v>30</v>
      </c>
      <c r="FE14" s="65" t="s">
        <v>31</v>
      </c>
      <c r="FF14" s="65" t="s">
        <v>32</v>
      </c>
      <c r="FG14" s="65" t="s">
        <v>33</v>
      </c>
      <c r="FH14" s="61" t="s">
        <v>56</v>
      </c>
      <c r="FI14" s="62" t="s">
        <v>34</v>
      </c>
      <c r="FJ14" s="1" t="s">
        <v>35</v>
      </c>
      <c r="FK14" s="1" t="s">
        <v>36</v>
      </c>
      <c r="FL14" s="1" t="s">
        <v>36</v>
      </c>
      <c r="FM14" s="1" t="s">
        <v>161</v>
      </c>
      <c r="FN14" s="1" t="s">
        <v>17</v>
      </c>
      <c r="FO14" s="1" t="s">
        <v>18</v>
      </c>
      <c r="FP14" s="1" t="s">
        <v>168</v>
      </c>
      <c r="FQ14" s="5" t="s">
        <v>140</v>
      </c>
      <c r="FR14" s="5" t="s">
        <v>142</v>
      </c>
      <c r="FS14" s="1" t="s">
        <v>22</v>
      </c>
      <c r="FT14" s="66" t="s">
        <v>169</v>
      </c>
      <c r="FU14" s="157" t="s">
        <v>232</v>
      </c>
      <c r="FW14" s="1" t="s">
        <v>170</v>
      </c>
      <c r="FX14" s="1" t="s">
        <v>170</v>
      </c>
      <c r="FY14" s="1" t="s">
        <v>171</v>
      </c>
      <c r="FZ14" s="1" t="s">
        <v>172</v>
      </c>
      <c r="GA14" s="1" t="s">
        <v>170</v>
      </c>
      <c r="GB14" s="1" t="s">
        <v>173</v>
      </c>
      <c r="GC14" s="1" t="s">
        <v>174</v>
      </c>
      <c r="GD14" s="1" t="s">
        <v>175</v>
      </c>
      <c r="GE14" s="1" t="s">
        <v>176</v>
      </c>
      <c r="GF14" s="1" t="s">
        <v>117</v>
      </c>
      <c r="GG14" s="1" t="s">
        <v>118</v>
      </c>
      <c r="GH14" s="1" t="s">
        <v>177</v>
      </c>
      <c r="GI14" s="1" t="s">
        <v>178</v>
      </c>
      <c r="GJ14" s="1" t="s">
        <v>179</v>
      </c>
      <c r="GK14" s="1" t="s">
        <v>180</v>
      </c>
      <c r="GL14" s="1" t="s">
        <v>181</v>
      </c>
      <c r="GM14" s="1" t="s">
        <v>47</v>
      </c>
      <c r="GN14" s="1" t="s">
        <v>81</v>
      </c>
      <c r="GO14" s="1" t="s">
        <v>82</v>
      </c>
      <c r="GP14" s="1" t="s">
        <v>83</v>
      </c>
      <c r="GQ14" s="1" t="s">
        <v>84</v>
      </c>
      <c r="GR14" s="1" t="s">
        <v>85</v>
      </c>
      <c r="GS14" s="1" t="s">
        <v>86</v>
      </c>
      <c r="GT14" s="1" t="s">
        <v>87</v>
      </c>
      <c r="GU14" s="1" t="s">
        <v>22</v>
      </c>
      <c r="GV14" s="1" t="s">
        <v>22</v>
      </c>
      <c r="GW14" s="1" t="s">
        <v>22</v>
      </c>
      <c r="GX14" s="1" t="s">
        <v>88</v>
      </c>
      <c r="GY14" s="1" t="s">
        <v>89</v>
      </c>
      <c r="HA14" s="1" t="s">
        <v>90</v>
      </c>
      <c r="HB14" s="1" t="s">
        <v>91</v>
      </c>
      <c r="HC14" s="4" t="s">
        <v>92</v>
      </c>
      <c r="HD14" s="4"/>
      <c r="HE14" s="7" t="s">
        <v>93</v>
      </c>
      <c r="HF14" s="7" t="s">
        <v>94</v>
      </c>
      <c r="HG14" s="7" t="s">
        <v>95</v>
      </c>
      <c r="HH14" s="7" t="s">
        <v>96</v>
      </c>
      <c r="HI14" s="8" t="s">
        <v>97</v>
      </c>
      <c r="HJ14" s="7" t="s">
        <v>98</v>
      </c>
      <c r="HK14" s="7" t="s">
        <v>99</v>
      </c>
      <c r="HL14" s="7" t="s">
        <v>100</v>
      </c>
      <c r="HM14" s="7" t="s">
        <v>101</v>
      </c>
      <c r="HN14" s="7" t="s">
        <v>102</v>
      </c>
      <c r="HO14" s="7" t="s">
        <v>103</v>
      </c>
      <c r="HP14" s="7" t="s">
        <v>64</v>
      </c>
      <c r="HQ14" s="7" t="s">
        <v>65</v>
      </c>
      <c r="HR14" s="7" t="s">
        <v>66</v>
      </c>
      <c r="HS14" s="9" t="s">
        <v>67</v>
      </c>
      <c r="HT14" s="10"/>
      <c r="HU14" s="11" t="s">
        <v>68</v>
      </c>
      <c r="HV14" s="11" t="s">
        <v>69</v>
      </c>
      <c r="HW14" s="11" t="s">
        <v>70</v>
      </c>
      <c r="HX14" s="11" t="s">
        <v>71</v>
      </c>
      <c r="HY14" s="12" t="s">
        <v>72</v>
      </c>
      <c r="HZ14" s="13" t="s">
        <v>73</v>
      </c>
      <c r="IA14" s="13" t="s">
        <v>74</v>
      </c>
      <c r="IB14" s="13" t="s">
        <v>73</v>
      </c>
      <c r="IC14" s="13" t="s">
        <v>75</v>
      </c>
      <c r="ID14" s="13" t="s">
        <v>75</v>
      </c>
      <c r="IE14" s="171" t="s">
        <v>83</v>
      </c>
      <c r="IF14" s="12" t="s">
        <v>76</v>
      </c>
      <c r="IG14" s="3" t="s">
        <v>77</v>
      </c>
      <c r="IH14" s="1" t="s">
        <v>78</v>
      </c>
      <c r="II14" s="8" t="s">
        <v>79</v>
      </c>
      <c r="IJ14" s="14" t="s">
        <v>86</v>
      </c>
      <c r="IK14" s="11" t="s">
        <v>85</v>
      </c>
      <c r="IN14" s="170" t="s">
        <v>238</v>
      </c>
      <c r="IO14" s="170" t="s">
        <v>237</v>
      </c>
      <c r="IP14" s="170" t="s">
        <v>239</v>
      </c>
      <c r="IR14" s="169" t="s">
        <v>177</v>
      </c>
      <c r="IS14" s="169" t="s">
        <v>236</v>
      </c>
      <c r="IU14" s="169" t="str">
        <f>IN14</f>
        <v>En</v>
      </c>
      <c r="IV14" s="169" t="str">
        <f>IO14</f>
        <v>Fs</v>
      </c>
      <c r="IW14" s="169" t="str">
        <f>IP14</f>
        <v>Wo</v>
      </c>
      <c r="IX14" s="169"/>
      <c r="IY14" s="169" t="s">
        <v>177</v>
      </c>
      <c r="IZ14" s="169" t="s">
        <v>236</v>
      </c>
    </row>
    <row r="15" spans="1:260" s="186" customFormat="1" ht="13.2">
      <c r="A15" s="181" t="s">
        <v>201</v>
      </c>
      <c r="B15" s="181" t="s">
        <v>203</v>
      </c>
      <c r="C15" s="174">
        <f>10*J15</f>
        <v>1.7999999999999998</v>
      </c>
      <c r="D15" s="182">
        <f ca="1">AK15-273.15</f>
        <v>1156.5368752259269</v>
      </c>
      <c r="E15" s="180">
        <f ca="1">BL15-BT15</f>
        <v>1.2400560687270357E-2</v>
      </c>
      <c r="F15" s="173">
        <v>51.1</v>
      </c>
      <c r="G15" s="173">
        <v>0.93</v>
      </c>
      <c r="H15" s="173">
        <v>17.5</v>
      </c>
      <c r="I15" s="173">
        <v>8.91</v>
      </c>
      <c r="J15" s="173">
        <v>0.18</v>
      </c>
      <c r="K15" s="183">
        <v>6.09</v>
      </c>
      <c r="L15" s="173">
        <v>11.5</v>
      </c>
      <c r="M15" s="173">
        <v>3.53</v>
      </c>
      <c r="N15" s="173">
        <v>0.17</v>
      </c>
      <c r="O15" s="173">
        <v>0</v>
      </c>
      <c r="P15" s="173">
        <v>0.15</v>
      </c>
      <c r="Q15" s="173">
        <v>3.8</v>
      </c>
      <c r="R15" s="184">
        <f t="shared" ref="R15:R18" ca="1" si="10">0.7996+15.347*(AI15/10)^0.5-0.00233*(AH15-273.15)+0.06248*(N15+M15)</f>
        <v>-0.21657732846339656</v>
      </c>
      <c r="S15" s="185"/>
      <c r="T15" s="173">
        <v>51.5</v>
      </c>
      <c r="U15" s="173">
        <v>0.5</v>
      </c>
      <c r="V15" s="173">
        <v>3.7</v>
      </c>
      <c r="W15" s="173">
        <v>5.18</v>
      </c>
      <c r="X15" s="173">
        <v>0.09</v>
      </c>
      <c r="Y15" s="173">
        <v>15.8</v>
      </c>
      <c r="Z15" s="173">
        <v>22.8</v>
      </c>
      <c r="AA15" s="173">
        <v>0.24</v>
      </c>
      <c r="AB15" s="173">
        <v>0</v>
      </c>
      <c r="AC15" s="173">
        <v>0.66</v>
      </c>
      <c r="AE15" s="187">
        <f ca="1">10^4/(7.53-0.14*FK15+0.07*Q15-14.9*DG15*DA15-0.08*LN(DB15)-3.62*(DH15+DI15)-1.1*DF15/(DF15+DD15)-0.18*LN(FG15)-0.027*AG15)</f>
        <v>1344.7001329487964</v>
      </c>
      <c r="AF15" s="187">
        <f ca="1">AE15-273.15</f>
        <v>1071.5501329487965</v>
      </c>
      <c r="AG15" s="187">
        <f ca="1">-26.2712+39.16138*AE15*FJ15/10^4-4.21676*LN(FI15)+78.43463*DC15+393.8126*(DH15+DI15)^2</f>
        <v>0.96064373117069501</v>
      </c>
      <c r="AH15" s="187">
        <f ca="1">AX15</f>
        <v>1421.0407376170358</v>
      </c>
      <c r="AI15" s="187">
        <f ca="1">AT15</f>
        <v>8.6485284337609158E-2</v>
      </c>
      <c r="AJ15" s="187"/>
      <c r="AK15" s="187">
        <f t="shared" ref="AK15:AL19" ca="1" si="11">BB15</f>
        <v>1429.686875225927</v>
      </c>
      <c r="AL15" s="187">
        <f t="shared" ca="1" si="11"/>
        <v>0.94800232896399406</v>
      </c>
      <c r="AM15" s="187"/>
      <c r="AN15" s="187">
        <f ca="1">10^4/(7.53-0.14*FK15+0.07*Q15-14.9*DG15*DA15-0.08*LN(DB15)-3.62*(DH15+DI15)-1.1*DF15/(DF15+DD15)-0.18*LN(FG15)-0.027*AP15)</f>
        <v>1335.5800858545699</v>
      </c>
      <c r="AO15" s="187">
        <f ca="1">AN15-273.15</f>
        <v>1062.4300858545698</v>
      </c>
      <c r="AP15" s="187">
        <f ca="1">IF(ABS(FB15)&gt;0,-54.3+299*(AN15)/10^4+36.4*(AN15)*FJ15/10^4+367*DH15*DC15,0)</f>
        <v>-0.92013599246362432</v>
      </c>
      <c r="AQ15" s="187"/>
      <c r="AR15" s="187">
        <f ca="1">10^4/(6.39+0.076*Q15-5.55*DG15*DA15-0.386*LN(DF15)-0.046*AT15+2.2*10^-4*(AT15^2))</f>
        <v>1363.023673699824</v>
      </c>
      <c r="AS15" s="187">
        <f ca="1">AR15-273.15</f>
        <v>1089.8736736998239</v>
      </c>
      <c r="AT15" s="188">
        <f ca="1">-54.3+299*(AR15)/10^4+36.4*(AR15)*FJ15/10^4+367*DH15*DC15</f>
        <v>8.6485284337609158E-2</v>
      </c>
      <c r="AV15" s="188">
        <f>IF(ABS(FB15)&gt;0,10^4/(6.73-0.26*FK15-0.86*LN(FM15)+0.52*LN(DG15)),0)</f>
        <v>1423.8053656325776</v>
      </c>
      <c r="AW15" s="188">
        <f>IF(AV15&gt;0,AV15-273.15,0)</f>
        <v>1150.6553656325777</v>
      </c>
      <c r="AX15" s="188">
        <f ca="1">IF(ABS(FB15)&gt;0,10^4/(6.59-0.16*FK15-0.65*LN(FM15)+0.23*LN(DG15)-0.02*AT15),0)</f>
        <v>1421.0407376170358</v>
      </c>
      <c r="AY15" s="188">
        <f ca="1">IF(AX15&gt;0,AX15-273.15,0)</f>
        <v>1147.8907376170359</v>
      </c>
      <c r="AZ15" s="188">
        <f ca="1">IF(ABS(FB15)&gt;0,-54.3+299*(AX15)/10^4+36.4*(AX15)*FJ15/10^4+367*DH15*DC15,0)</f>
        <v>2.2145310517463539</v>
      </c>
      <c r="BA15" s="188"/>
      <c r="BB15" s="188">
        <f ca="1">IF(ABS(FB15)&gt;0,10^4/(4.6-0.437*FL15-0.654*LN(FM15)-0.326*LN(DH15)-0.92*LN(DA15)+0.274*LN(FB15)-0.00632*BC15),0)</f>
        <v>1429.686875225927</v>
      </c>
      <c r="BC15" s="188">
        <f ca="1">IF(ABS(FB15)&gt;0,-88.3+0.00282*(BB15)*FJ15+0.0219*(BB15)-25.1*LN(DG15*DA15)+12.4*LN(DG15)+7.03*FM15,0)</f>
        <v>0.94800232896399406</v>
      </c>
      <c r="BD15" s="188">
        <f ca="1">BB15-273.15</f>
        <v>1156.5368752259269</v>
      </c>
      <c r="BE15" s="188">
        <f ca="1">-48.7+271.3*AH15/10^4+31.96*(AH15/10^4)*FJ15-8.2*LN(DD15)+4.6*LN(DF15)-0.96*LN(DI15)-2.2*LN(FI15)-31*FM15+56.2*(DH15+DI15)+0.76*Q15</f>
        <v>4.8011868052980464</v>
      </c>
      <c r="BF15" s="188">
        <f ca="1">-40.73+358*AH15/10^4+21.7*(AH15/10^4)*FJ15-106*DG15-166*(DH15+DI15)^2-50.2*DA15*(DD15+DF15)-3.2*LN(FI15)-2.2*LN(FG15)+0.86*LN(EQ15)+0.4*Q15</f>
        <v>5.1490615818901198</v>
      </c>
      <c r="BG15" s="188">
        <f ca="1">-273.15+10^4/(7.53+0.07*Q15-1.1*FM15-14.9*DG15*DA15-0.08*LN(DB15)-3.62*(DH15+DI15)-0.18*LN(FG15)-0.026*AI15-0.14*FL15)</f>
        <v>1067.2802883440268</v>
      </c>
      <c r="BH15" s="188">
        <f ca="1">-273.15+10^4/(6.39+0.076*Q15-5.55*DG15*DA15-0.386*LN(DF15)-0.046*FO15+2.2*10^-4*AI15^2)</f>
        <v>1089.8736736998239</v>
      </c>
      <c r="BI15" s="188">
        <f ca="1">-273.15+10^4/(6.39+0.076*Q15-5.55*(DG15*DA15)-0.386*LN(DF15)-0.046*AI15+0.00022*AI15^2)</f>
        <v>1089.8736736998239</v>
      </c>
      <c r="BJ15" s="188">
        <f ca="1">10^4/(3.12-0.0259*BC15-0.37*LN(DF15/(DF15+DD15))+0.47*LN(DG15*(DF15+DD15)*DA15^2)-0.78*LN((DF15+DD15)^2*DA15^2)-0.34*LN(DG15*DC15^2*DA15))-273.15</f>
        <v>1167.7951240626771</v>
      </c>
      <c r="BK15" s="180">
        <f ca="1">EXP(-9.8+0.24*LN(DG15*(DD15+DF15)*DA15^2)+17558/AE15+8.7*LN(AE15/1670)-4.61*10^3*(FG15^2/AE15))</f>
        <v>0.99922539439608238</v>
      </c>
      <c r="BL15" s="180">
        <f ca="1">EXP(-0.482-0.439*LN(DA15)+101.03*(DH15+DI15)^3-51.69*AG15/AE15-3742.5*FG15^2/AE15)</f>
        <v>0.82683671188343988</v>
      </c>
      <c r="BM15" s="180">
        <f ca="1">EXP(-6.96+18438/AE15+8*LN(AE15/1670)+0.66*LN((DD15+DF15)^2*DA15^2)-5.1*10^3*(FF15^2/AE15)+1.81*LN(DA15))</f>
        <v>9.6081536124996772E-2</v>
      </c>
      <c r="BN15" s="180">
        <f ca="1">EXP(2.58+0.12*AG15/AE15-9*10^-7*AG15^2/AE15+0.78*LN(DG15*DC15^2*DA15)-4.3*10^3*(FF15^2/AE15))</f>
        <v>1.2052902017893692E-2</v>
      </c>
      <c r="BO15" s="180">
        <f ca="1">EXP(-1.06+0.23*AG15/AE15-6*10^-7*AG15^2/AE15+1.02*LN(DH15*DC15*DA15^2)-0.8*LN(DC15)-2.2*LN(DA15))</f>
        <v>1.6173272150563845E-2</v>
      </c>
      <c r="BP15" s="180">
        <f ca="1">EXP(5.1+0.52*LN(DG15*DB15*DC15^2)+2.04*10^3*FF15^2/AE15-6.2*DA15+42.5*DH15*DC15-45.1*(DD15+DF15)*DC15)</f>
        <v>4.5575107147191145E-2</v>
      </c>
      <c r="BQ15" s="180">
        <f>EXP(12.8)*DG15*DJ15^2*DA15</f>
        <v>0</v>
      </c>
      <c r="BR15" s="188">
        <f ca="1">SUM(BL15:BQ15)</f>
        <v>0.99671952932408536</v>
      </c>
      <c r="BS15" s="188"/>
      <c r="BT15" s="180">
        <f>FF15</f>
        <v>0.81443615119616952</v>
      </c>
      <c r="BU15" s="180">
        <f t="shared" si="6"/>
        <v>0.10382693656686925</v>
      </c>
      <c r="BV15" s="180">
        <f t="shared" si="7"/>
        <v>3.0374796890280439E-2</v>
      </c>
      <c r="BW15" s="180">
        <f>FB15</f>
        <v>1.705536082466275E-2</v>
      </c>
      <c r="BX15" s="180">
        <f t="shared" si="9"/>
        <v>4.1013051289162938E-2</v>
      </c>
      <c r="BY15" s="180">
        <f t="shared" si="9"/>
        <v>9.5624467371756647E-3</v>
      </c>
      <c r="BZ15" s="180">
        <f>SUM(BT15:BY15)</f>
        <v>1.0162687435043207</v>
      </c>
      <c r="CA15" s="180">
        <f>(ER15/ET15)/($G$8*DD15/DF15)</f>
        <v>0.22408472914802025</v>
      </c>
      <c r="CB15" s="188"/>
      <c r="CC15" s="188"/>
      <c r="CD15" s="188">
        <f ca="1">3205-5.62*ET15+83.2*EV15+68.2*FI15+2.52*LN(EP15)-51.1*FI15^2+34.8*FG15^2+0.384*(AH15)-518*LN(AH15)</f>
        <v>1.352356277475792</v>
      </c>
      <c r="CE15" s="188">
        <f ca="1">1458+0.197*(AH15)-241*LN(AH15)+0.453*Q15+55.5*EP15+8.05*ER15-277*EW15+18*FB15+44.1*FF15+2.2*LN(FB15)-27.7*EQ15^2+97.3*GI15^2+30.7*GK15^2-27.6*FF15^2</f>
        <v>2.5439587952203695</v>
      </c>
      <c r="CF15" s="188">
        <f ca="1">-57.9+0.0475*(AH15)-40.6*DD15-47.7*FC15+0.67*Q15-153*DG15*DA15+6.89*(EQ15/DC15)</f>
        <v>5.5451056411643203</v>
      </c>
      <c r="CG15" s="188">
        <f ca="1">-273.15+(93100+544*AI15)/(61.1+36.6*EN15+10.9*ER15-0.95*(EQ15+EX15-EV15-EW15)+0.395*(LN(FT15))^2)</f>
        <v>1144.0316855130527</v>
      </c>
      <c r="CH15" s="189">
        <f ca="1">EXP(-0.107-1719/AH15)</f>
        <v>0.26802452500385088</v>
      </c>
      <c r="CJ15" s="188">
        <f>698.443+4.985*EO15-26.826*GJ15-3.764*EZ15+53.989*EP15+3.948*EN15+14.651*EX15-700.431*EU15-666.629*EV15-682.848*GK15-691.138*GI15-688.384*ES15-6.267*GK15^2-4.144*GI15^2</f>
        <v>0.53399902426765189</v>
      </c>
      <c r="CK15" s="188">
        <f>771.48+4.956*EO15-28.756*GJ15-5.345*EZ15+56.904*EP15+1.848*EN15+14.827*EX15-773.74*EU15-736.57*EV15-754.81*GK15-763.2*GI15-759.66*ES15-1.185*GK15^2-1.876*GI15^2</f>
        <v>0.31797542729864264</v>
      </c>
      <c r="CL15" s="188">
        <f ca="1">-273.15+(23166+39.28*AI15)/(13.25+15.35*EN15+4.5*ER15-1.55*(EQ15-EX15-EV15-EW15)+(LN(IF15))^2)</f>
        <v>860.99696687858602</v>
      </c>
      <c r="CM15" s="190"/>
      <c r="CN15" s="186">
        <f t="shared" ref="CN15:CO19" si="12">F15/CN$10</f>
        <v>0.85047175385250395</v>
      </c>
      <c r="CO15" s="186">
        <f t="shared" si="12"/>
        <v>1.1642638597475176E-2</v>
      </c>
      <c r="CP15" s="186">
        <f>H15*2/CP$10</f>
        <v>0.34326850462431713</v>
      </c>
      <c r="CQ15" s="186">
        <f t="shared" ref="CQ15:CT19" si="13">I15/CQ$10</f>
        <v>0.124014564404062</v>
      </c>
      <c r="CR15" s="186">
        <f t="shared" si="13"/>
        <v>2.5374449339207049E-3</v>
      </c>
      <c r="CS15" s="186">
        <f t="shared" si="13"/>
        <v>0.15110012802572423</v>
      </c>
      <c r="CT15" s="186">
        <f t="shared" si="13"/>
        <v>0.20507370170514325</v>
      </c>
      <c r="CU15" s="186">
        <f t="shared" ref="CU15:CX19" si="14">M15*2/CU$10</f>
        <v>0.1139097337965017</v>
      </c>
      <c r="CV15" s="186">
        <f t="shared" si="14"/>
        <v>3.6094950953331354E-3</v>
      </c>
      <c r="CW15" s="186">
        <f t="shared" si="14"/>
        <v>0</v>
      </c>
      <c r="CX15" s="186">
        <f t="shared" si="14"/>
        <v>2.1136137863981904E-3</v>
      </c>
      <c r="CY15" s="186">
        <f>SUM(CN15:CX15)</f>
        <v>1.8077415788213793</v>
      </c>
      <c r="DA15" s="186">
        <f t="shared" ref="DA15:DK19" si="15">(CN15/$CY15)</f>
        <v>0.47046091311734883</v>
      </c>
      <c r="DB15" s="186">
        <f t="shared" si="15"/>
        <v>6.440433043016028E-3</v>
      </c>
      <c r="DC15" s="186">
        <f t="shared" si="15"/>
        <v>0.18988803966556056</v>
      </c>
      <c r="DD15" s="186">
        <f t="shared" si="15"/>
        <v>6.8601931745641248E-2</v>
      </c>
      <c r="DE15" s="186">
        <f t="shared" si="15"/>
        <v>1.4036546836385107E-3</v>
      </c>
      <c r="DF15" s="186">
        <f t="shared" si="15"/>
        <v>8.3585026640942375E-2</v>
      </c>
      <c r="DG15" s="186">
        <f>(CT15/$CY15)</f>
        <v>0.11344193445992887</v>
      </c>
      <c r="DH15" s="186">
        <f t="shared" si="15"/>
        <v>6.3012177808494704E-2</v>
      </c>
      <c r="DI15" s="186">
        <f t="shared" si="15"/>
        <v>1.9966875451780408E-3</v>
      </c>
      <c r="DJ15" s="186">
        <f t="shared" si="15"/>
        <v>0</v>
      </c>
      <c r="DK15" s="186">
        <f t="shared" si="15"/>
        <v>1.1692012902509191E-3</v>
      </c>
      <c r="DL15" s="186">
        <f>SUM(DA15:DK15)</f>
        <v>0.99999999999999989</v>
      </c>
      <c r="DM15" s="191">
        <f>100*DF15/(DF15+DD15)</f>
        <v>54.922594897140009</v>
      </c>
      <c r="DN15" s="186">
        <f t="shared" ref="DN15:DW19" si="16">T15/CN$10</f>
        <v>0.85712906699420643</v>
      </c>
      <c r="DO15" s="186">
        <f t="shared" si="16"/>
        <v>6.2594831169221375E-3</v>
      </c>
      <c r="DP15" s="186">
        <f t="shared" si="16"/>
        <v>3.6288384774570671E-2</v>
      </c>
      <c r="DQ15" s="186">
        <f t="shared" si="16"/>
        <v>7.2098254053091032E-2</v>
      </c>
      <c r="DR15" s="186">
        <f t="shared" si="16"/>
        <v>1.2687224669603525E-3</v>
      </c>
      <c r="DS15" s="186">
        <f t="shared" si="16"/>
        <v>0.39201675251337326</v>
      </c>
      <c r="DT15" s="186">
        <f t="shared" si="16"/>
        <v>0.40658090425019711</v>
      </c>
      <c r="DU15" s="186">
        <f t="shared" si="16"/>
        <v>3.8722855681530325E-3</v>
      </c>
      <c r="DV15" s="186">
        <f t="shared" si="16"/>
        <v>0</v>
      </c>
      <c r="DW15" s="186">
        <f t="shared" si="16"/>
        <v>4.3421566834344096E-3</v>
      </c>
      <c r="DX15" s="186">
        <f>SUM(DN15:DW15)</f>
        <v>1.7798560104209085</v>
      </c>
      <c r="DZ15" s="186">
        <f t="shared" ref="DZ15:EA18" si="17">DN15*2</f>
        <v>1.7142581339884129</v>
      </c>
      <c r="EA15" s="186">
        <f t="shared" si="17"/>
        <v>1.2518966233844275E-2</v>
      </c>
      <c r="EB15" s="186">
        <f>DP15*3</f>
        <v>0.10886515432371202</v>
      </c>
      <c r="EC15" s="186">
        <f t="shared" ref="EC15:EH18" si="18">DQ15</f>
        <v>7.2098254053091032E-2</v>
      </c>
      <c r="ED15" s="186">
        <f t="shared" si="18"/>
        <v>1.2687224669603525E-3</v>
      </c>
      <c r="EE15" s="186">
        <f t="shared" si="18"/>
        <v>0.39201675251337326</v>
      </c>
      <c r="EF15" s="186">
        <f t="shared" si="18"/>
        <v>0.40658090425019711</v>
      </c>
      <c r="EG15" s="186">
        <f t="shared" si="18"/>
        <v>3.8722855681530325E-3</v>
      </c>
      <c r="EH15" s="186">
        <f t="shared" si="18"/>
        <v>0</v>
      </c>
      <c r="EI15" s="186">
        <f>DW15*3</f>
        <v>1.3026470050303229E-2</v>
      </c>
      <c r="EJ15" s="186">
        <f>SUM(DZ15:EI15)</f>
        <v>2.7245056434480466</v>
      </c>
      <c r="EK15" s="186">
        <f>6/EJ15</f>
        <v>2.2022343812826879</v>
      </c>
      <c r="EM15" s="186">
        <f t="shared" ref="EM15:EN19" si="19">DN15*$EK15</f>
        <v>1.8875991005313937</v>
      </c>
      <c r="EN15" s="186">
        <f t="shared" si="19"/>
        <v>1.3784848929144455E-2</v>
      </c>
      <c r="EO15" s="186">
        <f>2-EM15</f>
        <v>0.11240089946860632</v>
      </c>
      <c r="EP15" s="186">
        <f>IF(EQ15-EO15&lt;0,0,EQ15-EO15)</f>
        <v>4.7430157714943189E-2</v>
      </c>
      <c r="EQ15" s="186">
        <f>DP15*$EK15*2</f>
        <v>0.15983105718354951</v>
      </c>
      <c r="ER15" s="186">
        <f t="shared" ref="ER15:EU19" si="20">DQ15*$EK15</f>
        <v>0.15877725390617098</v>
      </c>
      <c r="ES15" s="186">
        <f t="shared" si="20"/>
        <v>2.7940242370458773E-3</v>
      </c>
      <c r="ET15" s="186">
        <f t="shared" si="20"/>
        <v>0.86331277042373711</v>
      </c>
      <c r="EU15" s="186">
        <f t="shared" si="20"/>
        <v>0.89538644611278861</v>
      </c>
      <c r="EV15" s="186">
        <f t="shared" ref="EV15:EX19" si="21">DU15*$EK15*2</f>
        <v>1.705536082466275E-2</v>
      </c>
      <c r="EW15" s="186">
        <f t="shared" si="21"/>
        <v>0</v>
      </c>
      <c r="EX15" s="186">
        <f t="shared" si="21"/>
        <v>1.9124893474351329E-2</v>
      </c>
      <c r="EY15" s="186">
        <f>EM15+EN15+EQ15+ER15+ES15+ET15+EU15+EV15+EW15+EX15</f>
        <v>4.0176657556228443</v>
      </c>
      <c r="EZ15" s="186">
        <f>IF(EV15+EO15-EP15-2*EN15-EX15&gt;0,EV15+EO15-EP15-2*EN15-EX15,0)</f>
        <v>3.5331511245685635E-2</v>
      </c>
      <c r="FA15" s="186">
        <f>12-48/EY15</f>
        <v>5.2764236840122436E-2</v>
      </c>
      <c r="FB15" s="186">
        <f>IF(EV15&lt;EP15,EV15,EP15)</f>
        <v>1.705536082466275E-2</v>
      </c>
      <c r="FC15" s="186">
        <f>IF(EP15&gt;EV15,EP15-EV15,0)</f>
        <v>3.0374796890280439E-2</v>
      </c>
      <c r="FD15" s="186">
        <f>IF(EO15&gt;FC15,(EO15-FC15)/2,0)</f>
        <v>4.1013051289162938E-2</v>
      </c>
      <c r="FE15" s="186">
        <f>EX15/2</f>
        <v>9.5624467371756647E-3</v>
      </c>
      <c r="FF15" s="190">
        <f>IF(EU15-FD15-FC15-FE15&gt;0,EU15-FD15-FC15-FE15,0)</f>
        <v>0.81443615119616952</v>
      </c>
      <c r="FG15" s="186">
        <f>((ER15+ET15)-FF15)/2</f>
        <v>0.10382693656686925</v>
      </c>
      <c r="FH15" s="186">
        <f>SUM(FB15:FG15)</f>
        <v>1.0162687435043205</v>
      </c>
      <c r="FI15" s="186">
        <f>EU15-FC15-FD15-FE15</f>
        <v>0.81443615119616963</v>
      </c>
      <c r="FJ15" s="186">
        <f>LN(FB15/(DA15^2*DH15*DC15))</f>
        <v>1.8625420085643631</v>
      </c>
      <c r="FK15" s="186">
        <f>LN(FB15*DG15*(DD15+DF15)/(FF15*DH15*DC15))</f>
        <v>-3.4993932326568835</v>
      </c>
      <c r="FL15" s="186">
        <f>LN((FB15*DG15*(DD15+DF15))/(DH15*DC15*FI15))</f>
        <v>-3.4993932326568835</v>
      </c>
      <c r="FM15" s="186">
        <f>DF15/(DF15+DD15)</f>
        <v>0.54922594897140009</v>
      </c>
      <c r="FN15" s="192">
        <f t="shared" ref="FN15:FO19" ca="1" si="22">AH15</f>
        <v>1421.0407376170358</v>
      </c>
      <c r="FO15" s="192">
        <f t="shared" ca="1" si="22"/>
        <v>8.6485284337609158E-2</v>
      </c>
      <c r="FP15" s="186">
        <f ca="1">(FN15)/10^4</f>
        <v>0.14210407376170359</v>
      </c>
      <c r="FQ15" s="190">
        <f ca="1">LN(ABS(BE15-FO15))</f>
        <v>1.550685609937501</v>
      </c>
      <c r="FR15" s="190">
        <f ca="1">LN(ABS(BH15-FN15))</f>
        <v>5.8026229728717444</v>
      </c>
      <c r="FS15" s="186">
        <f ca="1">1458+0.45*Q15+0.197*(D15+273.15)-241*LN(D15+273.15)+55.5*EP15+8.05*ER15-276.6*EW15+18.01*FB15+44.09*FI15+2.17*LN(FB15)+97.3*GI15^2+30.38*GK15^2-27.59*FI15^2-17.7*EQ15^2</f>
        <v>3.1490152726779983</v>
      </c>
      <c r="FT15" s="186">
        <f>(1-EU15-EV15-EW15)*(1-0.5*(EQ15+EX15+EV15+EW15))</f>
        <v>7.8976994935931799E-2</v>
      </c>
      <c r="FU15" s="190">
        <f>100*DS15/(DS15+DQ15)</f>
        <v>84.465433559997138</v>
      </c>
      <c r="FV15" s="190">
        <f ca="1">2446.5+0.309*(D15+273.15)-400*LN(D15+273.15)-5.98*ET15-20.5*EV15+112*FB15+61.5*FC15+71.1*FI15+1.66*LN(FI15)-43.5*FI15^2+43*FG15^2-26.2*EQ15^2</f>
        <v>8.9610526922130163</v>
      </c>
      <c r="FW15" s="190">
        <f ca="1">EXP(-0.107-1719/(D15+273.15))</f>
        <v>0.26999247758448758</v>
      </c>
      <c r="FX15" s="190">
        <f>(ER15/ET15)/(DD15/DF15)</f>
        <v>0.22408472914802025</v>
      </c>
      <c r="FY15" s="186">
        <f>EU15+EV15+ES15</f>
        <v>0.91523583117449725</v>
      </c>
      <c r="FZ15" s="186">
        <f>EP15+EN15+EX15+EZ15</f>
        <v>0.11567141136412461</v>
      </c>
      <c r="GA15" s="186">
        <f>EXP(0.238*FZ15+0.289*FY15-2.3315)</f>
        <v>0.13009802829450876</v>
      </c>
      <c r="GB15" s="186">
        <f>1-EN15-EP15</f>
        <v>0.93878499335591237</v>
      </c>
      <c r="GC15" s="186">
        <f>(ER15-EZ15)+ET15-GB15</f>
        <v>4.7973519728310099E-2</v>
      </c>
      <c r="GD15" s="186">
        <f>ER15-EZ15</f>
        <v>0.12344574266048534</v>
      </c>
      <c r="GE15" s="186">
        <f>1-GA15</f>
        <v>0.86990197170549122</v>
      </c>
      <c r="GF15" s="186">
        <f>(GA15*ET15)-(GA15*(1-FY15))+GD15+(1-FY15)</f>
        <v>0.3094975494853654</v>
      </c>
      <c r="GG15" s="186">
        <f>-GD15*(1-FY15)</f>
        <v>-1.0463775771662947E-2</v>
      </c>
      <c r="GH15" s="186">
        <f>(-GF15+SQRT(GF15^2-4*GE15*GG15))/2*GE15</f>
        <v>2.352809207528777E-2</v>
      </c>
      <c r="GI15" s="186">
        <f>GH15</f>
        <v>2.352809207528777E-2</v>
      </c>
      <c r="GJ15" s="186">
        <f>GD15-GI15</f>
        <v>9.9917650585197582E-2</v>
      </c>
      <c r="GK15" s="186">
        <f>1-FY15-GI15</f>
        <v>6.1236076750214981E-2</v>
      </c>
      <c r="GL15" s="186">
        <f>ET15-GK15</f>
        <v>0.80207669367352208</v>
      </c>
      <c r="GM15" s="186">
        <f>IF(1-FY15&gt;0,EU15,1-EV15-EW15-ES15)</f>
        <v>0.89538644611278861</v>
      </c>
      <c r="GN15" s="186">
        <f>IF(1-FY15&gt;0,EV15,IF(EU15&gt;0,EV15,1-ES15))</f>
        <v>1.705536082466275E-2</v>
      </c>
      <c r="GO15" s="186">
        <f>11.864*GJ15+9.107*EZ15-18.375*EP15+11.794*EN15-1.4925*EX15+439.97*EU15+419.68*EV15+431.72*GK15+432.56*GI15+428.03*ES15-28.652*GK15^2-12.741*GI15^2</f>
        <v>439.56624386510964</v>
      </c>
      <c r="GP15" s="186">
        <f>-0.3085*EO15+0.813*GJ15-0.4173*EZ15-2.209*EP15-1.0864*EN15-0.8001*EX15+11.931*EU15+11.288*EV15+11.432*GK15+11.885*GI15+12.038*ES15+2.4355*GK15^2-1.661*GI15^2</f>
        <v>11.793669191640273</v>
      </c>
      <c r="GQ15" s="186">
        <f>3*(EZ15+EP15+EX15)+2*(GJ15+GL15)+4*EN15</f>
        <v>2.1647877715389576</v>
      </c>
      <c r="GR15" s="186">
        <f>32.9*(0.75*GQ15/6)*(10^-6)</f>
        <v>8.9026897104539619E-6</v>
      </c>
      <c r="GS15" s="186">
        <f>7500*GQ15/((1.4133+0.05601*GP15)^3)</f>
        <v>1820.2713801554285</v>
      </c>
      <c r="GT15" s="186">
        <f ca="1">GP15*((2+3*GR15*(D15-25))/(2-3*GR15*(D15-25))-1)</f>
        <v>0.36188674314024621</v>
      </c>
      <c r="GU15" s="190">
        <f ca="1">-57.9+0.0475*(FN15+273.15)-40.6*DD15-47.7*FC15+0.67*Q15-153*DA15*DG15+6.89*((EO15+EP15)/DC15)</f>
        <v>18.519730641164305</v>
      </c>
      <c r="GV15" s="193">
        <f ca="1">IA15</f>
        <v>2.6454353833791906</v>
      </c>
      <c r="GW15" s="193">
        <f ca="1">IC15</f>
        <v>1.956707315677054</v>
      </c>
      <c r="GX15" s="193">
        <f>M15+N15</f>
        <v>3.6999999999999997</v>
      </c>
      <c r="GY15" s="193">
        <f>6*10^-5*(F15^3)-0.0166*(F15^2)+1.5751*F15-39.978</f>
        <v>5.1694938600000029</v>
      </c>
      <c r="GZ15" s="193">
        <f ca="1">IF(GX15&gt;GY15,GW15,GV15)</f>
        <v>2.6454353833791906</v>
      </c>
      <c r="HA15" s="186">
        <f t="shared" ref="HA15:HB18" si="23">GO15</f>
        <v>439.56624386510964</v>
      </c>
      <c r="HB15" s="186">
        <f t="shared" si="23"/>
        <v>11.793669191640273</v>
      </c>
      <c r="HC15" s="193">
        <f>771.475-(1.323*HA15)-(16.064*HB15)</f>
        <v>0.47535747195061617</v>
      </c>
      <c r="HD15" s="193"/>
      <c r="HE15" s="194">
        <f>GI15+GJ15+ES15</f>
        <v>0.12623976689753125</v>
      </c>
      <c r="HF15" s="194">
        <f>GK15+GL15</f>
        <v>0.86331277042373711</v>
      </c>
      <c r="HG15" s="194">
        <f>IF(EV15&gt;EZ15,EZ15,EV15)</f>
        <v>1.705536082466275E-2</v>
      </c>
      <c r="HH15" s="194">
        <f>EV15-HG15</f>
        <v>0</v>
      </c>
      <c r="HI15" s="194">
        <f>EZ15-HG15</f>
        <v>1.8276150421022885E-2</v>
      </c>
      <c r="HJ15" s="194">
        <f>IF(HH15&gt;EP15,EP15,HH15)</f>
        <v>0</v>
      </c>
      <c r="HK15" s="194">
        <f>HH15-HJ15</f>
        <v>0</v>
      </c>
      <c r="HL15" s="194">
        <f>EP15-HJ15</f>
        <v>4.7430157714943189E-2</v>
      </c>
      <c r="HM15" s="194">
        <f>HL15+EX15+2*EN15</f>
        <v>9.4124749047583417E-2</v>
      </c>
      <c r="HN15" s="194">
        <f>HE15/(HE15+HF15)</f>
        <v>0.12757257663071023</v>
      </c>
      <c r="HO15" s="194">
        <f>(EU15-HM15-HI15)*(1-HN15)</f>
        <v>0.68309806299417886</v>
      </c>
      <c r="HP15" s="194">
        <f>(EU15-HM15-HI15)*HN15</f>
        <v>9.9887483650003481E-2</v>
      </c>
      <c r="HQ15" s="194">
        <f>(1-HG15-HJ15-HI15-HM15-HO15-HP15)*(1-HN15)</f>
        <v>7.6388168768430104E-2</v>
      </c>
      <c r="HR15" s="194">
        <f>(1-HG15-HJ15-HI15-HM15-HO15-HP15)*HN15</f>
        <v>1.1170024294118501E-2</v>
      </c>
      <c r="HS15" s="194">
        <f>HJ15+HG15</f>
        <v>1.705536082466275E-2</v>
      </c>
      <c r="HT15" s="194"/>
      <c r="HU15" s="195">
        <f>(-0.000000872*HO15)-(0.000000749*HQ15)-(0.000000993*HP15)-(0.00000087*(HM15+HI15))-(0.00000086*HS15)-(0.00000087*HR15)</f>
        <v>-8.7423883458571225E-7</v>
      </c>
      <c r="HV15" s="195">
        <f>(0.000000000001707*HO15)+(0.000000000000447*HQ15)+(0.0000000000014835*HP15)+(0.000000000002171*(HM15+HI15))+(0.000000000002149*HS15)+(0.0000000000002235*HR15)</f>
        <v>1.6315478105536119E-12</v>
      </c>
      <c r="HW15" s="195">
        <f>(0.000027795*HO15)+(0.000024656*HQ15)+(0.000031371*HP15)+(0.00002225*(HM15+HI15))+(0.000023118*HS15)+(0.000028232*HR15)</f>
        <v>2.7214265570254471E-5</v>
      </c>
      <c r="HX15" s="195">
        <f>(0.0000000083082*HO15)+(0.000000007467*HQ15)+(0.0000000083672*HP15)+(0.0000000052863*(HM15+HI15))+(0.0000000025785*HS15)+(0.000000007526*HR15)</f>
        <v>7.8037120619432373E-9</v>
      </c>
      <c r="HY15" s="194">
        <f>GQ15</f>
        <v>2.1647877715389576</v>
      </c>
      <c r="HZ15" s="194">
        <f ca="1">HA15+HA15*(HU15*(IA15-0.001)+HV15*(IA15-0.001)^2+HW15*(D15-25)+HX15*(D15-25)^2)</f>
        <v>457.49321309472333</v>
      </c>
      <c r="IA15" s="194">
        <f ca="1">IA$8+IA$9*IB15+IA$10*HB15+IA$11*ET15/(ET15+ER15)</f>
        <v>2.6454353833791906</v>
      </c>
      <c r="IB15" s="194">
        <f ca="1">HA15+HA15*(HU15*(IC15-0.001)+HV15*(IC15-0.001)^2+HW15*(D15-25)+HX15*(D15-25)^2)</f>
        <v>457.49347776092321</v>
      </c>
      <c r="IC15" s="194">
        <f ca="1">IC$8+IC$9*IB15+IC$10*HB15+IC$11*(ET15/(ET15+ER15))</f>
        <v>1.956707315677054</v>
      </c>
      <c r="ID15" s="194">
        <f ca="1">IF(GX15&gt;GY15,IC15,IA15)</f>
        <v>2.6454353833791906</v>
      </c>
      <c r="IE15" s="194">
        <f>-0.3085*EO1</f>
        <v>0</v>
      </c>
      <c r="IF15" s="190">
        <f>(1-EU15-EV15-EW15)*(1-0.5*(EQ15+EX15+EV15+EW15))</f>
        <v>7.8976994935931799E-2</v>
      </c>
      <c r="IG15" s="196">
        <f ca="1">D15-25</f>
        <v>1131.5368752259269</v>
      </c>
      <c r="IH15" s="196"/>
      <c r="II15" s="194">
        <f>1.4133+(0.05601*HB15)</f>
        <v>2.0738634114237717</v>
      </c>
      <c r="IJ15" s="196">
        <f>(7500*HY15)/II15^3</f>
        <v>1820.2713801554285</v>
      </c>
      <c r="IK15" s="195">
        <f>0.0000329*(0.75-HY15/6)</f>
        <v>1.280474705272805E-5</v>
      </c>
      <c r="IM15" s="186">
        <f>SUM(IN15:IP15)</f>
        <v>1</v>
      </c>
      <c r="IN15" s="186">
        <f>ET15/(ER15+ET15+EU15)</f>
        <v>0.45023382749746083</v>
      </c>
      <c r="IO15" s="186">
        <f>ER15/(ER15+ET15+EU15)</f>
        <v>8.280532061471052E-2</v>
      </c>
      <c r="IP15" s="186">
        <f>EU15/(EU15+ET15+ER15)</f>
        <v>0.46696085188782871</v>
      </c>
      <c r="IR15" s="173">
        <f>IO15/(COS(RADIANS(30)))+IP15*TAN(RADIANS(30))</f>
        <v>0.3652153218329276</v>
      </c>
      <c r="IS15" s="173">
        <f>IP15</f>
        <v>0.46696085188782871</v>
      </c>
      <c r="IU15" s="172">
        <v>0</v>
      </c>
      <c r="IV15" s="172">
        <v>1</v>
      </c>
      <c r="IW15" s="172">
        <v>0</v>
      </c>
      <c r="IX15" s="172"/>
      <c r="IY15" s="173">
        <f>IV15/(COS(RADIANS(30)))+IW15*TAN(RADIANS(30))</f>
        <v>1.1547005383792515</v>
      </c>
      <c r="IZ15" s="173">
        <f>IW15</f>
        <v>0</v>
      </c>
    </row>
    <row r="16" spans="1:260" s="186" customFormat="1" ht="13.2">
      <c r="A16" s="181" t="s">
        <v>201</v>
      </c>
      <c r="B16" s="181" t="s">
        <v>202</v>
      </c>
      <c r="C16" s="174">
        <f t="shared" ref="C16:C19" si="24">10*J16</f>
        <v>1.9</v>
      </c>
      <c r="D16" s="182">
        <f ca="1">AK16-273.15</f>
        <v>1115.2314457049829</v>
      </c>
      <c r="E16" s="180">
        <f ca="1">BL16-BT16</f>
        <v>-8.6355350625640925E-3</v>
      </c>
      <c r="F16" s="173">
        <v>51.5</v>
      </c>
      <c r="G16" s="173">
        <v>1.19</v>
      </c>
      <c r="H16" s="173">
        <v>19.2</v>
      </c>
      <c r="I16" s="173">
        <v>8.6999999999999993</v>
      </c>
      <c r="J16" s="173">
        <v>0.19</v>
      </c>
      <c r="K16" s="183">
        <v>4.9800000000000004</v>
      </c>
      <c r="L16" s="173">
        <v>10</v>
      </c>
      <c r="M16" s="173">
        <v>3.72</v>
      </c>
      <c r="N16" s="173">
        <v>0.42</v>
      </c>
      <c r="O16" s="173">
        <v>0</v>
      </c>
      <c r="P16" s="173">
        <v>0.14000000000000001</v>
      </c>
      <c r="Q16" s="173">
        <v>6.2</v>
      </c>
      <c r="R16" s="184">
        <f t="shared" ca="1" si="10"/>
        <v>4.8457944469974388</v>
      </c>
      <c r="S16" s="185"/>
      <c r="T16" s="173">
        <v>50.3</v>
      </c>
      <c r="U16" s="173">
        <v>0.73</v>
      </c>
      <c r="V16" s="173">
        <v>4.12</v>
      </c>
      <c r="W16" s="173">
        <v>5.83</v>
      </c>
      <c r="X16" s="173">
        <v>0</v>
      </c>
      <c r="Y16" s="173">
        <v>15</v>
      </c>
      <c r="Z16" s="173">
        <v>22.7</v>
      </c>
      <c r="AA16" s="173">
        <v>0.24</v>
      </c>
      <c r="AB16" s="173">
        <v>0</v>
      </c>
      <c r="AC16" s="173">
        <v>0.28000000000000003</v>
      </c>
      <c r="AE16" s="187">
        <f ca="1">10^4/(7.53-0.14*FK16+0.07*Q16-14.9*DG16*DA16-0.08*LN(DB16)-3.62*(DH16+DI16)-1.1*DF16/(DF16+DD16)-0.18*LN(FG16)-0.027*AG16)</f>
        <v>1289.2408589429026</v>
      </c>
      <c r="AF16" s="187">
        <f ca="1">AE16-273.15</f>
        <v>1016.0908589429026</v>
      </c>
      <c r="AG16" s="187">
        <f ca="1">-26.2712+39.16138*AE16*FJ16/10^4-4.21676*LN(FI16)+78.43463*DC16+393.8126*(DH16+DI16)^2</f>
        <v>1.5837308153621108</v>
      </c>
      <c r="AH16" s="187">
        <f ca="1">AX16</f>
        <v>1410.5962433643192</v>
      </c>
      <c r="AI16" s="187">
        <f ca="1">AZ16</f>
        <v>1.7596442345133916</v>
      </c>
      <c r="AJ16" s="187"/>
      <c r="AK16" s="187">
        <f t="shared" ca="1" si="11"/>
        <v>1388.3814457049828</v>
      </c>
      <c r="AL16" s="187">
        <f t="shared" ca="1" si="11"/>
        <v>0.45396961058632002</v>
      </c>
      <c r="AM16" s="187"/>
      <c r="AN16" s="187">
        <f ca="1">10^4/(7.53-0.14*FK16+0.07*Q16-14.9*DG16*DA16-0.08*LN(DB16)-3.62*(DH16+DI16)-1.1*DF16/(DF16+DD16)-0.18*LN(FG16)-0.027*AP16)</f>
        <v>1267.1556703021745</v>
      </c>
      <c r="AO16" s="187">
        <f t="shared" ref="AO16:AO19" ca="1" si="25">AN16-273.15</f>
        <v>994.00567030217451</v>
      </c>
      <c r="AP16" s="187">
        <f ca="1">IF(ABS(FB16)&gt;0,-54.3+299*(AN16)/10^4+36.4*(AN16)*FJ16/10^4+367*DH16*DC16,0)</f>
        <v>-3.4232199032547186</v>
      </c>
      <c r="AQ16" s="187"/>
      <c r="AR16" s="187">
        <f ca="1">10^4/(6.39+0.076*Q16-5.55*DG16*DA16-0.386*LN(DF16)-0.046*AT16+2.2*10^-4*(AT16^2))</f>
        <v>1288.8215935929582</v>
      </c>
      <c r="AS16" s="187">
        <f t="shared" ref="AS16:AS19" ca="1" si="26">AR16-273.15</f>
        <v>1015.6715935929582</v>
      </c>
      <c r="AT16" s="188">
        <f ca="1">-54.3+299*(AR16)/10^4+36.4*(AR16)*FJ16/10^4+367*DH16*DC16</f>
        <v>-2.6403762876844699</v>
      </c>
      <c r="AV16" s="188">
        <f>IF(ABS(FB16)&gt;0,10^4/(6.73-0.26*FK16-0.86*LN(FM16)+0.52*LN(DG16)),0)</f>
        <v>1403.3541688642288</v>
      </c>
      <c r="AW16" s="188">
        <f>IF(AV16&gt;0,AV16-273.15,0)</f>
        <v>1130.2041688642289</v>
      </c>
      <c r="AX16" s="188">
        <f ca="1">IF(ABS(FB16)&gt;0,10^4/(6.59-0.16*FK16-0.65*LN(FM16)+0.23*LN(DG16)-0.02*AZ16),0)</f>
        <v>1410.5962433643192</v>
      </c>
      <c r="AY16" s="188">
        <f ca="1">IF(AX16&gt;0,AX16-273.15,0)</f>
        <v>1137.4462433643193</v>
      </c>
      <c r="AZ16" s="188">
        <f ca="1">IF(ABS(FB16)&gt;0,-54.3+299*(AX16)/10^4+36.4*(AX16)*FJ16/10^4+367*DH16*DC16,0)</f>
        <v>1.7596442345133916</v>
      </c>
      <c r="BA16" s="188"/>
      <c r="BB16" s="188">
        <f ca="1">IF(ABS(FB16)&gt;0,10^4/(4.6-0.437*FL16-0.654*LN(FM16)-0.326*LN(DH16)-0.92*LN(DA16)+0.274*LN(FB16)-0.00632*BC16),0)</f>
        <v>1388.3814457049828</v>
      </c>
      <c r="BC16" s="188">
        <f ca="1">IF(ABS(FB16)&gt;0,-88.3+0.00282*(BB16)*FJ16+0.0219*(BB16)-25.1*LN(DG16*DA16)+12.4*LN(DG16)+7.03*FM16,0)</f>
        <v>0.45396961058632002</v>
      </c>
      <c r="BD16" s="188">
        <f ca="1">BB16-273.15</f>
        <v>1115.2314457049829</v>
      </c>
      <c r="BE16" s="188">
        <f ca="1">-48.7+271.3*AH16/10^4+31.96*(AH16/10^4)*FJ16-8.2*LN(DD16)+4.6*LN(DF16)-0.96*LN(DI16)-2.2*LN(FI16)-31*FM16+56.2*(DH16+DI16)+0.76*Q16</f>
        <v>5.7133563403214911</v>
      </c>
      <c r="BF16" s="188">
        <f ca="1">-40.73+358*AH16/10^4+21.7*(AH16/10^4)*FJ16-106*DG16-166*(DH16+DI16)^2-50.2*DA16*(DD16+DF16)-3.2*LN(FI16)-2.2*LN(FG16)+0.86*LN(EQ16)+0.4*Q16</f>
        <v>7.2344104799515776</v>
      </c>
      <c r="BG16" s="188">
        <f ca="1">-273.15+10^4/(7.53+0.07*Q16-1.1*FM16-14.9*DG16*DA16-0.08*LN(DB16)-3.62*(DH16+DI16)-0.18*LN(FG16)-0.026*AI16-0.14*FL16)</f>
        <v>1016.5880340579228</v>
      </c>
      <c r="BH16" s="188">
        <f ca="1">-273.15+10^4/(6.39+0.076*Q16-5.55*DG16*DA16-0.386*LN(DF16)-0.046*FO16+2.2*10^-4*AI16^2)</f>
        <v>1050.3414439809308</v>
      </c>
      <c r="BI16" s="188">
        <f ca="1">-273.15+10^4/(6.39+0.076*Q16-5.55*(DG16*DA16)-0.386*LN(DF16)-0.046*AI16+0.00022*AI16^2)</f>
        <v>1050.3414439809308</v>
      </c>
      <c r="BJ16" s="188">
        <f ca="1">10^4/(3.12-0.0259*BC16-0.37*LN(DF16/(DF16+DD16))+0.47*LN(DG16*(DF16+DD16)*DA16^2)-0.78*LN((DF16+DD16)^2*DA16^2)-0.34*LN(DG16*DC16^2*DA16))-273.15</f>
        <v>1151.4905101457266</v>
      </c>
      <c r="BK16" s="180">
        <f ca="1">EXP(-9.8+0.24*LN(DG16*(DD16+DF16)*DA16^2)+17558/AE16+8.7*LN(AE16/1670)-4.61*10^3*(FG16^2/AE16))</f>
        <v>1.1514419075560551</v>
      </c>
      <c r="BL16" s="180">
        <f ca="1">EXP(-0.482-0.439*LN(DA16)+101.03*(DH16+DI16)^3-51.69*AG16/AE16-3742.5*FG16^2/AE16)</f>
        <v>0.81130306805535424</v>
      </c>
      <c r="BM16" s="180">
        <f ca="1">EXP(-6.96+18438/AE16+8*LN(AE16/1670)+0.66*LN((DD16+DF16)^2*DA16^2)-5.1*10^3*(FF16^2/AE16)+1.81*LN(DA16))</f>
        <v>9.4631397596101688E-2</v>
      </c>
      <c r="BN16" s="180">
        <f t="shared" ref="BN16:BN41" ca="1" si="27">EXP(2.58+0.12*AG16/AE16-9*10^-7*AG16^2/AE16+0.78*LN(DG16*DC16^2*DA16)-4.3*10^3*(FF16^2/AE16))</f>
        <v>1.1180454468523057E-2</v>
      </c>
      <c r="BO16" s="180">
        <f t="shared" ref="BO16:BO42" ca="1" si="28">EXP(-1.06+0.23*AG16/AE16-6*10^-7*AG16^2/AE16+1.02*LN(DH16*DC16*DA16^2)-0.8*LN(DC16)-2.2*LN(DA16))</f>
        <v>1.7419744754583053E-2</v>
      </c>
      <c r="BP16" s="180">
        <f t="shared" ref="BP16:BP42" ca="1" si="29">EXP(5.1+0.52*LN(DG16*DB16*DC16^2)+2.04*10^3*FF16^2/AE16-6.2*DA16+42.5*DH16*DC16-45.1*(DD16+DF16)*DC16)</f>
        <v>6.1192912941690818E-2</v>
      </c>
      <c r="BQ16" s="180">
        <f>EXP(12.8)*DG16*DJ16^2*DA16</f>
        <v>0</v>
      </c>
      <c r="BR16" s="188">
        <f ca="1">SUM(BL16:BQ16)</f>
        <v>0.99572757781625287</v>
      </c>
      <c r="BS16" s="188"/>
      <c r="BT16" s="180">
        <f>FF16</f>
        <v>0.81993860311791833</v>
      </c>
      <c r="BU16" s="180">
        <f t="shared" si="6"/>
        <v>9.7220166294938348E-2</v>
      </c>
      <c r="BV16" s="180">
        <f t="shared" si="7"/>
        <v>3.6816947960874952E-2</v>
      </c>
      <c r="BW16" s="180">
        <f t="shared" si="8"/>
        <v>1.7330029101953831E-2</v>
      </c>
      <c r="BX16" s="180">
        <f t="shared" si="9"/>
        <v>4.4938151136855245E-2</v>
      </c>
      <c r="BY16" s="180">
        <f t="shared" si="9"/>
        <v>4.1221283020399834E-3</v>
      </c>
      <c r="BZ16" s="180">
        <f>SUM(BT16:BY16)</f>
        <v>1.0203660259145808</v>
      </c>
      <c r="CA16" s="180">
        <f>(ER16/ET16)/($G$8*DD16/DF16)</f>
        <v>0.22247816091954029</v>
      </c>
      <c r="CB16" s="188"/>
      <c r="CC16" s="188"/>
      <c r="CD16" s="188">
        <f ca="1">3205-5.62*ET16+83.2*EV16+68.2*FI16+2.52*LN(EP16)-51.1*FI16^2+34.8*FG16^2+0.384*(AH16)-518*LN(AH16)</f>
        <v>1.5605645660134542</v>
      </c>
      <c r="CE16" s="188">
        <f ca="1">1458+0.197*(AH16)-241*LN(AH16)+0.453*Q16+55.5*EP16+8.05*ER16-277*EW16+18*FB16+44.1*FF16+2.2*LN(FB16)-27.7*EQ16^2+97.3*GI16^2+30.7*GK16^2-27.6*FF16^2</f>
        <v>3.71661791706941</v>
      </c>
      <c r="CF16" s="188">
        <f ca="1">-57.9+0.0475*(AH16)-40.6*DD16-47.7*FC16+0.67*Q16-153*DG16*DA16+6.89*(EQ16/DC16)</f>
        <v>7.5741126487404928</v>
      </c>
      <c r="CG16" s="188">
        <f ca="1">-273.15+(93100+544*AI16)/(61.1+36.6*EN16+10.9*ER16-0.95*(EQ16+EX16-EV16-EW16)+0.395*(LN(FT16))^2)</f>
        <v>1141.4464928566354</v>
      </c>
      <c r="CH16" s="189">
        <f ca="1">EXP(-0.107-1719/AH16)</f>
        <v>0.26563459557023961</v>
      </c>
      <c r="CJ16" s="188">
        <f>698.443+4.985*EO16-26.826*GJ16-3.764*EZ16+53.989*EP16+3.948*EN16+14.651*EX16-700.431*EU16-666.629*EV16-682.848*GK16-691.138*GI16-688.384*ES16-6.267*GK16^2-4.144*GI16^2</f>
        <v>0.19493110653448706</v>
      </c>
      <c r="CK16" s="188">
        <f>771.48+4.956*EO16-28.756*GJ16-5.345*EZ16+56.904*EP16+1.848*EN16+14.827*EX16-773.74*EU16-736.57*EV16-754.81*GK16-763.2*GI16-759.66*ES16-1.185*GK16^2-1.876*GI16^2</f>
        <v>-7.9605295924928446E-2</v>
      </c>
      <c r="CL16" s="188">
        <f ca="1">-273.15+(23166+39.28*AI16)/(13.25+15.35*EN16+4.5*ER16-1.55*(EQ16-EX16-EV16-EW16)+(LN(IF16))^2)</f>
        <v>817.96807994744438</v>
      </c>
      <c r="CM16" s="190"/>
      <c r="CN16" s="186">
        <f t="shared" si="12"/>
        <v>0.85712906699420643</v>
      </c>
      <c r="CO16" s="186">
        <f t="shared" si="12"/>
        <v>1.4897569818274685E-2</v>
      </c>
      <c r="CP16" s="186">
        <f>H16*2/CP$10</f>
        <v>0.37661458793067937</v>
      </c>
      <c r="CQ16" s="186">
        <f t="shared" si="13"/>
        <v>0.12109166221272046</v>
      </c>
      <c r="CR16" s="186">
        <f t="shared" si="13"/>
        <v>2.6784140969162997E-3</v>
      </c>
      <c r="CS16" s="186">
        <f t="shared" si="13"/>
        <v>0.12355971060231638</v>
      </c>
      <c r="CT16" s="186">
        <f t="shared" si="13"/>
        <v>0.1783249580044724</v>
      </c>
      <c r="CU16" s="186">
        <f t="shared" si="14"/>
        <v>0.12004085261274401</v>
      </c>
      <c r="CV16" s="186">
        <f t="shared" si="14"/>
        <v>8.917576117881864E-3</v>
      </c>
      <c r="CW16" s="186">
        <f t="shared" si="14"/>
        <v>0</v>
      </c>
      <c r="CX16" s="186">
        <f t="shared" si="14"/>
        <v>1.9727062006383114E-3</v>
      </c>
      <c r="CY16" s="186">
        <f>SUM(CN16:CX16)</f>
        <v>1.8052271045908503</v>
      </c>
      <c r="DA16" s="186">
        <f t="shared" si="15"/>
        <v>0.47480400932073991</v>
      </c>
      <c r="DB16" s="186">
        <f t="shared" si="15"/>
        <v>8.2524629618006863E-3</v>
      </c>
      <c r="DC16" s="186">
        <f t="shared" si="15"/>
        <v>0.20862449216107798</v>
      </c>
      <c r="DD16" s="186">
        <f t="shared" si="15"/>
        <v>6.7078353690111212E-2</v>
      </c>
      <c r="DE16" s="186">
        <f t="shared" si="15"/>
        <v>1.4836992476485969E-3</v>
      </c>
      <c r="DF16" s="186">
        <f t="shared" si="15"/>
        <v>6.8445521501473816E-2</v>
      </c>
      <c r="DG16" s="186">
        <f>(CT16/$CY16)</f>
        <v>9.8782561790135129E-2</v>
      </c>
      <c r="DH16" s="186">
        <f t="shared" si="15"/>
        <v>6.6496260945489702E-2</v>
      </c>
      <c r="DI16" s="186">
        <f t="shared" si="15"/>
        <v>4.9398638515916853E-3</v>
      </c>
      <c r="DJ16" s="186">
        <f t="shared" si="15"/>
        <v>0</v>
      </c>
      <c r="DK16" s="186">
        <f t="shared" si="15"/>
        <v>1.0927745299311909E-3</v>
      </c>
      <c r="DL16" s="186">
        <f>SUM(DA16:DK16)</f>
        <v>0.99999999999999989</v>
      </c>
      <c r="DM16" s="191">
        <f t="shared" ref="DM16:DM19" si="30">100*DF16/(DF16+DD16)</f>
        <v>50.504401091479224</v>
      </c>
      <c r="DN16" s="186">
        <f t="shared" si="16"/>
        <v>0.83715712756909877</v>
      </c>
      <c r="DO16" s="186">
        <f t="shared" si="16"/>
        <v>9.1388453507063195E-3</v>
      </c>
      <c r="DP16" s="186">
        <f t="shared" si="16"/>
        <v>4.0407606830062476E-2</v>
      </c>
      <c r="DQ16" s="186">
        <f t="shared" si="16"/>
        <v>8.114533226438625E-2</v>
      </c>
      <c r="DR16" s="186">
        <f t="shared" si="16"/>
        <v>0</v>
      </c>
      <c r="DS16" s="186">
        <f t="shared" si="16"/>
        <v>0.37216780301902519</v>
      </c>
      <c r="DT16" s="186">
        <f t="shared" si="16"/>
        <v>0.40479765467015233</v>
      </c>
      <c r="DU16" s="186">
        <f t="shared" si="16"/>
        <v>3.8722855681530325E-3</v>
      </c>
      <c r="DV16" s="186">
        <f t="shared" si="16"/>
        <v>0</v>
      </c>
      <c r="DW16" s="186">
        <f t="shared" si="16"/>
        <v>1.8421270778206586E-3</v>
      </c>
      <c r="DX16" s="186">
        <f>SUM(DN16:DW16)</f>
        <v>1.7505287823494051</v>
      </c>
      <c r="DZ16" s="186">
        <f t="shared" si="17"/>
        <v>1.6743142551381975</v>
      </c>
      <c r="EA16" s="186">
        <f t="shared" si="17"/>
        <v>1.8277690701412639E-2</v>
      </c>
      <c r="EB16" s="186">
        <f>DP16*3</f>
        <v>0.12122282049018743</v>
      </c>
      <c r="EC16" s="186">
        <f t="shared" si="18"/>
        <v>8.114533226438625E-2</v>
      </c>
      <c r="ED16" s="186">
        <f t="shared" si="18"/>
        <v>0</v>
      </c>
      <c r="EE16" s="186">
        <f t="shared" si="18"/>
        <v>0.37216780301902519</v>
      </c>
      <c r="EF16" s="186">
        <f t="shared" si="18"/>
        <v>0.40479765467015233</v>
      </c>
      <c r="EG16" s="186">
        <f t="shared" si="18"/>
        <v>3.8722855681530325E-3</v>
      </c>
      <c r="EH16" s="186">
        <f t="shared" si="18"/>
        <v>0</v>
      </c>
      <c r="EI16" s="186">
        <f>DW16*3</f>
        <v>5.5263812334619758E-3</v>
      </c>
      <c r="EJ16" s="186">
        <f>SUM(DZ16:EI16)</f>
        <v>2.6813242230849763</v>
      </c>
      <c r="EK16" s="186">
        <f>6/EJ16</f>
        <v>2.2377002931397634</v>
      </c>
      <c r="EM16" s="186">
        <f t="shared" si="19"/>
        <v>1.8733067497654146</v>
      </c>
      <c r="EN16" s="186">
        <f t="shared" si="19"/>
        <v>2.0449996920234494E-2</v>
      </c>
      <c r="EO16" s="186">
        <f>2-EM16</f>
        <v>0.12669325023458544</v>
      </c>
      <c r="EP16" s="186">
        <f>IF(EQ16-EO16&lt;0,0,EQ16-EO16)</f>
        <v>5.4146977062828783E-2</v>
      </c>
      <c r="EQ16" s="186">
        <f>DP16*$EK16*2</f>
        <v>0.18084022729741422</v>
      </c>
      <c r="ER16" s="186">
        <f t="shared" si="20"/>
        <v>0.18157893379494061</v>
      </c>
      <c r="ES16" s="186">
        <f t="shared" si="20"/>
        <v>0</v>
      </c>
      <c r="ET16" s="186">
        <f t="shared" si="20"/>
        <v>0.83280000191285442</v>
      </c>
      <c r="EU16" s="186">
        <f t="shared" si="20"/>
        <v>0.90581583051768855</v>
      </c>
      <c r="EV16" s="186">
        <f t="shared" si="21"/>
        <v>1.7330029101953831E-2</v>
      </c>
      <c r="EW16" s="186">
        <f t="shared" si="21"/>
        <v>0</v>
      </c>
      <c r="EX16" s="186">
        <f t="shared" si="21"/>
        <v>8.2442566040799668E-3</v>
      </c>
      <c r="EY16" s="186">
        <f>EM16+EN16+EQ16+ER16+ES16+ET16+EU16+EV16+EW16+EX16</f>
        <v>4.0203660259145799</v>
      </c>
      <c r="EZ16" s="186">
        <f>IF(EV16+EO16-EP16-2*EN16-EX16&gt;0,EV16+EO16-EP16-2*EN16-EX16,0)</f>
        <v>4.0732051829161536E-2</v>
      </c>
      <c r="FA16" s="186">
        <f>12-48/EY16</f>
        <v>6.0788572333875024E-2</v>
      </c>
      <c r="FB16" s="186">
        <f>IF(EV16&lt;EP16,EV16,EP16)</f>
        <v>1.7330029101953831E-2</v>
      </c>
      <c r="FC16" s="186">
        <f>IF(EP16&gt;EV16,EP16-EV16,0)</f>
        <v>3.6816947960874952E-2</v>
      </c>
      <c r="FD16" s="186">
        <f>IF(EO16&gt;FC16,(EO16-FC16)/2,0)</f>
        <v>4.4938151136855245E-2</v>
      </c>
      <c r="FE16" s="186">
        <f>EX16/2</f>
        <v>4.1221283020399834E-3</v>
      </c>
      <c r="FF16" s="190">
        <f>IF(EU16-FD16-FC16-FE16&gt;0,EU16-FD16-FC16-FE16,0)</f>
        <v>0.81993860311791833</v>
      </c>
      <c r="FG16" s="186">
        <f>((ER16+ET16)-FF16)/2</f>
        <v>9.7220166294938348E-2</v>
      </c>
      <c r="FH16" s="186">
        <f>SUM(FB16:FG16)</f>
        <v>1.0203660259145808</v>
      </c>
      <c r="FI16" s="186">
        <f>EU16-FC16-FD16-FE16</f>
        <v>0.81993860311791833</v>
      </c>
      <c r="FJ16" s="186">
        <f>LN(FB16/(DA16^2*DH16*DC16))</f>
        <v>1.7122207386356436</v>
      </c>
      <c r="FK16" s="186">
        <f>LN(FB16*DG16*(DD16+DF16)/(FF16*DH16*DC16))</f>
        <v>-3.8924014331081289</v>
      </c>
      <c r="FL16" s="186">
        <f>LN((FB16*DG16*(DD16+DF16))/(DH16*DC16*FI16))</f>
        <v>-3.8924014331081289</v>
      </c>
      <c r="FM16" s="186">
        <f>DF16/(DF16+DD16)</f>
        <v>0.50504401091479223</v>
      </c>
      <c r="FN16" s="192">
        <f t="shared" ca="1" si="22"/>
        <v>1410.5962433643192</v>
      </c>
      <c r="FO16" s="192">
        <f t="shared" ca="1" si="22"/>
        <v>1.7596442345133916</v>
      </c>
      <c r="FP16" s="186">
        <f ca="1">(FN16)/10^4</f>
        <v>0.14105962433643193</v>
      </c>
      <c r="FQ16" s="190">
        <f ca="1">LN(ABS(BE16-FO16))</f>
        <v>1.3746549112245701</v>
      </c>
      <c r="FR16" s="190">
        <f ca="1">LN(ABS(BH16-FN16))</f>
        <v>5.8868115571597679</v>
      </c>
      <c r="FS16" s="186">
        <f ca="1">1458+0.45*Q16+0.197*(D16+273.15)-241*LN(D16+273.15)+55.5*EP16+8.05*ER16-276.6*EW16+18.01*FB16+44.09*FI16+2.17*LN(FB16)+97.3*GI16^2+30.38*GK16^2-27.59*FI16^2-17.7*EQ16^2</f>
        <v>3.5937858900548374</v>
      </c>
      <c r="FT16" s="186">
        <f>(1-EU16-EV16-EW16)*(1-0.5*(EQ16+EX16+EV16+EW16))</f>
        <v>6.8922235400902546E-2</v>
      </c>
      <c r="FU16" s="190">
        <f t="shared" ref="FU16:FU19" si="31">100*DS16/(DS16+DQ16)</f>
        <v>82.099496805082822</v>
      </c>
      <c r="FV16" s="190">
        <f ca="1">2446.5+0.309*(D16+273.15)-400*LN(D16+273.15)-5.98*ET16-20.5*EV16+112*FB16+61.5*FC16+71.1*FI16+1.66*LN(FI16)-43.5*FI16^2+43*FG16^2-26.2*EQ16^2</f>
        <v>8.2947585411526408</v>
      </c>
      <c r="FW16" s="190">
        <f ca="1">EXP(-0.107-1719/(D16+273.15))</f>
        <v>0.26050522434662443</v>
      </c>
      <c r="FX16" s="190">
        <f>(ER16/ET16)/(DD16/DF16)</f>
        <v>0.22247816091954029</v>
      </c>
      <c r="FY16" s="186">
        <f>EU16+EV16+ES16</f>
        <v>0.92314585961964235</v>
      </c>
      <c r="FZ16" s="186">
        <f>EP16+EN16+EX16+EZ16</f>
        <v>0.12357328241630479</v>
      </c>
      <c r="GA16" s="186">
        <f>EXP(0.238*FZ16+0.289*FY16-2.3315)</f>
        <v>0.13064123128324104</v>
      </c>
      <c r="GB16" s="186">
        <f>1-EN16-EP16</f>
        <v>0.92540302601693669</v>
      </c>
      <c r="GC16" s="186">
        <f>(ER16-EZ16)+ET16-GB16</f>
        <v>4.8243857861696826E-2</v>
      </c>
      <c r="GD16" s="186">
        <f>ER16-EZ16</f>
        <v>0.14084688196577907</v>
      </c>
      <c r="GE16" s="186">
        <f>1-GA16</f>
        <v>0.86935876871675899</v>
      </c>
      <c r="GF16" s="186">
        <f>(GA16*ET16)-(GA16*(1-FY16))+GD16+(1-FY16)</f>
        <v>0.31645872048021251</v>
      </c>
      <c r="GG16" s="186">
        <f>-GD16*(1-FY16)</f>
        <v>-1.0824666038733648E-2</v>
      </c>
      <c r="GH16" s="186">
        <f>(-GF16+SQRT(GF16^2-4*GE16*GG16))/2*GE16</f>
        <v>2.3794176797551657E-2</v>
      </c>
      <c r="GI16" s="186">
        <f>GH16</f>
        <v>2.3794176797551657E-2</v>
      </c>
      <c r="GJ16" s="186">
        <f>GD16-GI16</f>
        <v>0.11705270516822741</v>
      </c>
      <c r="GK16" s="186">
        <f>1-FY16-GI16</f>
        <v>5.3059963582805993E-2</v>
      </c>
      <c r="GL16" s="186">
        <f>ET16-GK16</f>
        <v>0.77974003833004846</v>
      </c>
      <c r="GM16" s="186">
        <f>IF(1-FY16&gt;0,EU16,1-EV16-EW16-ES16)</f>
        <v>0.90581583051768855</v>
      </c>
      <c r="GN16" s="186">
        <f>IF(1-FY16&gt;0,EV16,IF(EU16&gt;0,EV16,1-ES16))</f>
        <v>1.7330029101953831E-2</v>
      </c>
      <c r="GO16" s="186">
        <f>11.864*GJ16+9.107*EZ16-18.375*EP16+11.794*EN16-1.4925*EX16+439.97*EU16+419.68*EV16+431.72*GK16+432.56*GI16+428.03*ES16-28.652*GK16^2-12.741*GI16^2</f>
        <v>439.91002708917955</v>
      </c>
      <c r="GP16" s="186">
        <f>-0.3085*EO16+0.813*GJ16-0.4173*EZ16-2.209*EP16-1.0864*EN16-0.8001*EX16+11.931*EU16+11.288*EV16+11.432*GK16+11.885*GI16+12.038*ES16+2.4355*GK16^2-1.661*GI16^2</f>
        <v>11.788859467150782</v>
      </c>
      <c r="GQ16" s="186">
        <f>3*(EZ16+EP16+EX16)+2*(GJ16+GL16)+4*EN16</f>
        <v>2.1847553311657006</v>
      </c>
      <c r="GR16" s="186">
        <f>32.9*(0.75*GQ16/6)*(10^-6)</f>
        <v>8.9848062994189425E-6</v>
      </c>
      <c r="GS16" s="186">
        <f>7500*GQ16/((1.4133+0.05601*GP16)^3)</f>
        <v>1837.7772740133462</v>
      </c>
      <c r="GT16" s="186">
        <f ca="1">GP16*((2+3*GR16*(D16-25))/(2-3*GR16*(D16-25))-1)</f>
        <v>0.3516001263441631</v>
      </c>
      <c r="GU16" s="190">
        <f ca="1">-57.9+0.0475*(FN16+273.15)-40.6*DD16-47.7*FC16+0.67*Q16-153*DA16*DG16+6.89*((EO16+EP16)/DC16)</f>
        <v>20.548737648740492</v>
      </c>
      <c r="GV16" s="193">
        <f t="shared" ref="GV16:GV19" ca="1" si="32">IA16</f>
        <v>3.2160428276957553</v>
      </c>
      <c r="GW16" s="193">
        <f t="shared" ref="GW16:GW19" ca="1" si="33">IC16</f>
        <v>2.7374071329311978</v>
      </c>
      <c r="GX16" s="193">
        <f>M16+N16</f>
        <v>4.1400000000000006</v>
      </c>
      <c r="GY16" s="193">
        <f>6*10^-5*(F16^3)-0.0166*(F16^2)+1.5751*F16-39.978</f>
        <v>5.3077524999999994</v>
      </c>
      <c r="GZ16" s="193">
        <f ca="1">IF(GX16&gt;GY16,GW16,GV16)</f>
        <v>3.2160428276957553</v>
      </c>
      <c r="HA16" s="186">
        <f t="shared" si="23"/>
        <v>439.91002708917955</v>
      </c>
      <c r="HB16" s="186">
        <f t="shared" si="23"/>
        <v>11.788859467150782</v>
      </c>
      <c r="HC16" s="193">
        <f>771.475-(1.323*HA16)-(16.064*HB16)</f>
        <v>9.7795680705360155E-2</v>
      </c>
      <c r="HD16" s="193"/>
      <c r="HE16" s="194">
        <f>GI16+GJ16+ES16</f>
        <v>0.14084688196577907</v>
      </c>
      <c r="HF16" s="194">
        <f>GK16+GL16</f>
        <v>0.83280000191285442</v>
      </c>
      <c r="HG16" s="194">
        <f>IF(EV16&gt;EZ16,EZ16,EV16)</f>
        <v>1.7330029101953831E-2</v>
      </c>
      <c r="HH16" s="194">
        <f>EV16-HG16</f>
        <v>0</v>
      </c>
      <c r="HI16" s="194">
        <f>EZ16-HG16</f>
        <v>2.3402022727207705E-2</v>
      </c>
      <c r="HJ16" s="194">
        <f>IF(HH16&gt;EP16,EP16,HH16)</f>
        <v>0</v>
      </c>
      <c r="HK16" s="194">
        <f>HH16-HJ16</f>
        <v>0</v>
      </c>
      <c r="HL16" s="194">
        <f>EP16-HJ16</f>
        <v>5.4146977062828783E-2</v>
      </c>
      <c r="HM16" s="194">
        <f>HL16+EX16+2*EN16</f>
        <v>0.10329122750737774</v>
      </c>
      <c r="HN16" s="194">
        <f>HE16/(HE16+HF16)</f>
        <v>0.14465910002679763</v>
      </c>
      <c r="HO16" s="194">
        <f>(EU16-HM16-HI16)*(1-HN16)</f>
        <v>0.66641540900879304</v>
      </c>
      <c r="HP16" s="194">
        <f>(EU16-HM16-HI16)*HN16</f>
        <v>0.11270717127431008</v>
      </c>
      <c r="HQ16" s="194">
        <f>(1-HG16-HJ16-HI16-HM16-HO16-HP16)*(1-HN16)</f>
        <v>6.5736489599601933E-2</v>
      </c>
      <c r="HR16" s="194">
        <f>(1-HG16-HJ16-HI16-HM16-HO16-HP16)*HN16</f>
        <v>1.1117650780755703E-2</v>
      </c>
      <c r="HS16" s="194">
        <f>HJ16+HG16</f>
        <v>1.7330029101953831E-2</v>
      </c>
      <c r="HT16" s="194"/>
      <c r="HU16" s="195">
        <f>(-0.000000872*HO16)-(0.000000749*HQ16)-(0.000000993*HP16)-(0.00000087*(HM16+HI16))-(0.00000086*HS16)-(0.00000087*HR16)</f>
        <v>-8.770683973521862E-7</v>
      </c>
      <c r="HV16" s="195">
        <f>(0.000000000001707*HO16)+(0.000000000000447*HQ16)+(0.0000000000014835*HP16)+(0.000000000002171*(HM16+HI16))+(0.000000000002149*HS16)+(0.0000000000002235*HR16)</f>
        <v>1.6489344763633537E-12</v>
      </c>
      <c r="HW16" s="195">
        <f>(0.000027795*HO16)+(0.000024656*HQ16)+(0.000031371*HP16)+(0.00002225*(HM16+HI16))+(0.000023118*HS16)+(0.000028232*HR16)</f>
        <v>2.7212985798354358E-5</v>
      </c>
      <c r="HX16" s="195">
        <f>(0.0000000083082*HO16)+(0.000000007467*HQ16)+(0.0000000083672*HP16)+(0.0000000052863*(HM16+HI16))+(0.0000000025785*HS16)+(0.000000007526*HR16)</f>
        <v>7.7687057609839341E-9</v>
      </c>
      <c r="HY16" s="194">
        <f>GQ16</f>
        <v>2.1847553311657006</v>
      </c>
      <c r="HZ16" s="194">
        <f t="shared" ref="HZ16:HZ19" ca="1" si="34">HA16+HA16*(HU16*(IA16-0.001)+HV16*(IA16-0.001)^2+HW16*(D16-25)+HX16*(D16-25)^2)</f>
        <v>457.0223302820911</v>
      </c>
      <c r="IA16" s="194">
        <f t="shared" ref="IA16:IA19" ca="1" si="35">IA$8+IA$9*IB16+IA$10*HB16+IA$11*ET16/(ET16+ER16)</f>
        <v>3.2160428276957553</v>
      </c>
      <c r="IB16" s="194">
        <f t="shared" ref="IB16:IB19" ca="1" si="36">HA16+HA16*(HU16*(IC16-0.001)+HV16*(IC16-0.001)^2+HW16*(D16-25)+HX16*(D16-25)^2)</f>
        <v>457.02251495260089</v>
      </c>
      <c r="IC16" s="194">
        <f t="shared" ref="IC16:IC19" ca="1" si="37">IC$8+IC$9*IB16+IC$10*HB16+IC$11*(ET16/(ET16+ER16))</f>
        <v>2.7374071329311978</v>
      </c>
      <c r="ID16" s="194">
        <f t="shared" ref="ID16:ID19" ca="1" si="38">IF(GX16&gt;GY16,IC16,IA16)</f>
        <v>3.2160428276957553</v>
      </c>
      <c r="IE16" s="194"/>
      <c r="IF16" s="190">
        <f>(1-EU16-EV16-EW16)*(1-0.5*(EQ16+EX16+EV16+EW16))</f>
        <v>6.8922235400902546E-2</v>
      </c>
      <c r="IG16" s="196">
        <f ca="1">D16-25</f>
        <v>1090.2314457049829</v>
      </c>
      <c r="IH16" s="196"/>
      <c r="II16" s="194">
        <f>1.4133+(0.05601*HB16)</f>
        <v>2.0735940187551152</v>
      </c>
      <c r="IJ16" s="196">
        <f>(7500*HY16)/II16^3</f>
        <v>1837.7772740133462</v>
      </c>
      <c r="IK16" s="195">
        <f>0.0000329*(0.75-HY16/6)</f>
        <v>1.2695258267441407E-5</v>
      </c>
      <c r="IM16" s="186">
        <f t="shared" ref="IM16:IM17" si="39">SUM(IN16:IP16)</f>
        <v>1</v>
      </c>
      <c r="IN16" s="186">
        <f t="shared" ref="IN16:IN17" si="40">ET16/(ER16+ET16+EU16)</f>
        <v>0.43370600553707628</v>
      </c>
      <c r="IO16" s="186">
        <f t="shared" ref="IO16:IO17" si="41">ER16/(ER16+ET16+EU16)</f>
        <v>9.4562768834053929E-2</v>
      </c>
      <c r="IP16" s="186">
        <f t="shared" ref="IP16:IP17" si="42">EU16/(EU16+ET16+ER16)</f>
        <v>0.47173122562886988</v>
      </c>
      <c r="IR16" s="173">
        <f>IO16/(COS(RADIANS(30)))+IP16*TAN(RADIANS(30))</f>
        <v>0.38154583018529487</v>
      </c>
      <c r="IS16" s="173">
        <f>IP16</f>
        <v>0.47173122562886988</v>
      </c>
      <c r="IU16" s="172">
        <v>0.1</v>
      </c>
      <c r="IV16" s="172">
        <v>0.9</v>
      </c>
      <c r="IW16" s="172">
        <v>0</v>
      </c>
      <c r="IX16" s="172"/>
      <c r="IY16" s="173">
        <f>IV16/(COS(RADIANS(30)))+IW16*TAN(RADIANS(30))</f>
        <v>1.0392304845413263</v>
      </c>
      <c r="IZ16" s="173">
        <f>IW16</f>
        <v>0</v>
      </c>
    </row>
    <row r="17" spans="1:260" s="186" customFormat="1" ht="13.2">
      <c r="A17" s="181" t="s">
        <v>201</v>
      </c>
      <c r="B17" s="181" t="s">
        <v>202</v>
      </c>
      <c r="C17" s="174">
        <f t="shared" ref="C17:C42" si="43">10*J17</f>
        <v>1.9</v>
      </c>
      <c r="D17" s="182">
        <f t="shared" ref="D17:D42" ca="1" si="44">AK17-273.15</f>
        <v>1089.003722108444</v>
      </c>
      <c r="E17" s="180">
        <f t="shared" ref="E17:E42" ca="1" si="45">BL17-BT17</f>
        <v>6.4751879359012388E-2</v>
      </c>
      <c r="F17" s="173">
        <v>59.1</v>
      </c>
      <c r="G17" s="173">
        <v>0.54</v>
      </c>
      <c r="H17" s="173">
        <v>19.100000000000001</v>
      </c>
      <c r="I17" s="173">
        <v>5.22</v>
      </c>
      <c r="J17" s="173">
        <v>0.19</v>
      </c>
      <c r="K17" s="183">
        <v>3.25</v>
      </c>
      <c r="L17" s="173">
        <v>7.45</v>
      </c>
      <c r="M17" s="173">
        <v>4</v>
      </c>
      <c r="N17" s="173">
        <v>0.88</v>
      </c>
      <c r="O17" s="173">
        <v>0</v>
      </c>
      <c r="P17" s="173">
        <v>0.31</v>
      </c>
      <c r="Q17" s="173">
        <v>6.2</v>
      </c>
      <c r="R17" s="184">
        <f t="shared" ref="R17:R42" ca="1" si="46">0.7996+15.347*(AI17/10)^0.5-0.00233*(AH17-273.15)+0.06248*(N17+M17)</f>
        <v>1.0354737905498657</v>
      </c>
      <c r="S17" s="185"/>
      <c r="T17" s="173">
        <v>47.3</v>
      </c>
      <c r="U17" s="173">
        <v>1.75</v>
      </c>
      <c r="V17" s="173">
        <v>7.85</v>
      </c>
      <c r="W17" s="173">
        <v>6.51</v>
      </c>
      <c r="X17" s="173">
        <v>0.14000000000000001</v>
      </c>
      <c r="Y17" s="173">
        <v>13.1</v>
      </c>
      <c r="Z17" s="173">
        <v>22.5</v>
      </c>
      <c r="AA17" s="173">
        <v>0.25</v>
      </c>
      <c r="AB17" s="173">
        <v>0</v>
      </c>
      <c r="AC17" s="173">
        <v>0.22</v>
      </c>
      <c r="AE17" s="187">
        <f t="shared" ref="AE17:AE42" ca="1" si="47">10^4/(7.53-0.14*FK17+0.07*Q17-14.9*DG17*DA17-0.08*LN(DB17)-3.62*(DH17+DI17)-1.1*DF17/(DF17+DD17)-0.18*LN(FG17)-0.027*AG17)</f>
        <v>1254.7612833982253</v>
      </c>
      <c r="AF17" s="187">
        <f t="shared" ref="AF17:AF42" ca="1" si="48">AE17-273.15</f>
        <v>981.61128339822528</v>
      </c>
      <c r="AG17" s="187">
        <f t="shared" ref="AG17:AG42" ca="1" si="49">-26.2712+39.16138*AE17*FJ17/10^4-4.21676*LN(FI17)+78.43463*DC17+393.8126*(DH17+DI17)^2</f>
        <v>0.89559739579306941</v>
      </c>
      <c r="AH17" s="187">
        <f t="shared" ref="AH17:AH42" ca="1" si="50">AX17</f>
        <v>1402.052416091813</v>
      </c>
      <c r="AI17" s="187">
        <f t="shared" ref="AI17:AI42" ca="1" si="51">AZ17</f>
        <v>0.27853428935678881</v>
      </c>
      <c r="AJ17" s="187"/>
      <c r="AK17" s="187">
        <f t="shared" ref="AK17:AK42" ca="1" si="52">BB17</f>
        <v>1362.1537221084441</v>
      </c>
      <c r="AL17" s="187">
        <f t="shared" ref="AL17:AL42" ca="1" si="53">BC17</f>
        <v>-0.9461725452654921</v>
      </c>
      <c r="AM17" s="187"/>
      <c r="AN17" s="187">
        <f t="shared" ref="AN17:AN42" ca="1" si="54">10^4/(7.53-0.14*FK17+0.07*Q17-14.9*DG17*DA17-0.08*LN(DB17)-3.62*(DH17+DI17)-1.1*DF17/(DF17+DD17)-0.18*LN(FG17)-0.027*AP17)</f>
        <v>1226.6508552912815</v>
      </c>
      <c r="AO17" s="187">
        <f t="shared" ref="AO17:AO42" ca="1" si="55">AN17-273.15</f>
        <v>953.50085529128148</v>
      </c>
      <c r="AP17" s="187">
        <f t="shared" ref="AP17:AP42" ca="1" si="56">IF(ABS(FB17)&gt;0,-54.3+299*(AN17)/10^4+36.4*(AN17)*FJ17/10^4+367*DH17*DC17,0)</f>
        <v>-5.8686832800304467</v>
      </c>
      <c r="AQ17" s="187"/>
      <c r="AR17" s="187">
        <f t="shared" ref="AR17:AR42" ca="1" si="57">10^4/(6.39+0.076*Q17-5.55*DG17*DA17-0.386*LN(DF17)-0.046*AT17+2.2*10^-4*(AT17^2))</f>
        <v>1233.9614789493078</v>
      </c>
      <c r="AS17" s="187">
        <f t="shared" ref="AS17:AS42" ca="1" si="58">AR17-273.15</f>
        <v>960.8114789493078</v>
      </c>
      <c r="AT17" s="188">
        <f t="shared" ref="AT17:AT42" ca="1" si="59">-54.3+299*(AR17)/10^4+36.4*(AR17)*FJ17/10^4+367*DH17*DC17</f>
        <v>-5.6124712258805767</v>
      </c>
      <c r="AV17" s="188">
        <f t="shared" ref="AV17:AV42" si="60">IF(ABS(FB17)&gt;0,10^4/(6.73-0.26*FK17-0.86*LN(FM17)+0.52*LN(DG17)),0)</f>
        <v>1405.9304586470664</v>
      </c>
      <c r="AW17" s="188">
        <f t="shared" ref="AW17:AW42" si="61">IF(AV17&gt;0,AV17-273.15,0)</f>
        <v>1132.7804586470666</v>
      </c>
      <c r="AX17" s="188">
        <f t="shared" ref="AX17:AX42" ca="1" si="62">IF(ABS(FB17)&gt;0,10^4/(6.59-0.16*FK17-0.65*LN(FM17)+0.23*LN(DG17)-0.02*AZ17),0)</f>
        <v>1402.052416091813</v>
      </c>
      <c r="AY17" s="188">
        <f t="shared" ref="AY17:AY42" ca="1" si="63">IF(AX17&gt;0,AX17-273.15,0)</f>
        <v>1128.9024160918129</v>
      </c>
      <c r="AZ17" s="188">
        <f t="shared" ref="AZ17:AZ42" ca="1" si="64">IF(ABS(FB17)&gt;0,-54.3+299*(AX17)/10^4+36.4*(AX17)*FJ17/10^4+367*DH17*DC17,0)</f>
        <v>0.27853428935678881</v>
      </c>
      <c r="BA17" s="188"/>
      <c r="BB17" s="188">
        <f t="shared" ref="BB17:BB42" ca="1" si="65">IF(ABS(FB17)&gt;0,10^4/(4.6-0.437*FL17-0.654*LN(FM17)-0.326*LN(DH17)-0.92*LN(DA17)+0.274*LN(FB17)-0.00632*BC17),0)</f>
        <v>1362.1537221084441</v>
      </c>
      <c r="BC17" s="188">
        <f t="shared" ref="BC17:BC42" ca="1" si="66">IF(ABS(FB17)&gt;0,-88.3+0.00282*(BB17)*FJ17+0.0219*(BB17)-25.1*LN(DG17*DA17)+12.4*LN(DG17)+7.03*FM17,0)</f>
        <v>-0.9461725452654921</v>
      </c>
      <c r="BD17" s="188">
        <f t="shared" ref="BD17:BD42" ca="1" si="67">BB17-273.15</f>
        <v>1089.003722108444</v>
      </c>
      <c r="BE17" s="188">
        <f t="shared" ref="BE17:BE42" ca="1" si="68">-48.7+271.3*AH17/10^4+31.96*(AH17/10^4)*FJ17-8.2*LN(DD17)+4.6*LN(DF17)-0.96*LN(DI17)-2.2*LN(FI17)-31*FM17+56.2*(DH17+DI17)+0.76*Q17</f>
        <v>5.7957344827642148</v>
      </c>
      <c r="BF17" s="188">
        <f t="shared" ref="BF17:BF42" ca="1" si="69">-40.73+358*AH17/10^4+21.7*(AH17/10^4)*FJ17-106*DG17-166*(DH17+DI17)^2-50.2*DA17*(DD17+DF17)-3.2*LN(FI17)-2.2*LN(FG17)+0.86*LN(EQ17)+0.4*Q17</f>
        <v>10.171984881891774</v>
      </c>
      <c r="BG17" s="188">
        <f t="shared" ref="BG17:BG42" ca="1" si="70">-273.15+10^4/(7.53+0.07*Q17-1.1*FM17-14.9*DG17*DA17-0.08*LN(DB17)-3.62*(DH17+DI17)-0.18*LN(FG17)-0.026*AI17-0.14*FL17)</f>
        <v>978.9499824213716</v>
      </c>
      <c r="BH17" s="188">
        <f t="shared" ref="BH17:BH42" ca="1" si="71">-273.15+10^4/(6.39+0.076*Q17-5.55*DG17*DA17-0.386*LN(DF17)-0.046*FO17+2.2*10^-4*AI17^2)</f>
        <v>1004.628661682765</v>
      </c>
      <c r="BI17" s="188">
        <f t="shared" ref="BI17:BI42" ca="1" si="72">-273.15+10^4/(6.39+0.076*Q17-5.55*(DG17*DA17)-0.386*LN(DF17)-0.046*AI17+0.00022*AI17^2)</f>
        <v>1004.628661682765</v>
      </c>
      <c r="BJ17" s="188">
        <f t="shared" ref="BJ17:BJ42" ca="1" si="73">10^4/(3.12-0.0259*BC17-0.37*LN(DF17/(DF17+DD17))+0.47*LN(DG17*(DF17+DD17)*DA17^2)-0.78*LN((DF17+DD17)^2*DA17^2)-0.34*LN(DG17*DC17^2*DA17))-273.15</f>
        <v>1081.0732065728689</v>
      </c>
      <c r="BK17" s="180">
        <f t="shared" ref="BK17:BK42" ca="1" si="74">EXP(-9.8+0.24*LN(DG17*(DD17+DF17)*DA17^2)+17558/AE17+8.7*LN(AE17/1670)-4.61*10^3*(FG17^2/AE17))</f>
        <v>1.1730644621915556</v>
      </c>
      <c r="BL17" s="180">
        <f t="shared" ref="BL17:BL42" ca="1" si="75">EXP(-0.482-0.439*LN(DA17)+101.03*(DH17+DI17)^3-51.69*AG17/AE17-3742.5*FG17^2/AE17)</f>
        <v>0.7974226743968551</v>
      </c>
      <c r="BM17" s="180">
        <f t="shared" ref="BM17:BM42" ca="1" si="76">EXP(-6.96+18438/AE17+8*LN(AE17/1670)+0.66*LN((DD17+DF17)^2*DA17^2)-5.1*10^3*(FF17^2/AE17)+1.81*LN(DA17))</f>
        <v>0.15075184435524766</v>
      </c>
      <c r="BN17" s="180">
        <f t="shared" ca="1" si="27"/>
        <v>1.4659985899520181E-2</v>
      </c>
      <c r="BO17" s="180">
        <f t="shared" ca="1" si="28"/>
        <v>1.8317994303049284E-2</v>
      </c>
      <c r="BP17" s="180">
        <f t="shared" ca="1" si="29"/>
        <v>3.1226612645528923E-2</v>
      </c>
      <c r="BQ17" s="180">
        <f t="shared" ref="BQ17:BQ42" si="77">EXP(12.8)*DG17*DJ17^2*DA17</f>
        <v>0</v>
      </c>
      <c r="BR17" s="188">
        <f t="shared" ref="BR17:BR42" ca="1" si="78">SUM(BL17:BQ17)</f>
        <v>1.0123791116002012</v>
      </c>
      <c r="BS17" s="188"/>
      <c r="BT17" s="180">
        <f t="shared" ref="BT17:BT42" si="79">FF17</f>
        <v>0.73267079503784271</v>
      </c>
      <c r="BU17" s="180">
        <f t="shared" ref="BU17:BU42" si="80">FG17</f>
        <v>9.9544976148765063E-2</v>
      </c>
      <c r="BV17" s="180">
        <f t="shared" ref="BV17:BV42" si="81">FC17</f>
        <v>9.1884663549011758E-2</v>
      </c>
      <c r="BW17" s="180">
        <f t="shared" ref="BW17:BW42" si="82">FB17</f>
        <v>1.8084930967527724E-2</v>
      </c>
      <c r="BX17" s="180">
        <f t="shared" ref="BX17:BX42" si="83">FD17</f>
        <v>7.166710610330454E-2</v>
      </c>
      <c r="BY17" s="180">
        <f t="shared" ref="BY17:BY42" si="84">FE17</f>
        <v>3.2447030050030442E-3</v>
      </c>
      <c r="BZ17" s="180">
        <f t="shared" ref="BZ17:BZ42" si="85">SUM(BT17:BY17)</f>
        <v>1.017097174811455</v>
      </c>
      <c r="CA17" s="180">
        <f t="shared" ref="CA17:CA42" si="86">(ER17/ET17)/($G$8*DD17/DF17)</f>
        <v>0.3094015969114679</v>
      </c>
      <c r="CB17" s="188"/>
      <c r="CC17" s="188"/>
      <c r="CD17" s="188">
        <f t="shared" ref="CD17:CD42" ca="1" si="87">3205-5.62*ET17+83.2*EV17+68.2*FI17+2.52*LN(EP17)-51.1*FI17^2+34.8*FG17^2+0.384*(AH17)-518*LN(AH17)</f>
        <v>4.8483260885986965</v>
      </c>
      <c r="CE17" s="188">
        <f t="shared" ref="CE17:CE42" ca="1" si="88">1458+0.197*(AH17)-241*LN(AH17)+0.453*Q17+55.5*EP17+8.05*ER17-277*EW17+18*FB17+44.1*FF17+2.2*LN(FB17)-27.7*EQ17^2+97.3*GI17^2+30.7*GK17^2-27.6*FF17^2</f>
        <v>4.3819089010610792</v>
      </c>
      <c r="CF17" s="188">
        <f t="shared" ref="CF17:CF42" ca="1" si="89">-57.9+0.0475*(AH17)-40.6*DD17-47.7*FC17+0.67*Q17-153*DG17*DA17+6.89*(EQ17/DC17)</f>
        <v>12.169878382061086</v>
      </c>
      <c r="CG17" s="188">
        <f t="shared" ref="CG17:CG42" ca="1" si="90">-273.15+(93100+544*AI17)/(61.1+36.6*EN17+10.9*ER17-0.95*(EQ17+EX17-EV17-EW17)+0.395*(LN(FT17))^2)</f>
        <v>1104.7962896640865</v>
      </c>
      <c r="CH17" s="189">
        <f t="shared" ref="CH17:CH42" ca="1" si="91">EXP(-0.107-1719/AH17)</f>
        <v>0.26366927030219534</v>
      </c>
      <c r="CJ17" s="188">
        <f t="shared" ref="CJ17:CJ42" si="92">698.443+4.985*EO17-26.826*GJ17-3.764*EZ17+53.989*EP17+3.948*EN17+14.651*EX17-700.431*EU17-666.629*EV17-682.848*GK17-691.138*GI17-688.384*ES17-6.267*GK17^2-4.144*GI17^2</f>
        <v>3.3658756863828527</v>
      </c>
      <c r="CK17" s="188">
        <f t="shared" ref="CK17:CK42" si="93">771.48+4.956*EO17-28.756*GJ17-5.345*EZ17+56.904*EP17+1.848*EN17+14.827*EX17-773.74*EU17-736.57*EV17-754.81*GK17-763.2*GI17-759.66*ES17-1.185*GK17^2-1.876*GI17^2</f>
        <v>3.1660584264524116</v>
      </c>
      <c r="CL17" s="188">
        <f t="shared" ref="CL17:CL42" ca="1" si="94">-273.15+(23166+39.28*AI17)/(13.25+15.35*EN17+4.5*ER17-1.55*(EQ17-EX17-EV17-EW17)+(LN(IF17))^2)</f>
        <v>794.36741167671164</v>
      </c>
      <c r="CM17" s="190"/>
      <c r="CN17" s="186">
        <f t="shared" ref="CN17:CN42" si="95">F17/CN$10</f>
        <v>0.98361801668655546</v>
      </c>
      <c r="CO17" s="186">
        <f t="shared" ref="CO17:CO42" si="96">G17/CO$10</f>
        <v>6.7602417662759083E-3</v>
      </c>
      <c r="CP17" s="186">
        <f t="shared" ref="CP17:CP42" si="97">H17*2/CP$10</f>
        <v>0.37465305361854045</v>
      </c>
      <c r="CQ17" s="186">
        <f t="shared" ref="CQ17:CQ42" si="98">I17/CQ$10</f>
        <v>7.2654997327632281E-2</v>
      </c>
      <c r="CR17" s="186">
        <f t="shared" ref="CR17:CR42" si="99">J17/CR$10</f>
        <v>2.6784140969162997E-3</v>
      </c>
      <c r="CS17" s="186">
        <f t="shared" ref="CS17:CS42" si="100">K17/CS$10</f>
        <v>8.063635732078879E-2</v>
      </c>
      <c r="CT17" s="186">
        <f t="shared" ref="CT17:CT42" si="101">L17/CT$10</f>
        <v>0.13285209371333195</v>
      </c>
      <c r="CU17" s="186">
        <f t="shared" ref="CU17:CU42" si="102">M17*2/CU$10</f>
        <v>0.12907618560510109</v>
      </c>
      <c r="CV17" s="186">
        <f t="shared" ref="CV17:CV42" si="103">N17*2/CV$10</f>
        <v>1.8684445199371524E-2</v>
      </c>
      <c r="CW17" s="186">
        <f t="shared" ref="CW17:CW42" si="104">O17*2/CW$10</f>
        <v>0</v>
      </c>
      <c r="CX17" s="186">
        <f t="shared" ref="CX17:CX42" si="105">P17*2/CX$10</f>
        <v>4.3681351585562606E-3</v>
      </c>
      <c r="CY17" s="186">
        <f t="shared" ref="CY17:CY42" si="106">SUM(CN17:CX17)</f>
        <v>1.8059819404930699</v>
      </c>
      <c r="DA17" s="186">
        <f t="shared" ref="DA17:DA42" si="107">(CN17/$CY17)</f>
        <v>0.54464443670904461</v>
      </c>
      <c r="DB17" s="186">
        <f t="shared" ref="DB17:DB42" si="108">(CO17/$CY17)</f>
        <v>3.7432499266466775E-3</v>
      </c>
      <c r="DC17" s="186">
        <f t="shared" ref="DC17:DC42" si="109">(CP17/$CY17)</f>
        <v>0.2074511628373496</v>
      </c>
      <c r="DD17" s="186">
        <f t="shared" ref="DD17:DD42" si="110">(CQ17/$CY17)</f>
        <v>4.0230190401458824E-2</v>
      </c>
      <c r="DE17" s="186">
        <f t="shared" ref="DE17:DE42" si="111">(CR17/$CY17)</f>
        <v>1.4830791143930475E-3</v>
      </c>
      <c r="DF17" s="186">
        <f t="shared" ref="DF17:DF42" si="112">(CS17/$CY17)</f>
        <v>4.4649592287048796E-2</v>
      </c>
      <c r="DG17" s="186">
        <f t="shared" ref="DG17:DG42" si="113">(CT17/$CY17)</f>
        <v>7.3562249286424547E-2</v>
      </c>
      <c r="DH17" s="186">
        <f t="shared" ref="DH17:DH42" si="114">(CU17/$CY17)</f>
        <v>7.1471470844199386E-2</v>
      </c>
      <c r="DI17" s="186">
        <f t="shared" ref="DI17:DI42" si="115">(CV17/$CY17)</f>
        <v>1.0345864917270594E-2</v>
      </c>
      <c r="DJ17" s="186">
        <f t="shared" ref="DJ17:DJ42" si="116">(CW17/$CY17)</f>
        <v>0</v>
      </c>
      <c r="DK17" s="186">
        <f t="shared" ref="DK17:DK42" si="117">(CX17/$CY17)</f>
        <v>2.4187036761639325E-3</v>
      </c>
      <c r="DL17" s="186">
        <f t="shared" ref="DL17:DL42" si="118">SUM(DA17:DK17)</f>
        <v>0.99999999999999989</v>
      </c>
      <c r="DM17" s="191">
        <f t="shared" ref="DM17:DM42" si="119">100*DF17/(DF17+DD17)</f>
        <v>52.603330113254593</v>
      </c>
      <c r="DN17" s="186">
        <f t="shared" ref="DN17:DN42" si="120">T17/CN$10</f>
        <v>0.78722727900632938</v>
      </c>
      <c r="DO17" s="186">
        <f t="shared" ref="DO17:DO42" si="121">U17/CO$10</f>
        <v>2.1908190909227479E-2</v>
      </c>
      <c r="DP17" s="186">
        <f t="shared" ref="DP17:DP42" si="122">V17/CP$10</f>
        <v>7.699022175145398E-2</v>
      </c>
      <c r="DQ17" s="186">
        <f t="shared" ref="DQ17:DQ42" si="123">W17/CQ$10</f>
        <v>9.0609967931587376E-2</v>
      </c>
      <c r="DR17" s="186">
        <f t="shared" ref="DR17:DR42" si="124">X17/CR$10</f>
        <v>1.9735682819383262E-3</v>
      </c>
      <c r="DS17" s="186">
        <f t="shared" ref="DS17:DS42" si="125">Y17/CS$10</f>
        <v>0.32502654796994868</v>
      </c>
      <c r="DT17" s="186">
        <f t="shared" ref="DT17:DT42" si="126">Z17/CT$10</f>
        <v>0.40123115551006289</v>
      </c>
      <c r="DU17" s="186">
        <f t="shared" ref="DU17:DU42" si="127">AA17/CU$10</f>
        <v>4.0336308001594091E-3</v>
      </c>
      <c r="DV17" s="186">
        <f t="shared" ref="DV17:DV42" si="128">AB17/CV$10</f>
        <v>0</v>
      </c>
      <c r="DW17" s="186">
        <f t="shared" ref="DW17:DW42" si="129">AC17/CW$10</f>
        <v>1.447385561144803E-3</v>
      </c>
      <c r="DX17" s="186">
        <f t="shared" ref="DX17:DX42" si="130">SUM(DN17:DW17)</f>
        <v>1.7104479477218524</v>
      </c>
      <c r="DZ17" s="186">
        <f t="shared" ref="DZ17:DZ42" si="131">DN17*2</f>
        <v>1.5744545580126588</v>
      </c>
      <c r="EA17" s="186">
        <f t="shared" ref="EA17:EA42" si="132">DO17*2</f>
        <v>4.3816381818454958E-2</v>
      </c>
      <c r="EB17" s="186">
        <f t="shared" ref="EB17:EB42" si="133">DP17*3</f>
        <v>0.23097066525436194</v>
      </c>
      <c r="EC17" s="186">
        <f t="shared" ref="EC17:EC42" si="134">DQ17</f>
        <v>9.0609967931587376E-2</v>
      </c>
      <c r="ED17" s="186">
        <f t="shared" ref="ED17:ED42" si="135">DR17</f>
        <v>1.9735682819383262E-3</v>
      </c>
      <c r="EE17" s="186">
        <f t="shared" ref="EE17:EE42" si="136">DS17</f>
        <v>0.32502654796994868</v>
      </c>
      <c r="EF17" s="186">
        <f t="shared" ref="EF17:EF42" si="137">DT17</f>
        <v>0.40123115551006289</v>
      </c>
      <c r="EG17" s="186">
        <f t="shared" ref="EG17:EG42" si="138">DU17</f>
        <v>4.0336308001594091E-3</v>
      </c>
      <c r="EH17" s="186">
        <f t="shared" ref="EH17:EH42" si="139">DV17</f>
        <v>0</v>
      </c>
      <c r="EI17" s="186">
        <f t="shared" ref="EI17:EI42" si="140">DW17*3</f>
        <v>4.3421566834344087E-3</v>
      </c>
      <c r="EJ17" s="186">
        <f t="shared" ref="EJ17:EJ42" si="141">SUM(DZ17:EI17)</f>
        <v>2.6764586322626069</v>
      </c>
      <c r="EK17" s="186">
        <f t="shared" ref="EK17:EK42" si="142">6/EJ17</f>
        <v>2.2417682558866079</v>
      </c>
      <c r="EM17" s="186">
        <f t="shared" ref="EM17:EM42" si="143">DN17*$EK17</f>
        <v>1.7647811242443792</v>
      </c>
      <c r="EN17" s="186">
        <f t="shared" ref="EN17:EN42" si="144">DO17*$EK17</f>
        <v>4.9113086924209723E-2</v>
      </c>
      <c r="EO17" s="186">
        <f t="shared" ref="EO17:EO42" si="145">2-EM17</f>
        <v>0.23521887575562084</v>
      </c>
      <c r="EP17" s="186">
        <f t="shared" ref="EP17:EP42" si="146">IF(EQ17-EO17&lt;0,0,EQ17-EO17)</f>
        <v>0.10996959451653948</v>
      </c>
      <c r="EQ17" s="186">
        <f t="shared" ref="EQ17:EQ42" si="147">DP17*$EK17*2</f>
        <v>0.34518847027216032</v>
      </c>
      <c r="ER17" s="186">
        <f t="shared" ref="ER17:ER42" si="148">DQ17*$EK17</f>
        <v>0.20312654977593611</v>
      </c>
      <c r="ES17" s="186">
        <f t="shared" ref="ES17:ES42" si="149">DR17*$EK17</f>
        <v>4.4242827252740109E-3</v>
      </c>
      <c r="ET17" s="186">
        <f t="shared" ref="ET17:ET42" si="150">DS17*$EK17</f>
        <v>0.7286341975594367</v>
      </c>
      <c r="EU17" s="186">
        <f t="shared" ref="EU17:EU42" si="151">DT17*$EK17</f>
        <v>0.89946726769516205</v>
      </c>
      <c r="EV17" s="186">
        <f t="shared" ref="EV17:EV42" si="152">DU17*$EK17*2</f>
        <v>1.8084930967527724E-2</v>
      </c>
      <c r="EW17" s="186">
        <f t="shared" ref="EW17:EW42" si="153">DV17*$EK17*2</f>
        <v>0</v>
      </c>
      <c r="EX17" s="186">
        <f t="shared" ref="EX17:EX42" si="154">DW17*$EK17*2</f>
        <v>6.4894060100060885E-3</v>
      </c>
      <c r="EY17" s="186">
        <f t="shared" ref="EY17:EY42" si="155">EM17+EN17+EQ17+ER17+ES17+ET17+EU17+EV17+EW17+EX17</f>
        <v>4.019309316174092</v>
      </c>
      <c r="EZ17" s="186">
        <f t="shared" ref="EZ17:EZ42" si="156">IF(EV17+EO17-EP17-2*EN17-EX17&gt;0,EV17+EO17-EP17-2*EN17-EX17,0)</f>
        <v>3.8618632348183544E-2</v>
      </c>
      <c r="FA17" s="186">
        <f t="shared" ref="FA17:FA42" si="157">12-48/EY17</f>
        <v>5.764965466993921E-2</v>
      </c>
      <c r="FB17" s="186">
        <f t="shared" ref="FB17:FB42" si="158">IF(EV17&lt;EP17,EV17,EP17)</f>
        <v>1.8084930967527724E-2</v>
      </c>
      <c r="FC17" s="186">
        <f t="shared" ref="FC17:FC42" si="159">IF(EP17&gt;EV17,EP17-EV17,0)</f>
        <v>9.1884663549011758E-2</v>
      </c>
      <c r="FD17" s="186">
        <f t="shared" ref="FD17:FD42" si="160">IF(EO17&gt;FC17,(EO17-FC17)/2,0)</f>
        <v>7.166710610330454E-2</v>
      </c>
      <c r="FE17" s="186">
        <f t="shared" ref="FE17:FE42" si="161">EX17/2</f>
        <v>3.2447030050030442E-3</v>
      </c>
      <c r="FF17" s="190">
        <f t="shared" ref="FF17:FF42" si="162">IF(EU17-FD17-FC17-FE17&gt;0,EU17-FD17-FC17-FE17,0)</f>
        <v>0.73267079503784271</v>
      </c>
      <c r="FG17" s="186">
        <f t="shared" ref="FG17:FG42" si="163">((ER17+ET17)-FF17)/2</f>
        <v>9.9544976148765063E-2</v>
      </c>
      <c r="FH17" s="186">
        <f t="shared" ref="FH17:FH42" si="164">SUM(FB17:FG17)</f>
        <v>1.0170971748114548</v>
      </c>
      <c r="FI17" s="186">
        <f t="shared" ref="FI17:FI42" si="165">EU17-FC17-FD17-FE17</f>
        <v>0.73267079503784271</v>
      </c>
      <c r="FJ17" s="186">
        <f t="shared" ref="FJ17:FJ42" si="166">LN(FB17/(DA17^2*DH17*DC17))</f>
        <v>1.4138842280927311</v>
      </c>
      <c r="FK17" s="186">
        <f t="shared" ref="FK17:FK42" si="167">LN(FB17*DG17*(DD17+DF17)/(FF17*DH17*DC17))</f>
        <v>-4.5664438348403324</v>
      </c>
      <c r="FL17" s="186">
        <f t="shared" ref="FL17:FL42" si="168">LN((FB17*DG17*(DD17+DF17))/(DH17*DC17*FI17))</f>
        <v>-4.5664438348403324</v>
      </c>
      <c r="FM17" s="186">
        <f t="shared" ref="FM17:FM42" si="169">DF17/(DF17+DD17)</f>
        <v>0.52603330113254598</v>
      </c>
      <c r="FN17" s="192">
        <f t="shared" ref="FN17:FN42" ca="1" si="170">AH17</f>
        <v>1402.052416091813</v>
      </c>
      <c r="FO17" s="192">
        <f t="shared" ref="FO17:FO42" ca="1" si="171">AI17</f>
        <v>0.27853428935678881</v>
      </c>
      <c r="FP17" s="186">
        <f t="shared" ref="FP17:FP42" ca="1" si="172">(FN17)/10^4</f>
        <v>0.1402052416091813</v>
      </c>
      <c r="FQ17" s="190">
        <f t="shared" ref="FQ17:FQ42" ca="1" si="173">LN(ABS(BE17-FO17))</f>
        <v>1.7078705202745861</v>
      </c>
      <c r="FR17" s="190">
        <f t="shared" ref="FR17:FR42" ca="1" si="174">LN(ABS(BH17-FN17))</f>
        <v>5.9850031028885313</v>
      </c>
      <c r="FS17" s="186">
        <f t="shared" ref="FS17:FS42" ca="1" si="175">1458+0.45*Q17+0.197*(D17+273.15)-241*LN(D17+273.15)+55.5*EP17+8.05*ER17-276.6*EW17+18.01*FB17+44.09*FI17+2.17*LN(FB17)+97.3*GI17^2+30.38*GK17^2-27.59*FI17^2-17.7*EQ17^2</f>
        <v>4.7702755810875921</v>
      </c>
      <c r="FT17" s="186">
        <f t="shared" ref="FT17:FT42" si="176">(1-EU17-EV17-EW17)*(1-0.5*(EQ17+EX17+EV17+EW17))</f>
        <v>6.7204736100285767E-2</v>
      </c>
      <c r="FU17" s="190">
        <f t="shared" ref="FU17:FU42" si="177">100*DS17/(DS17+DQ17)</f>
        <v>78.199709490141913</v>
      </c>
      <c r="FV17" s="190">
        <f t="shared" ref="FV17:FV42" ca="1" si="178">2446.5+0.309*(D17+273.15)-400*LN(D17+273.15)-5.98*ET17-20.5*EV17+112*FB17+61.5*FC17+71.1*FI17+1.66*LN(FI17)-43.5*FI17^2+43*FG17^2-26.2*EQ17^2</f>
        <v>9.1546935314381912</v>
      </c>
      <c r="FW17" s="190">
        <f t="shared" ref="FW17:FW42" ca="1" si="179">EXP(-0.107-1719/(D17+273.15))</f>
        <v>0.25436828911690806</v>
      </c>
      <c r="FX17" s="190">
        <f t="shared" ref="FX17:FX42" si="180">(ER17/ET17)/(DD17/DF17)</f>
        <v>0.3094015969114679</v>
      </c>
      <c r="FY17" s="186">
        <f t="shared" ref="FY17:FY42" si="181">EU17+EV17+ES17</f>
        <v>0.92197648138796384</v>
      </c>
      <c r="FZ17" s="186">
        <f t="shared" ref="FZ17:FZ42" si="182">EP17+EN17+EX17+EZ17</f>
        <v>0.20419071979893885</v>
      </c>
      <c r="GA17" s="186">
        <f t="shared" ref="GA17:GA42" si="183">EXP(0.238*FZ17+0.289*FY17-2.3315)</f>
        <v>0.13312704174735426</v>
      </c>
      <c r="GB17" s="186">
        <f t="shared" ref="GB17:GB42" si="184">1-EN17-EP17</f>
        <v>0.84091731855925089</v>
      </c>
      <c r="GC17" s="186">
        <f t="shared" ref="GC17:GC42" si="185">(ER17-EZ17)+ET17-GB17</f>
        <v>5.2224796427938314E-2</v>
      </c>
      <c r="GD17" s="186">
        <f t="shared" ref="GD17:GD42" si="186">ER17-EZ17</f>
        <v>0.16450791742775256</v>
      </c>
      <c r="GE17" s="186">
        <f t="shared" ref="GE17:GE42" si="187">1-GA17</f>
        <v>0.86687295825264576</v>
      </c>
      <c r="GF17" s="186">
        <f t="shared" ref="GF17:GF42" si="188">(GA17*ET17)-(GA17*(1-FY17))+GD17+(1-FY17)</f>
        <v>0.32914531105729383</v>
      </c>
      <c r="GG17" s="186">
        <f t="shared" ref="GG17:GG42" si="189">-GD17*(1-FY17)</f>
        <v>-1.2835486557251559E-2</v>
      </c>
      <c r="GH17" s="186">
        <f t="shared" ref="GH17:GH42" si="190">(-GF17+SQRT(GF17^2-4*GE17*GG17))/2*GE17</f>
        <v>2.6789337000552128E-2</v>
      </c>
      <c r="GI17" s="186">
        <f t="shared" ref="GI17:GI42" si="191">GH17</f>
        <v>2.6789337000552128E-2</v>
      </c>
      <c r="GJ17" s="186">
        <f t="shared" ref="GJ17:GJ42" si="192">GD17-GI17</f>
        <v>0.13771858042720042</v>
      </c>
      <c r="GK17" s="186">
        <f t="shared" ref="GK17:GK42" si="193">1-FY17-GI17</f>
        <v>5.1234181611484034E-2</v>
      </c>
      <c r="GL17" s="186">
        <f t="shared" ref="GL17:GL42" si="194">ET17-GK17</f>
        <v>0.67740001594795263</v>
      </c>
      <c r="GM17" s="186">
        <f t="shared" ref="GM17:GM42" si="195">IF(1-FY17&gt;0,EU17,1-EV17-EW17-ES17)</f>
        <v>0.89946726769516205</v>
      </c>
      <c r="GN17" s="186">
        <f t="shared" ref="GN17:GN42" si="196">IF(1-FY17&gt;0,EV17,IF(EU17&gt;0,EV17,1-ES17))</f>
        <v>1.8084930967527724E-2</v>
      </c>
      <c r="GO17" s="186">
        <f t="shared" ref="GO17:GO42" si="197">11.864*GJ17+9.107*EZ17-18.375*EP17+11.794*EN17-1.4925*EX17+439.97*EU17+419.68*EV17+431.72*GK17+432.56*GI17+428.03*ES17-28.652*GK17^2-12.741*GI17^2</f>
        <v>439.37914232657624</v>
      </c>
      <c r="GP17" s="186">
        <f t="shared" ref="GP17:GP42" si="198">-0.3085*EO17+0.813*GJ17-0.4173*EZ17-2.209*EP17-1.0864*EN17-0.8001*EX17+11.931*EU17+11.288*EV17+11.432*GK17+11.885*GI17+12.038*ES17+2.4355*GK17^2-1.661*GI17^2</f>
        <v>11.620060780470181</v>
      </c>
      <c r="GQ17" s="186">
        <f t="shared" ref="GQ17:GQ42" si="199">3*(EZ17+EP17+EX17)+2*(GJ17+GL17)+4*EN17</f>
        <v>2.2919224390713322</v>
      </c>
      <c r="GR17" s="186">
        <f t="shared" ref="GR17:GR42" si="200">32.9*(0.75*GQ17/6)*(10^-6)</f>
        <v>9.4255310306808526E-6</v>
      </c>
      <c r="GS17" s="186">
        <f t="shared" ref="GS17:GS42" si="201">7500*GQ17/((1.4133+0.05601*GP17)^3)</f>
        <v>1954.5373772016726</v>
      </c>
      <c r="GT17" s="186">
        <f t="shared" ref="GT17:GT42" ca="1" si="202">GP17*((2+3*GR17*(D17-25))/(2-3*GR17*(D17-25))-1)</f>
        <v>0.35494531352730829</v>
      </c>
      <c r="GU17" s="190">
        <f t="shared" ref="GU17:GU42" ca="1" si="203">-57.9+0.0475*(FN17+273.15)-40.6*DD17-47.7*FC17+0.67*Q17-153*DA17*DG17+6.89*((EO17+EP17)/DC17)</f>
        <v>25.144503382061085</v>
      </c>
      <c r="GV17" s="193">
        <f t="shared" ref="GV17:GV42" ca="1" si="204">IA17</f>
        <v>5.7929240474398771</v>
      </c>
      <c r="GW17" s="193">
        <f t="shared" ref="GW17:GW42" ca="1" si="205">IC17</f>
        <v>5.6375781888021335</v>
      </c>
      <c r="GX17" s="193">
        <f t="shared" ref="GX17:GX42" si="206">M17+N17</f>
        <v>4.88</v>
      </c>
      <c r="GY17" s="193">
        <f t="shared" ref="GY17:GY42" si="207">6*10^-5*(F17^3)-0.0166*(F17^2)+1.5751*F17-39.978</f>
        <v>7.515268259999992</v>
      </c>
      <c r="GZ17" s="193">
        <f t="shared" ref="GZ17:GZ42" ca="1" si="208">IF(GX17&gt;GY17,GW17,GV17)</f>
        <v>5.7929240474398771</v>
      </c>
      <c r="HA17" s="186">
        <f t="shared" ref="HA17:HA42" si="209">GO17</f>
        <v>439.37914232657624</v>
      </c>
      <c r="HB17" s="186">
        <f t="shared" ref="HB17:HB42" si="210">GP17</f>
        <v>11.620060780470181</v>
      </c>
      <c r="HC17" s="193">
        <f t="shared" ref="HC17:HC42" si="211">771.475-(1.323*HA17)-(16.064*HB17)</f>
        <v>3.5117383244666769</v>
      </c>
      <c r="HD17" s="193"/>
      <c r="HE17" s="194">
        <f t="shared" ref="HE17:HE42" si="212">GI17+GJ17+ES17</f>
        <v>0.16893220015302657</v>
      </c>
      <c r="HF17" s="194">
        <f t="shared" ref="HF17:HF42" si="213">GK17+GL17</f>
        <v>0.7286341975594367</v>
      </c>
      <c r="HG17" s="194">
        <f t="shared" ref="HG17:HG42" si="214">IF(EV17&gt;EZ17,EZ17,EV17)</f>
        <v>1.8084930967527724E-2</v>
      </c>
      <c r="HH17" s="194">
        <f t="shared" ref="HH17:HH42" si="215">EV17-HG17</f>
        <v>0</v>
      </c>
      <c r="HI17" s="194">
        <f t="shared" ref="HI17:HI42" si="216">EZ17-HG17</f>
        <v>2.0533701380655821E-2</v>
      </c>
      <c r="HJ17" s="194">
        <f t="shared" ref="HJ17:HJ42" si="217">IF(HH17&gt;EP17,EP17,HH17)</f>
        <v>0</v>
      </c>
      <c r="HK17" s="194">
        <f t="shared" ref="HK17:HK42" si="218">HH17-HJ17</f>
        <v>0</v>
      </c>
      <c r="HL17" s="194">
        <f t="shared" ref="HL17:HL42" si="219">EP17-HJ17</f>
        <v>0.10996959451653948</v>
      </c>
      <c r="HM17" s="194">
        <f t="shared" ref="HM17:HM42" si="220">HL17+EX17+2*EN17</f>
        <v>0.21468517437496501</v>
      </c>
      <c r="HN17" s="194">
        <f t="shared" ref="HN17:HN42" si="221">HE17/(HE17+HF17)</f>
        <v>0.18821136863363758</v>
      </c>
      <c r="HO17" s="194">
        <f t="shared" ref="HO17:HO42" si="222">(EU17-HM17-HI17)*(1-HN17)</f>
        <v>0.53922929297990729</v>
      </c>
      <c r="HP17" s="194">
        <f t="shared" ref="HP17:HP42" si="223">(EU17-HM17-HI17)*HN17</f>
        <v>0.12501909895963398</v>
      </c>
      <c r="HQ17" s="194">
        <f t="shared" ref="HQ17:HQ42" si="224">(1-HG17-HJ17-HI17-HM17-HO17-HP17)*(1-HN17)</f>
        <v>6.6930187806780769E-2</v>
      </c>
      <c r="HR17" s="194">
        <f t="shared" ref="HR17:HR42" si="225">(1-HG17-HJ17-HI17-HM17-HO17-HP17)*HN17</f>
        <v>1.5517613530529401E-2</v>
      </c>
      <c r="HS17" s="194">
        <f t="shared" ref="HS17:HS42" si="226">HJ17+HG17</f>
        <v>1.8084930967527724E-2</v>
      </c>
      <c r="HT17" s="194"/>
      <c r="HU17" s="195">
        <f t="shared" ref="HU17:HU42" si="227">(-0.000000872*HO17)-(0.000000749*HQ17)-(0.000000993*HP17)-(0.00000087*(HM17+HI17))-(0.00000086*HS17)-(0.00000087*HR17)</f>
        <v>-8.78176405723699E-7</v>
      </c>
      <c r="HV17" s="195">
        <f t="shared" ref="HV17:HV42" si="228">(0.000000000001707*HO17)+(0.000000000000447*HQ17)+(0.0000000000014835*HP17)+(0.000000000002171*(HM17+HI17))+(0.000000000002149*HS17)+(0.0000000000002235*HR17)</f>
        <v>1.6888409129116928E-12</v>
      </c>
      <c r="HW17" s="195">
        <f t="shared" ref="HW17:HW42" si="229">(0.000027795*HO17)+(0.000024656*HQ17)+(0.000031371*HP17)+(0.00002225*(HM17+HI17))+(0.000023118*HS17)+(0.000028232*HR17)</f>
        <v>2.6649883747266961E-5</v>
      </c>
      <c r="HX17" s="195">
        <f t="shared" ref="HX17:HX42" si="230">(0.0000000083082*HO17)+(0.000000007467*HQ17)+(0.0000000083672*HP17)+(0.0000000052863*(HM17+HI17))+(0.0000000025785*HS17)+(0.000000007526*HR17)</f>
        <v>7.432707425941421E-9</v>
      </c>
      <c r="HY17" s="194">
        <f t="shared" ref="HY17:HY42" si="231">GQ17</f>
        <v>2.2919224390713322</v>
      </c>
      <c r="HZ17" s="194">
        <f t="shared" ref="HZ17:HZ42" ca="1" si="232">HA17+HA17*(HU17*(IA17-0.001)+HV17*(IA17-0.001)^2+HW17*(D17-25)+HX17*(D17-25)^2)</f>
        <v>455.53295447612015</v>
      </c>
      <c r="IA17" s="194">
        <f t="shared" ref="IA17:IA42" ca="1" si="233">IA$8+IA$9*IB17+IA$10*HB17+IA$11*ET17/(ET17+ER17)</f>
        <v>5.7929240474398771</v>
      </c>
      <c r="IB17" s="194">
        <f t="shared" ref="IB17:IB42" ca="1" si="234">HA17+HA17*(HU17*(IC17-0.001)+HV17*(IC17-0.001)^2+HW17*(D17-25)+HX17*(D17-25)^2)</f>
        <v>455.53301441537451</v>
      </c>
      <c r="IC17" s="194">
        <f t="shared" ref="IC17:IC42" ca="1" si="235">IC$8+IC$9*IB17+IC$10*HB17+IC$11*(ET17/(ET17+ER17))</f>
        <v>5.6375781888021335</v>
      </c>
      <c r="ID17" s="194">
        <f t="shared" ref="ID17:ID42" ca="1" si="236">IF(GX17&gt;GY17,IC17,IA17)</f>
        <v>5.7929240474398771</v>
      </c>
      <c r="IE17" s="194"/>
      <c r="IF17" s="190">
        <f t="shared" ref="IF17:IF42" si="237">(1-EU17-EV17-EW17)*(1-0.5*(EQ17+EX17+EV17+EW17))</f>
        <v>6.7204736100285767E-2</v>
      </c>
      <c r="IG17" s="196">
        <f t="shared" ref="IG17:IG42" ca="1" si="238">D17-25</f>
        <v>1064.003722108444</v>
      </c>
      <c r="IH17" s="196"/>
      <c r="II17" s="194">
        <f t="shared" ref="II17:II42" si="239">1.4133+(0.05601*HB17)</f>
        <v>2.0641396043141347</v>
      </c>
      <c r="IJ17" s="196">
        <f t="shared" ref="IJ17:IJ42" si="240">(7500*HY17)/II17^3</f>
        <v>1954.5373772016726</v>
      </c>
      <c r="IK17" s="195">
        <f t="shared" ref="IK17:IK42" si="241">0.0000329*(0.75-HY17/6)</f>
        <v>1.2107625292425529E-5</v>
      </c>
      <c r="IM17" s="186">
        <f t="shared" ref="IM17:IM42" si="242">SUM(IN17:IP17)</f>
        <v>1</v>
      </c>
      <c r="IN17" s="186">
        <f t="shared" ref="IN17:IN42" si="243">ET17/(ER17+ET17+EU17)</f>
        <v>0.39789375849368874</v>
      </c>
      <c r="IO17" s="186">
        <f t="shared" ref="IO17:IO42" si="244">ER17/(ER17+ET17+EU17)</f>
        <v>0.11092367968854445</v>
      </c>
      <c r="IP17" s="186">
        <f t="shared" ref="IP17:IP42" si="245">EU17/(EU17+ET17+ER17)</f>
        <v>0.49118256181776676</v>
      </c>
      <c r="IR17" s="173">
        <f t="shared" ref="IR17:IR42" si="246">IO17/(COS(RADIANS(30)))+IP17*TAN(RADIANS(30))</f>
        <v>0.41166801694210753</v>
      </c>
      <c r="IS17" s="173">
        <f t="shared" ref="IS17:IS42" si="247">IP17</f>
        <v>0.49118256181776676</v>
      </c>
      <c r="IU17" s="172">
        <v>0.1</v>
      </c>
      <c r="IV17" s="172">
        <v>0.9</v>
      </c>
      <c r="IW17" s="172">
        <v>0</v>
      </c>
      <c r="IX17" s="172"/>
      <c r="IY17" s="173">
        <f t="shared" ref="IY17:IY42" si="248">IV17/(COS(RADIANS(30)))+IW17*TAN(RADIANS(30))</f>
        <v>1.0392304845413263</v>
      </c>
      <c r="IZ17" s="173">
        <f t="shared" ref="IZ17:IZ42" si="249">IW17</f>
        <v>0</v>
      </c>
    </row>
    <row r="18" spans="1:260" s="186" customFormat="1" ht="13.2">
      <c r="A18" s="181" t="s">
        <v>201</v>
      </c>
      <c r="B18" s="181" t="s">
        <v>202</v>
      </c>
      <c r="C18" s="174">
        <f t="shared" si="43"/>
        <v>2</v>
      </c>
      <c r="D18" s="182">
        <f t="shared" ca="1" si="44"/>
        <v>1113.9864189380728</v>
      </c>
      <c r="E18" s="180">
        <f t="shared" ca="1" si="45"/>
        <v>2.8429514155249191E-2</v>
      </c>
      <c r="F18" s="173">
        <v>52.5</v>
      </c>
      <c r="G18" s="173">
        <v>0.98</v>
      </c>
      <c r="H18" s="173">
        <v>19.2</v>
      </c>
      <c r="I18" s="173">
        <v>8.0399999999999991</v>
      </c>
      <c r="J18" s="173">
        <v>0.2</v>
      </c>
      <c r="K18" s="183">
        <v>4.99</v>
      </c>
      <c r="L18" s="173">
        <v>9.64</v>
      </c>
      <c r="M18" s="173">
        <v>4.1500000000000004</v>
      </c>
      <c r="N18" s="173">
        <v>0.21</v>
      </c>
      <c r="O18" s="173">
        <v>0</v>
      </c>
      <c r="P18" s="173">
        <v>0.14000000000000001</v>
      </c>
      <c r="Q18" s="173">
        <v>6.2</v>
      </c>
      <c r="R18" s="184">
        <f t="shared" ca="1" si="46"/>
        <v>3.8817599045884452</v>
      </c>
      <c r="S18" s="185"/>
      <c r="T18" s="173">
        <v>51.1</v>
      </c>
      <c r="U18" s="173">
        <v>0.63</v>
      </c>
      <c r="V18" s="173">
        <v>4.41</v>
      </c>
      <c r="W18" s="173">
        <v>5.66</v>
      </c>
      <c r="X18" s="173">
        <v>0.13</v>
      </c>
      <c r="Y18" s="173">
        <v>15.6</v>
      </c>
      <c r="Z18" s="173">
        <v>22.6</v>
      </c>
      <c r="AA18" s="173">
        <v>0.23</v>
      </c>
      <c r="AB18" s="173">
        <v>0</v>
      </c>
      <c r="AC18" s="173">
        <v>0.27</v>
      </c>
      <c r="AE18" s="187">
        <f t="shared" ca="1" si="47"/>
        <v>1287.3207490003197</v>
      </c>
      <c r="AF18" s="187">
        <f t="shared" ca="1" si="48"/>
        <v>1014.1707490003197</v>
      </c>
      <c r="AG18" s="187">
        <f t="shared" ca="1" si="49"/>
        <v>0.9527080420877736</v>
      </c>
      <c r="AH18" s="187">
        <f t="shared" ca="1" si="50"/>
        <v>1408.8075371298269</v>
      </c>
      <c r="AI18" s="187">
        <f t="shared" ca="1" si="51"/>
        <v>1.2637889101478059</v>
      </c>
      <c r="AJ18" s="187"/>
      <c r="AK18" s="187">
        <f t="shared" ca="1" si="52"/>
        <v>1387.1364189380727</v>
      </c>
      <c r="AL18" s="187">
        <f t="shared" ca="1" si="53"/>
        <v>-2.1440159209469289E-2</v>
      </c>
      <c r="AM18" s="187"/>
      <c r="AN18" s="187">
        <f t="shared" ca="1" si="54"/>
        <v>1266.4833880034246</v>
      </c>
      <c r="AO18" s="187">
        <f t="shared" ca="1" si="55"/>
        <v>993.3333880034246</v>
      </c>
      <c r="AP18" s="187">
        <f t="shared" ca="1" si="56"/>
        <v>-3.7809042565301674</v>
      </c>
      <c r="AQ18" s="187"/>
      <c r="AR18" s="187">
        <f t="shared" ca="1" si="57"/>
        <v>1283.266427767079</v>
      </c>
      <c r="AS18" s="187">
        <f t="shared" ca="1" si="58"/>
        <v>1010.116427767079</v>
      </c>
      <c r="AT18" s="188">
        <f t="shared" ca="1" si="59"/>
        <v>-3.1860277964812251</v>
      </c>
      <c r="AV18" s="188">
        <f t="shared" si="60"/>
        <v>1403.3181652349751</v>
      </c>
      <c r="AW18" s="188">
        <f t="shared" si="61"/>
        <v>1130.1681652349753</v>
      </c>
      <c r="AX18" s="188">
        <f t="shared" ca="1" si="62"/>
        <v>1408.8075371298269</v>
      </c>
      <c r="AY18" s="188">
        <f t="shared" ca="1" si="63"/>
        <v>1135.6575371298268</v>
      </c>
      <c r="AZ18" s="188">
        <f t="shared" ca="1" si="64"/>
        <v>1.2637889101478059</v>
      </c>
      <c r="BA18" s="188"/>
      <c r="BB18" s="188">
        <f t="shared" ca="1" si="65"/>
        <v>1387.1364189380727</v>
      </c>
      <c r="BC18" s="188">
        <f t="shared" ca="1" si="66"/>
        <v>-2.1440159209469289E-2</v>
      </c>
      <c r="BD18" s="188">
        <f t="shared" ca="1" si="67"/>
        <v>1113.9864189380728</v>
      </c>
      <c r="BE18" s="188">
        <f t="shared" ca="1" si="68"/>
        <v>5.8594387983387897</v>
      </c>
      <c r="BF18" s="188">
        <f t="shared" ca="1" si="69"/>
        <v>6.7530336496901162</v>
      </c>
      <c r="BG18" s="188">
        <f t="shared" ca="1" si="70"/>
        <v>1015.3543099721982</v>
      </c>
      <c r="BH18" s="188">
        <f t="shared" ca="1" si="71"/>
        <v>1045.0606987280357</v>
      </c>
      <c r="BI18" s="188">
        <f t="shared" ca="1" si="72"/>
        <v>1045.0606987280357</v>
      </c>
      <c r="BJ18" s="188">
        <f t="shared" ca="1" si="73"/>
        <v>1146.0429467450385</v>
      </c>
      <c r="BK18" s="180">
        <f t="shared" ca="1" si="74"/>
        <v>1.130061694221981</v>
      </c>
      <c r="BL18" s="180">
        <f t="shared" ca="1" si="75"/>
        <v>0.82447830069610495</v>
      </c>
      <c r="BM18" s="180">
        <f t="shared" ca="1" si="76"/>
        <v>0.10986343149152779</v>
      </c>
      <c r="BN18" s="180">
        <f t="shared" ca="1" si="27"/>
        <v>1.232901105388404E-2</v>
      </c>
      <c r="BO18" s="180">
        <f t="shared" ca="1" si="28"/>
        <v>1.9318905306911594E-2</v>
      </c>
      <c r="BP18" s="180">
        <f t="shared" ca="1" si="29"/>
        <v>5.4669207835822353E-2</v>
      </c>
      <c r="BQ18" s="180">
        <f t="shared" si="77"/>
        <v>0</v>
      </c>
      <c r="BR18" s="188">
        <f t="shared" ca="1" si="78"/>
        <v>1.0206588563842507</v>
      </c>
      <c r="BS18" s="188"/>
      <c r="BT18" s="180">
        <f t="shared" si="79"/>
        <v>0.79604878654085576</v>
      </c>
      <c r="BU18" s="180">
        <f t="shared" si="80"/>
        <v>0.1145955081439623</v>
      </c>
      <c r="BV18" s="180">
        <f t="shared" si="81"/>
        <v>4.5827315358557691E-2</v>
      </c>
      <c r="BW18" s="180">
        <f t="shared" si="82"/>
        <v>1.6334601092911297E-2</v>
      </c>
      <c r="BX18" s="180">
        <f t="shared" si="83"/>
        <v>4.1197081002489463E-2</v>
      </c>
      <c r="BY18" s="180">
        <f t="shared" si="84"/>
        <v>3.9094880024166884E-3</v>
      </c>
      <c r="BZ18" s="180">
        <f t="shared" si="85"/>
        <v>1.0179127801411931</v>
      </c>
      <c r="CA18" s="180">
        <f t="shared" si="86"/>
        <v>0.22518337798188542</v>
      </c>
      <c r="CB18" s="188"/>
      <c r="CC18" s="188"/>
      <c r="CD18" s="188">
        <f t="shared" ca="1" si="87"/>
        <v>2.1604494270181931</v>
      </c>
      <c r="CE18" s="188">
        <f t="shared" ca="1" si="88"/>
        <v>3.875650604655636</v>
      </c>
      <c r="CF18" s="188">
        <f t="shared" ca="1" si="89"/>
        <v>7.808893483357588</v>
      </c>
      <c r="CG18" s="188">
        <f t="shared" ca="1" si="90"/>
        <v>1151.6941899432718</v>
      </c>
      <c r="CH18" s="189">
        <f t="shared" ca="1" si="91"/>
        <v>0.26522391022485453</v>
      </c>
      <c r="CJ18" s="188">
        <f t="shared" si="92"/>
        <v>1.1460946027634207</v>
      </c>
      <c r="CK18" s="188">
        <f t="shared" si="93"/>
        <v>0.9559260408480833</v>
      </c>
      <c r="CL18" s="188">
        <f t="shared" ca="1" si="94"/>
        <v>885.28713770794332</v>
      </c>
      <c r="CM18" s="190"/>
      <c r="CN18" s="186">
        <f t="shared" si="95"/>
        <v>0.87377234984846297</v>
      </c>
      <c r="CO18" s="186">
        <f t="shared" si="96"/>
        <v>1.2268586909167389E-2</v>
      </c>
      <c r="CP18" s="186">
        <f t="shared" si="97"/>
        <v>0.37661458793067937</v>
      </c>
      <c r="CQ18" s="186">
        <f t="shared" si="98"/>
        <v>0.11190539818278994</v>
      </c>
      <c r="CR18" s="186">
        <f t="shared" si="99"/>
        <v>2.8193832599118945E-3</v>
      </c>
      <c r="CS18" s="186">
        <f t="shared" si="100"/>
        <v>0.12380782247099573</v>
      </c>
      <c r="CT18" s="186">
        <f t="shared" si="101"/>
        <v>0.17190525951631141</v>
      </c>
      <c r="CU18" s="186">
        <f t="shared" si="102"/>
        <v>0.1339165425652924</v>
      </c>
      <c r="CV18" s="186">
        <f t="shared" si="103"/>
        <v>4.458788058940932E-3</v>
      </c>
      <c r="CW18" s="186">
        <f t="shared" si="104"/>
        <v>0</v>
      </c>
      <c r="CX18" s="186">
        <f t="shared" si="105"/>
        <v>1.9727062006383114E-3</v>
      </c>
      <c r="CY18" s="186">
        <f t="shared" si="106"/>
        <v>1.8134414249431905</v>
      </c>
      <c r="DA18" s="186">
        <f t="shared" si="107"/>
        <v>0.481831030123201</v>
      </c>
      <c r="DB18" s="186">
        <f t="shared" si="108"/>
        <v>6.7653615608520281E-3</v>
      </c>
      <c r="DC18" s="186">
        <f t="shared" si="109"/>
        <v>0.20767948870610892</v>
      </c>
      <c r="DD18" s="186">
        <f t="shared" si="110"/>
        <v>6.1708857338083359E-2</v>
      </c>
      <c r="DE18" s="186">
        <f t="shared" si="111"/>
        <v>1.5547142693071638E-3</v>
      </c>
      <c r="DF18" s="186">
        <f t="shared" si="112"/>
        <v>6.8272303019036987E-2</v>
      </c>
      <c r="DG18" s="186">
        <f t="shared" si="113"/>
        <v>9.4795043915850044E-2</v>
      </c>
      <c r="DH18" s="186">
        <f t="shared" si="114"/>
        <v>7.3846632553619743E-2</v>
      </c>
      <c r="DI18" s="186">
        <f t="shared" si="115"/>
        <v>2.458743909569956E-3</v>
      </c>
      <c r="DJ18" s="186">
        <f t="shared" si="116"/>
        <v>0</v>
      </c>
      <c r="DK18" s="186">
        <f t="shared" si="117"/>
        <v>1.0878246043707258E-3</v>
      </c>
      <c r="DL18" s="186">
        <f t="shared" si="118"/>
        <v>0.99999999999999989</v>
      </c>
      <c r="DM18" s="191">
        <f t="shared" si="119"/>
        <v>52.524768075204399</v>
      </c>
      <c r="DN18" s="186">
        <f t="shared" si="120"/>
        <v>0.85047175385250395</v>
      </c>
      <c r="DO18" s="186">
        <f t="shared" si="121"/>
        <v>7.8869487273218932E-3</v>
      </c>
      <c r="DP18" s="186">
        <f t="shared" si="122"/>
        <v>4.3251831582663963E-2</v>
      </c>
      <c r="DQ18" s="186">
        <f t="shared" si="123"/>
        <v>7.8779173347585954E-2</v>
      </c>
      <c r="DR18" s="186">
        <f t="shared" si="124"/>
        <v>1.8325991189427314E-3</v>
      </c>
      <c r="DS18" s="186">
        <f t="shared" si="125"/>
        <v>0.38705451513978623</v>
      </c>
      <c r="DT18" s="186">
        <f t="shared" si="126"/>
        <v>0.40301440509010766</v>
      </c>
      <c r="DU18" s="186">
        <f t="shared" si="127"/>
        <v>3.7109403361466563E-3</v>
      </c>
      <c r="DV18" s="186">
        <f t="shared" si="128"/>
        <v>0</v>
      </c>
      <c r="DW18" s="186">
        <f t="shared" si="129"/>
        <v>1.7763368250413494E-3</v>
      </c>
      <c r="DX18" s="186">
        <f t="shared" si="130"/>
        <v>1.7777785040201004</v>
      </c>
      <c r="DZ18" s="186">
        <f t="shared" si="131"/>
        <v>1.7009435077050079</v>
      </c>
      <c r="EA18" s="186">
        <f t="shared" si="132"/>
        <v>1.5773897454643786E-2</v>
      </c>
      <c r="EB18" s="186">
        <f t="shared" si="133"/>
        <v>0.12975549474799189</v>
      </c>
      <c r="EC18" s="186">
        <f t="shared" si="134"/>
        <v>7.8779173347585954E-2</v>
      </c>
      <c r="ED18" s="186">
        <f t="shared" si="135"/>
        <v>1.8325991189427314E-3</v>
      </c>
      <c r="EE18" s="186">
        <f t="shared" si="136"/>
        <v>0.38705451513978623</v>
      </c>
      <c r="EF18" s="186">
        <f t="shared" si="137"/>
        <v>0.40301440509010766</v>
      </c>
      <c r="EG18" s="186">
        <f t="shared" si="138"/>
        <v>3.7109403361466563E-3</v>
      </c>
      <c r="EH18" s="186">
        <f t="shared" si="139"/>
        <v>0</v>
      </c>
      <c r="EI18" s="186">
        <f t="shared" si="140"/>
        <v>5.3290104751240481E-3</v>
      </c>
      <c r="EJ18" s="186">
        <f t="shared" si="141"/>
        <v>2.7261935434153366</v>
      </c>
      <c r="EK18" s="186">
        <f t="shared" si="142"/>
        <v>2.2008708862553044</v>
      </c>
      <c r="EM18" s="186">
        <f t="shared" si="143"/>
        <v>1.8717785226364634</v>
      </c>
      <c r="EN18" s="186">
        <f t="shared" si="144"/>
        <v>1.735815583535108E-2</v>
      </c>
      <c r="EO18" s="186">
        <f t="shared" si="145"/>
        <v>0.12822147736353662</v>
      </c>
      <c r="EP18" s="186">
        <f t="shared" si="146"/>
        <v>6.2161916451468985E-2</v>
      </c>
      <c r="EQ18" s="186">
        <f t="shared" si="147"/>
        <v>0.1903833938150056</v>
      </c>
      <c r="ER18" s="186">
        <f t="shared" si="148"/>
        <v>0.17338278906396176</v>
      </c>
      <c r="ES18" s="186">
        <f t="shared" si="149"/>
        <v>4.0333140470581791E-3</v>
      </c>
      <c r="ET18" s="186">
        <f t="shared" si="150"/>
        <v>0.85185701376481848</v>
      </c>
      <c r="EU18" s="186">
        <f t="shared" si="151"/>
        <v>0.88698267090431948</v>
      </c>
      <c r="EV18" s="186">
        <f t="shared" si="152"/>
        <v>1.6334601092911297E-2</v>
      </c>
      <c r="EW18" s="186">
        <f t="shared" si="153"/>
        <v>0</v>
      </c>
      <c r="EX18" s="186">
        <f t="shared" si="154"/>
        <v>7.8189760048333768E-3</v>
      </c>
      <c r="EY18" s="186">
        <f t="shared" si="155"/>
        <v>4.0199294371647234</v>
      </c>
      <c r="EZ18" s="186">
        <f t="shared" si="156"/>
        <v>3.9858874329443392E-2</v>
      </c>
      <c r="FA18" s="186">
        <f t="shared" si="157"/>
        <v>5.949190146615102E-2</v>
      </c>
      <c r="FB18" s="186">
        <f t="shared" si="158"/>
        <v>1.6334601092911297E-2</v>
      </c>
      <c r="FC18" s="186">
        <f t="shared" si="159"/>
        <v>4.5827315358557691E-2</v>
      </c>
      <c r="FD18" s="186">
        <f t="shared" si="160"/>
        <v>4.1197081002489463E-2</v>
      </c>
      <c r="FE18" s="186">
        <f t="shared" si="161"/>
        <v>3.9094880024166884E-3</v>
      </c>
      <c r="FF18" s="190">
        <f t="shared" si="162"/>
        <v>0.79604878654085576</v>
      </c>
      <c r="FG18" s="186">
        <f t="shared" si="163"/>
        <v>0.1145955081439623</v>
      </c>
      <c r="FH18" s="186">
        <f t="shared" si="164"/>
        <v>1.0179127801411931</v>
      </c>
      <c r="FI18" s="186">
        <f t="shared" si="165"/>
        <v>0.79604878654085576</v>
      </c>
      <c r="FJ18" s="186">
        <f t="shared" si="166"/>
        <v>1.5233780948930093</v>
      </c>
      <c r="FK18" s="186">
        <f t="shared" si="167"/>
        <v>-4.1052545821348989</v>
      </c>
      <c r="FL18" s="186">
        <f t="shared" si="168"/>
        <v>-4.1052545821348989</v>
      </c>
      <c r="FM18" s="186">
        <f t="shared" si="169"/>
        <v>0.52524768075204398</v>
      </c>
      <c r="FN18" s="192">
        <f t="shared" ca="1" si="170"/>
        <v>1408.8075371298269</v>
      </c>
      <c r="FO18" s="192">
        <f t="shared" ca="1" si="171"/>
        <v>1.2637889101478059</v>
      </c>
      <c r="FP18" s="186">
        <f t="shared" ca="1" si="172"/>
        <v>0.1408807537129827</v>
      </c>
      <c r="FQ18" s="190">
        <f t="shared" ca="1" si="173"/>
        <v>1.5251101795807183</v>
      </c>
      <c r="FR18" s="190">
        <f t="shared" ca="1" si="174"/>
        <v>5.896458126769005</v>
      </c>
      <c r="FS18" s="186">
        <f t="shared" ca="1" si="175"/>
        <v>3.8068806557159292</v>
      </c>
      <c r="FT18" s="186">
        <f t="shared" si="176"/>
        <v>8.6311718200121498E-2</v>
      </c>
      <c r="FU18" s="190">
        <f t="shared" si="177"/>
        <v>83.088562443091433</v>
      </c>
      <c r="FV18" s="190">
        <f t="shared" ca="1" si="178"/>
        <v>8.6151334212906665</v>
      </c>
      <c r="FW18" s="190">
        <f t="shared" ca="1" si="179"/>
        <v>0.26021588883744629</v>
      </c>
      <c r="FX18" s="190">
        <f t="shared" si="180"/>
        <v>0.22518337798188542</v>
      </c>
      <c r="FY18" s="186">
        <f t="shared" si="181"/>
        <v>0.90735058604428898</v>
      </c>
      <c r="FZ18" s="186">
        <f t="shared" si="182"/>
        <v>0.12719792262109683</v>
      </c>
      <c r="GA18" s="186">
        <f t="shared" si="183"/>
        <v>0.13015846946041909</v>
      </c>
      <c r="GB18" s="186">
        <f t="shared" si="184"/>
        <v>0.92047992771317999</v>
      </c>
      <c r="GC18" s="186">
        <f t="shared" si="185"/>
        <v>6.4901000786156904E-2</v>
      </c>
      <c r="GD18" s="186">
        <f t="shared" si="186"/>
        <v>0.13352391473451836</v>
      </c>
      <c r="GE18" s="186">
        <f t="shared" si="187"/>
        <v>0.86984153053958091</v>
      </c>
      <c r="GF18" s="186">
        <f t="shared" si="188"/>
        <v>0.32499062788410116</v>
      </c>
      <c r="GG18" s="186">
        <f t="shared" si="189"/>
        <v>-1.2370912449225453E-2</v>
      </c>
      <c r="GH18" s="186">
        <f t="shared" si="190"/>
        <v>2.6345882863133923E-2</v>
      </c>
      <c r="GI18" s="186">
        <f t="shared" si="191"/>
        <v>2.6345882863133923E-2</v>
      </c>
      <c r="GJ18" s="186">
        <f t="shared" si="192"/>
        <v>0.10717803187138443</v>
      </c>
      <c r="GK18" s="186">
        <f t="shared" si="193"/>
        <v>6.6303531092577098E-2</v>
      </c>
      <c r="GL18" s="186">
        <f t="shared" si="194"/>
        <v>0.78555348267224134</v>
      </c>
      <c r="GM18" s="186">
        <f t="shared" si="195"/>
        <v>0.88698267090431948</v>
      </c>
      <c r="GN18" s="186">
        <f t="shared" si="196"/>
        <v>1.6334601092911297E-2</v>
      </c>
      <c r="GO18" s="186">
        <f t="shared" si="197"/>
        <v>439.39876571815984</v>
      </c>
      <c r="GP18" s="186">
        <f t="shared" si="198"/>
        <v>11.764701746792079</v>
      </c>
      <c r="GQ18" s="186">
        <f t="shared" si="199"/>
        <v>2.1844149527858931</v>
      </c>
      <c r="GR18" s="186">
        <f t="shared" si="200"/>
        <v>8.9834064933319844E-6</v>
      </c>
      <c r="GS18" s="186">
        <f t="shared" si="201"/>
        <v>1841.0926848237059</v>
      </c>
      <c r="GT18" s="186">
        <f t="shared" ca="1" si="202"/>
        <v>0.35041754450844381</v>
      </c>
      <c r="GU18" s="190">
        <f t="shared" ca="1" si="203"/>
        <v>20.783518483357589</v>
      </c>
      <c r="GV18" s="193">
        <f t="shared" ca="1" si="204"/>
        <v>3.9400412653766343</v>
      </c>
      <c r="GW18" s="193">
        <f t="shared" ca="1" si="205"/>
        <v>3.5088329496210671</v>
      </c>
      <c r="GX18" s="193">
        <f t="shared" si="206"/>
        <v>4.3600000000000003</v>
      </c>
      <c r="GY18" s="193">
        <f t="shared" si="207"/>
        <v>5.6431875000000034</v>
      </c>
      <c r="GZ18" s="193">
        <f t="shared" ca="1" si="208"/>
        <v>3.9400412653766343</v>
      </c>
      <c r="HA18" s="186">
        <f t="shared" si="209"/>
        <v>439.39876571815984</v>
      </c>
      <c r="HB18" s="186">
        <f t="shared" si="210"/>
        <v>11.764701746792079</v>
      </c>
      <c r="HC18" s="193">
        <f t="shared" si="211"/>
        <v>1.1622640944065665</v>
      </c>
      <c r="HD18" s="193"/>
      <c r="HE18" s="194">
        <f t="shared" si="212"/>
        <v>0.13755722878157653</v>
      </c>
      <c r="HF18" s="194">
        <f t="shared" si="213"/>
        <v>0.85185701376481848</v>
      </c>
      <c r="HG18" s="194">
        <f t="shared" si="214"/>
        <v>1.6334601092911297E-2</v>
      </c>
      <c r="HH18" s="194">
        <f t="shared" si="215"/>
        <v>0</v>
      </c>
      <c r="HI18" s="194">
        <f t="shared" si="216"/>
        <v>2.3524273236532094E-2</v>
      </c>
      <c r="HJ18" s="194">
        <f t="shared" si="217"/>
        <v>0</v>
      </c>
      <c r="HK18" s="194">
        <f t="shared" si="218"/>
        <v>0</v>
      </c>
      <c r="HL18" s="194">
        <f t="shared" si="219"/>
        <v>6.2161916451468985E-2</v>
      </c>
      <c r="HM18" s="194">
        <f t="shared" si="220"/>
        <v>0.10469720412700452</v>
      </c>
      <c r="HN18" s="194">
        <f t="shared" si="221"/>
        <v>0.13902895558442124</v>
      </c>
      <c r="HO18" s="194">
        <f t="shared" si="222"/>
        <v>0.65327141726481885</v>
      </c>
      <c r="HP18" s="194">
        <f t="shared" si="223"/>
        <v>0.10548977627596395</v>
      </c>
      <c r="HQ18" s="194">
        <f t="shared" si="224"/>
        <v>8.3241029305491585E-2</v>
      </c>
      <c r="HR18" s="194">
        <f t="shared" si="225"/>
        <v>1.3441698697277691E-2</v>
      </c>
      <c r="HS18" s="194">
        <f t="shared" si="226"/>
        <v>1.6334601092911297E-2</v>
      </c>
      <c r="HT18" s="194"/>
      <c r="HU18" s="195">
        <f t="shared" si="227"/>
        <v>-8.7404627475957961E-7</v>
      </c>
      <c r="HV18" s="195">
        <f t="shared" si="228"/>
        <v>1.6253132372397391E-12</v>
      </c>
      <c r="HW18" s="195">
        <f t="shared" si="229"/>
        <v>2.712942685001127E-5</v>
      </c>
      <c r="HX18" s="195">
        <f t="shared" si="230"/>
        <v>7.7528225999005693E-9</v>
      </c>
      <c r="HY18" s="194">
        <f t="shared" si="231"/>
        <v>2.1844149527858931</v>
      </c>
      <c r="HZ18" s="194">
        <f t="shared" ca="1" si="232"/>
        <v>456.41849916636613</v>
      </c>
      <c r="IA18" s="194">
        <f t="shared" ca="1" si="233"/>
        <v>3.9400412653766343</v>
      </c>
      <c r="IB18" s="194">
        <f t="shared" ca="1" si="234"/>
        <v>456.4186647717197</v>
      </c>
      <c r="IC18" s="194">
        <f t="shared" ca="1" si="235"/>
        <v>3.5088329496210671</v>
      </c>
      <c r="ID18" s="194">
        <f t="shared" ca="1" si="236"/>
        <v>3.9400412653766343</v>
      </c>
      <c r="IE18" s="194"/>
      <c r="IF18" s="190">
        <f t="shared" si="237"/>
        <v>8.6311718200121498E-2</v>
      </c>
      <c r="IG18" s="196">
        <f t="shared" ca="1" si="238"/>
        <v>1088.9864189380728</v>
      </c>
      <c r="IH18" s="196"/>
      <c r="II18" s="194">
        <f t="shared" si="239"/>
        <v>2.0722409448378243</v>
      </c>
      <c r="IJ18" s="196">
        <f t="shared" si="240"/>
        <v>1841.0926848237059</v>
      </c>
      <c r="IK18" s="195">
        <f t="shared" si="241"/>
        <v>1.2697124675557353E-5</v>
      </c>
      <c r="IM18" s="186">
        <f t="shared" si="242"/>
        <v>1</v>
      </c>
      <c r="IN18" s="186">
        <f t="shared" si="243"/>
        <v>0.4454800764378618</v>
      </c>
      <c r="IO18" s="186">
        <f t="shared" si="244"/>
        <v>9.0670824888632609E-2</v>
      </c>
      <c r="IP18" s="186">
        <f t="shared" si="245"/>
        <v>0.46384909867350554</v>
      </c>
      <c r="IR18" s="173">
        <f t="shared" si="246"/>
        <v>0.3725010522967086</v>
      </c>
      <c r="IS18" s="173">
        <f t="shared" si="247"/>
        <v>0.46384909867350554</v>
      </c>
      <c r="IU18" s="172">
        <v>0.1</v>
      </c>
      <c r="IV18" s="172">
        <v>0.9</v>
      </c>
      <c r="IW18" s="172">
        <v>0</v>
      </c>
      <c r="IX18" s="172"/>
      <c r="IY18" s="173">
        <f t="shared" si="248"/>
        <v>1.0392304845413263</v>
      </c>
      <c r="IZ18" s="173">
        <f t="shared" si="249"/>
        <v>0</v>
      </c>
    </row>
    <row r="19" spans="1:260" s="186" customFormat="1" ht="13.2">
      <c r="A19" s="181" t="s">
        <v>201</v>
      </c>
      <c r="B19" s="181" t="s">
        <v>202</v>
      </c>
      <c r="C19" s="174">
        <f t="shared" si="43"/>
        <v>2</v>
      </c>
      <c r="D19" s="182">
        <f t="shared" ca="1" si="44"/>
        <v>1034.5076545409379</v>
      </c>
      <c r="E19" s="180">
        <f t="shared" ca="1" si="45"/>
        <v>8.5955901826140213E-3</v>
      </c>
      <c r="F19" s="173">
        <v>56.2</v>
      </c>
      <c r="G19" s="173">
        <v>0.34</v>
      </c>
      <c r="H19" s="173">
        <v>20.399999999999999</v>
      </c>
      <c r="I19" s="173">
        <v>5.88</v>
      </c>
      <c r="J19" s="173">
        <v>0.2</v>
      </c>
      <c r="K19" s="183">
        <v>2.58</v>
      </c>
      <c r="L19" s="173">
        <v>7.18</v>
      </c>
      <c r="M19" s="173">
        <v>6.02</v>
      </c>
      <c r="N19" s="173">
        <v>1.02</v>
      </c>
      <c r="O19" s="173">
        <v>0</v>
      </c>
      <c r="P19" s="173">
        <v>0.23</v>
      </c>
      <c r="Q19" s="173">
        <v>6.2</v>
      </c>
      <c r="R19" s="184">
        <f t="shared" ca="1" si="46"/>
        <v>5.1717845930272901</v>
      </c>
      <c r="S19" s="185"/>
      <c r="T19" s="173">
        <v>51</v>
      </c>
      <c r="U19" s="173">
        <v>0.56000000000000005</v>
      </c>
      <c r="V19" s="173">
        <v>4.1399999999999997</v>
      </c>
      <c r="W19" s="173">
        <v>7.33</v>
      </c>
      <c r="X19" s="173">
        <v>0.2</v>
      </c>
      <c r="Y19" s="173">
        <v>14.4</v>
      </c>
      <c r="Z19" s="173">
        <v>22.4</v>
      </c>
      <c r="AA19" s="173">
        <v>0.31</v>
      </c>
      <c r="AB19" s="173">
        <v>0</v>
      </c>
      <c r="AC19" s="173">
        <v>0.09</v>
      </c>
      <c r="AE19" s="187">
        <f t="shared" ca="1" si="47"/>
        <v>1246.895515051508</v>
      </c>
      <c r="AF19" s="187">
        <f t="shared" ca="1" si="48"/>
        <v>973.74551505150805</v>
      </c>
      <c r="AG19" s="187">
        <f t="shared" ca="1" si="49"/>
        <v>3.5815691040872855</v>
      </c>
      <c r="AH19" s="187">
        <f t="shared" ca="1" si="50"/>
        <v>1373.639596331624</v>
      </c>
      <c r="AI19" s="187">
        <f t="shared" ca="1" si="51"/>
        <v>1.7918736119682093</v>
      </c>
      <c r="AJ19" s="187"/>
      <c r="AK19" s="187">
        <f t="shared" ca="1" si="52"/>
        <v>1307.657654540938</v>
      </c>
      <c r="AL19" s="187">
        <f t="shared" ca="1" si="53"/>
        <v>-1.0028907061719696</v>
      </c>
      <c r="AM19" s="187"/>
      <c r="AN19" s="187">
        <f t="shared" ca="1" si="54"/>
        <v>1217.3533398358118</v>
      </c>
      <c r="AO19" s="187">
        <f t="shared" ca="1" si="55"/>
        <v>944.20333983581179</v>
      </c>
      <c r="AP19" s="187">
        <f t="shared" ca="1" si="56"/>
        <v>-3.6267165877393417</v>
      </c>
      <c r="AQ19" s="187"/>
      <c r="AR19" s="187">
        <f t="shared" ca="1" si="57"/>
        <v>1234.4104775209792</v>
      </c>
      <c r="AS19" s="187">
        <f t="shared" ca="1" si="58"/>
        <v>961.26047752097918</v>
      </c>
      <c r="AT19" s="188">
        <f t="shared" ca="1" si="59"/>
        <v>-3.0353297238637786</v>
      </c>
      <c r="AV19" s="188">
        <f t="shared" si="60"/>
        <v>1359.0062272359787</v>
      </c>
      <c r="AW19" s="188">
        <f t="shared" si="61"/>
        <v>1085.8562272359786</v>
      </c>
      <c r="AX19" s="188">
        <f t="shared" ca="1" si="62"/>
        <v>1373.639596331624</v>
      </c>
      <c r="AY19" s="188">
        <f t="shared" ca="1" si="63"/>
        <v>1100.4895963316239</v>
      </c>
      <c r="AZ19" s="188">
        <f t="shared" ca="1" si="64"/>
        <v>1.7918736119682093</v>
      </c>
      <c r="BA19" s="188"/>
      <c r="BB19" s="188">
        <f t="shared" ca="1" si="65"/>
        <v>1307.657654540938</v>
      </c>
      <c r="BC19" s="188">
        <f t="shared" ca="1" si="66"/>
        <v>-1.0028907061719696</v>
      </c>
      <c r="BD19" s="188">
        <f t="shared" ca="1" si="67"/>
        <v>1034.5076545409379</v>
      </c>
      <c r="BE19" s="188">
        <f t="shared" ca="1" si="68"/>
        <v>6.8400750927357681</v>
      </c>
      <c r="BF19" s="188">
        <f t="shared" ca="1" si="69"/>
        <v>7.2486860825286445</v>
      </c>
      <c r="BG19" s="188">
        <f t="shared" ca="1" si="70"/>
        <v>966.00248637975949</v>
      </c>
      <c r="BH19" s="188">
        <f t="shared" ca="1" si="71"/>
        <v>996.26231263617649</v>
      </c>
      <c r="BI19" s="188">
        <f t="shared" ca="1" si="72"/>
        <v>996.26231263617649</v>
      </c>
      <c r="BJ19" s="188">
        <f t="shared" ca="1" si="73"/>
        <v>1051.6922627717481</v>
      </c>
      <c r="BK19" s="180">
        <f t="shared" ca="1" si="74"/>
        <v>1.1353673458986895</v>
      </c>
      <c r="BL19" s="180">
        <f t="shared" ca="1" si="75"/>
        <v>0.81528921480177019</v>
      </c>
      <c r="BM19" s="180">
        <f t="shared" ca="1" si="76"/>
        <v>7.2428622266528866E-2</v>
      </c>
      <c r="BN19" s="180">
        <f t="shared" ca="1" si="27"/>
        <v>9.6282008893305519E-3</v>
      </c>
      <c r="BO19" s="180">
        <f t="shared" ca="1" si="28"/>
        <v>2.7946710529852425E-2</v>
      </c>
      <c r="BP19" s="180">
        <f t="shared" ca="1" si="29"/>
        <v>5.399481606509364E-2</v>
      </c>
      <c r="BQ19" s="180">
        <f t="shared" si="77"/>
        <v>0</v>
      </c>
      <c r="BR19" s="188">
        <f t="shared" ca="1" si="78"/>
        <v>0.97928756455257571</v>
      </c>
      <c r="BS19" s="188"/>
      <c r="BT19" s="180">
        <f t="shared" si="79"/>
        <v>0.80669362461915617</v>
      </c>
      <c r="BU19" s="180">
        <f t="shared" si="80"/>
        <v>0.10665186218694606</v>
      </c>
      <c r="BV19" s="180">
        <f t="shared" si="81"/>
        <v>4.3110290586671068E-2</v>
      </c>
      <c r="BW19" s="180">
        <f t="shared" si="82"/>
        <v>2.2215002217011448E-2</v>
      </c>
      <c r="BX19" s="180">
        <f t="shared" si="83"/>
        <v>3.595277320074379E-2</v>
      </c>
      <c r="BY19" s="180">
        <f t="shared" si="84"/>
        <v>1.3149298975326765E-3</v>
      </c>
      <c r="BZ19" s="180">
        <f t="shared" si="85"/>
        <v>1.0159384827080611</v>
      </c>
      <c r="CA19" s="180">
        <f t="shared" si="86"/>
        <v>0.22334892290249428</v>
      </c>
      <c r="CB19" s="188"/>
      <c r="CC19" s="188"/>
      <c r="CD19" s="188">
        <f t="shared" ca="1" si="87"/>
        <v>2.4865789361983843</v>
      </c>
      <c r="CE19" s="188">
        <f t="shared" ca="1" si="88"/>
        <v>4.5040358741330735</v>
      </c>
      <c r="CF19" s="188">
        <f t="shared" ca="1" si="89"/>
        <v>7.8974324807345813</v>
      </c>
      <c r="CG19" s="188">
        <f t="shared" ca="1" si="90"/>
        <v>1142.1074879083444</v>
      </c>
      <c r="CH19" s="189">
        <f t="shared" ca="1" si="91"/>
        <v>0.25706663342392488</v>
      </c>
      <c r="CJ19" s="188">
        <f t="shared" si="92"/>
        <v>-0.1392070298915197</v>
      </c>
      <c r="CK19" s="188">
        <f t="shared" si="93"/>
        <v>-0.40685688956204485</v>
      </c>
      <c r="CL19" s="188">
        <f t="shared" ca="1" si="94"/>
        <v>857.07575045431724</v>
      </c>
      <c r="CM19" s="190"/>
      <c r="CN19" s="186">
        <f t="shared" si="95"/>
        <v>0.93535249640921181</v>
      </c>
      <c r="CO19" s="186">
        <f t="shared" si="96"/>
        <v>4.2564485195070532E-3</v>
      </c>
      <c r="CP19" s="186">
        <f t="shared" si="97"/>
        <v>0.40015299967634682</v>
      </c>
      <c r="CQ19" s="186">
        <f t="shared" si="98"/>
        <v>8.1841261357562797E-2</v>
      </c>
      <c r="CR19" s="186">
        <f t="shared" si="99"/>
        <v>2.8193832599118945E-3</v>
      </c>
      <c r="CS19" s="186">
        <f t="shared" si="100"/>
        <v>6.4012862119272332E-2</v>
      </c>
      <c r="CT19" s="186">
        <f t="shared" si="101"/>
        <v>0.12803731984721117</v>
      </c>
      <c r="CU19" s="186">
        <f t="shared" si="102"/>
        <v>0.19425965933567713</v>
      </c>
      <c r="CV19" s="186">
        <f t="shared" si="103"/>
        <v>2.1656970571998811E-2</v>
      </c>
      <c r="CW19" s="186">
        <f t="shared" si="104"/>
        <v>0</v>
      </c>
      <c r="CX19" s="186">
        <f t="shared" si="105"/>
        <v>3.2408744724772257E-3</v>
      </c>
      <c r="CY19" s="186">
        <f t="shared" si="106"/>
        <v>1.8356302755691771</v>
      </c>
      <c r="DA19" s="186">
        <f t="shared" si="107"/>
        <v>0.50955386215733744</v>
      </c>
      <c r="DB19" s="186">
        <f t="shared" si="108"/>
        <v>2.3187940274014321E-3</v>
      </c>
      <c r="DC19" s="186">
        <f t="shared" si="109"/>
        <v>0.21799215506634126</v>
      </c>
      <c r="DD19" s="186">
        <f t="shared" si="110"/>
        <v>4.4584828680811629E-2</v>
      </c>
      <c r="DE19" s="186">
        <f t="shared" si="111"/>
        <v>1.5359210933899438E-3</v>
      </c>
      <c r="DF19" s="186">
        <f t="shared" si="112"/>
        <v>3.4872415742556735E-2</v>
      </c>
      <c r="DG19" s="186">
        <f t="shared" si="113"/>
        <v>6.9751148448186501E-2</v>
      </c>
      <c r="DH19" s="186">
        <f t="shared" si="114"/>
        <v>0.10582722562442085</v>
      </c>
      <c r="DI19" s="186">
        <f t="shared" si="115"/>
        <v>1.1798111449912534E-2</v>
      </c>
      <c r="DJ19" s="186">
        <f t="shared" si="116"/>
        <v>0</v>
      </c>
      <c r="DK19" s="186">
        <f t="shared" si="117"/>
        <v>1.7655377096416228E-3</v>
      </c>
      <c r="DL19" s="186">
        <f t="shared" si="118"/>
        <v>0.99999999999999989</v>
      </c>
      <c r="DM19" s="191">
        <f t="shared" si="119"/>
        <v>43.888277268649858</v>
      </c>
      <c r="DN19" s="186">
        <f t="shared" si="120"/>
        <v>0.84880742556707822</v>
      </c>
      <c r="DO19" s="186">
        <f t="shared" si="121"/>
        <v>7.0106210909527946E-3</v>
      </c>
      <c r="DP19" s="186">
        <f t="shared" si="122"/>
        <v>4.0603760261276371E-2</v>
      </c>
      <c r="DQ19" s="186">
        <f t="shared" si="123"/>
        <v>0.10202320505968288</v>
      </c>
      <c r="DR19" s="186">
        <f t="shared" si="124"/>
        <v>2.8193832599118945E-3</v>
      </c>
      <c r="DS19" s="186">
        <f t="shared" si="125"/>
        <v>0.35728109089826421</v>
      </c>
      <c r="DT19" s="186">
        <f t="shared" si="126"/>
        <v>0.39944790593001817</v>
      </c>
      <c r="DU19" s="186">
        <f t="shared" si="127"/>
        <v>5.0017021921976669E-3</v>
      </c>
      <c r="DV19" s="186">
        <f t="shared" si="128"/>
        <v>0</v>
      </c>
      <c r="DW19" s="186">
        <f t="shared" si="129"/>
        <v>5.9211227501378301E-4</v>
      </c>
      <c r="DX19" s="186">
        <f t="shared" si="130"/>
        <v>1.763587206534396</v>
      </c>
      <c r="DZ19" s="186">
        <f t="shared" si="131"/>
        <v>1.6976148511341564</v>
      </c>
      <c r="EA19" s="186">
        <f t="shared" si="132"/>
        <v>1.4021242181905589E-2</v>
      </c>
      <c r="EB19" s="186">
        <f t="shared" si="133"/>
        <v>0.12181128078382911</v>
      </c>
      <c r="EC19" s="186">
        <f t="shared" si="134"/>
        <v>0.10202320505968288</v>
      </c>
      <c r="ED19" s="186">
        <f t="shared" si="135"/>
        <v>2.8193832599118945E-3</v>
      </c>
      <c r="EE19" s="186">
        <f t="shared" si="136"/>
        <v>0.35728109089826421</v>
      </c>
      <c r="EF19" s="186">
        <f t="shared" si="137"/>
        <v>0.39944790593001817</v>
      </c>
      <c r="EG19" s="186">
        <f t="shared" si="138"/>
        <v>5.0017021921976669E-3</v>
      </c>
      <c r="EH19" s="186">
        <f t="shared" si="139"/>
        <v>0</v>
      </c>
      <c r="EI19" s="186">
        <f t="shared" si="140"/>
        <v>1.7763368250413489E-3</v>
      </c>
      <c r="EJ19" s="186">
        <f t="shared" si="141"/>
        <v>2.701796998265007</v>
      </c>
      <c r="EK19" s="186">
        <f t="shared" si="142"/>
        <v>2.220744195012792</v>
      </c>
      <c r="EM19" s="186">
        <f t="shared" si="143"/>
        <v>1.8849841630118414</v>
      </c>
      <c r="EN19" s="186">
        <f t="shared" si="144"/>
        <v>1.5568796091167665E-2</v>
      </c>
      <c r="EO19" s="186">
        <f t="shared" si="145"/>
        <v>0.11501583698815865</v>
      </c>
      <c r="EP19" s="186">
        <f t="shared" si="146"/>
        <v>6.5325292803682516E-2</v>
      </c>
      <c r="EQ19" s="186">
        <f t="shared" si="147"/>
        <v>0.18034112979184116</v>
      </c>
      <c r="ER19" s="186">
        <f t="shared" si="148"/>
        <v>0.22656744039289045</v>
      </c>
      <c r="ES19" s="186">
        <f t="shared" si="149"/>
        <v>6.2611290079655811E-3</v>
      </c>
      <c r="ET19" s="186">
        <f t="shared" si="150"/>
        <v>0.79342990860015794</v>
      </c>
      <c r="EU19" s="186">
        <f t="shared" si="151"/>
        <v>0.88707161830410364</v>
      </c>
      <c r="EV19" s="186">
        <f t="shared" si="152"/>
        <v>2.2215002217011448E-2</v>
      </c>
      <c r="EW19" s="186">
        <f t="shared" si="153"/>
        <v>0</v>
      </c>
      <c r="EX19" s="186">
        <f t="shared" si="154"/>
        <v>2.629859795065353E-3</v>
      </c>
      <c r="EY19" s="186">
        <f t="shared" si="155"/>
        <v>4.0190690472120441</v>
      </c>
      <c r="EZ19" s="186">
        <f t="shared" si="156"/>
        <v>3.8138094424086895E-2</v>
      </c>
      <c r="FA19" s="186">
        <f t="shared" si="157"/>
        <v>5.6935714180690766E-2</v>
      </c>
      <c r="FB19" s="186">
        <f t="shared" si="158"/>
        <v>2.2215002217011448E-2</v>
      </c>
      <c r="FC19" s="186">
        <f t="shared" si="159"/>
        <v>4.3110290586671068E-2</v>
      </c>
      <c r="FD19" s="186">
        <f t="shared" si="160"/>
        <v>3.595277320074379E-2</v>
      </c>
      <c r="FE19" s="186">
        <f t="shared" si="161"/>
        <v>1.3149298975326765E-3</v>
      </c>
      <c r="FF19" s="190">
        <f t="shared" si="162"/>
        <v>0.80669362461915617</v>
      </c>
      <c r="FG19" s="186">
        <f t="shared" si="163"/>
        <v>0.10665186218694606</v>
      </c>
      <c r="FH19" s="186">
        <f t="shared" si="164"/>
        <v>1.0159384827080613</v>
      </c>
      <c r="FI19" s="186">
        <f t="shared" si="165"/>
        <v>0.80669362461915617</v>
      </c>
      <c r="FJ19" s="186">
        <f t="shared" si="166"/>
        <v>1.3106956539782686</v>
      </c>
      <c r="FK19" s="186">
        <f t="shared" si="167"/>
        <v>-5.018290049490755</v>
      </c>
      <c r="FL19" s="186">
        <f t="shared" si="168"/>
        <v>-5.018290049490755</v>
      </c>
      <c r="FM19" s="186">
        <f t="shared" si="169"/>
        <v>0.43888277268649861</v>
      </c>
      <c r="FN19" s="192">
        <f t="shared" ca="1" si="170"/>
        <v>1373.639596331624</v>
      </c>
      <c r="FO19" s="192">
        <f t="shared" ca="1" si="171"/>
        <v>1.7918736119682093</v>
      </c>
      <c r="FP19" s="186">
        <f t="shared" ca="1" si="172"/>
        <v>0.13736395963316239</v>
      </c>
      <c r="FQ19" s="190">
        <f t="shared" ca="1" si="173"/>
        <v>1.619032037431229</v>
      </c>
      <c r="FR19" s="190">
        <f t="shared" ca="1" si="174"/>
        <v>5.9332454395368739</v>
      </c>
      <c r="FS19" s="186">
        <f t="shared" ca="1" si="175"/>
        <v>3.7877048602701255</v>
      </c>
      <c r="FT19" s="186">
        <f t="shared" si="176"/>
        <v>8.140682210975482E-2</v>
      </c>
      <c r="FU19" s="190">
        <f t="shared" si="177"/>
        <v>77.78744811282499</v>
      </c>
      <c r="FV19" s="190">
        <f t="shared" ca="1" si="178"/>
        <v>8.4368663616092778</v>
      </c>
      <c r="FW19" s="190">
        <f t="shared" ca="1" si="179"/>
        <v>0.24133621203380115</v>
      </c>
      <c r="FX19" s="190">
        <f t="shared" si="180"/>
        <v>0.22334892290249428</v>
      </c>
      <c r="FY19" s="186">
        <f t="shared" si="181"/>
        <v>0.91554774952908069</v>
      </c>
      <c r="FZ19" s="186">
        <f t="shared" si="182"/>
        <v>0.12166204311400244</v>
      </c>
      <c r="GA19" s="186">
        <f t="shared" si="183"/>
        <v>0.13029539537400914</v>
      </c>
      <c r="GB19" s="186">
        <f t="shared" si="184"/>
        <v>0.91910591110514983</v>
      </c>
      <c r="GC19" s="186">
        <f t="shared" si="185"/>
        <v>6.2753343463811673E-2</v>
      </c>
      <c r="GD19" s="186">
        <f t="shared" si="186"/>
        <v>0.18842934596880356</v>
      </c>
      <c r="GE19" s="186">
        <f t="shared" si="187"/>
        <v>0.86970460462599086</v>
      </c>
      <c r="GF19" s="186">
        <f t="shared" si="188"/>
        <v>0.36525812071701114</v>
      </c>
      <c r="GG19" s="186">
        <f t="shared" si="189"/>
        <v>-1.5913282321828908E-2</v>
      </c>
      <c r="GH19" s="186">
        <f t="shared" si="190"/>
        <v>3.0101315590363185E-2</v>
      </c>
      <c r="GI19" s="186">
        <f t="shared" si="191"/>
        <v>3.0101315590363185E-2</v>
      </c>
      <c r="GJ19" s="186">
        <f t="shared" si="192"/>
        <v>0.15832803037844037</v>
      </c>
      <c r="GK19" s="186">
        <f t="shared" si="193"/>
        <v>5.4350934880556125E-2</v>
      </c>
      <c r="GL19" s="186">
        <f t="shared" si="194"/>
        <v>0.73907897371960185</v>
      </c>
      <c r="GM19" s="186">
        <f t="shared" si="195"/>
        <v>0.88707161830410364</v>
      </c>
      <c r="GN19" s="186">
        <f t="shared" si="196"/>
        <v>2.2215002217011448E-2</v>
      </c>
      <c r="GO19" s="186">
        <f t="shared" si="197"/>
        <v>439.88193902013461</v>
      </c>
      <c r="GP19" s="186">
        <f t="shared" si="198"/>
        <v>11.808571042429035</v>
      </c>
      <c r="GQ19" s="186">
        <f t="shared" si="199"/>
        <v>2.1753689336292594</v>
      </c>
      <c r="GR19" s="186">
        <f t="shared" si="200"/>
        <v>8.9462047395503278E-6</v>
      </c>
      <c r="GS19" s="186">
        <f t="shared" si="201"/>
        <v>1826.9618572528918</v>
      </c>
      <c r="GT19" s="186">
        <f t="shared" ca="1" si="202"/>
        <v>0.32433260171889033</v>
      </c>
      <c r="GU19" s="190">
        <f t="shared" ca="1" si="203"/>
        <v>20.872057480734583</v>
      </c>
      <c r="GV19" s="193">
        <f t="shared" ca="1" si="204"/>
        <v>4.7510091202546878</v>
      </c>
      <c r="GW19" s="193">
        <f t="shared" ca="1" si="205"/>
        <v>4.8159765108176797</v>
      </c>
      <c r="GX19" s="193">
        <f t="shared" si="206"/>
        <v>7.0399999999999991</v>
      </c>
      <c r="GY19" s="193">
        <f t="shared" si="207"/>
        <v>6.7627756800000043</v>
      </c>
      <c r="GZ19" s="193">
        <f t="shared" ca="1" si="208"/>
        <v>4.8159765108176797</v>
      </c>
      <c r="HA19" s="186">
        <f t="shared" si="209"/>
        <v>439.88193902013461</v>
      </c>
      <c r="HB19" s="186">
        <f t="shared" si="210"/>
        <v>11.808571042429035</v>
      </c>
      <c r="HC19" s="193">
        <f t="shared" si="211"/>
        <v>-0.18169054921810357</v>
      </c>
      <c r="HD19" s="193"/>
      <c r="HE19" s="194">
        <f t="shared" si="212"/>
        <v>0.19469047497676914</v>
      </c>
      <c r="HF19" s="194">
        <f t="shared" si="213"/>
        <v>0.79342990860015794</v>
      </c>
      <c r="HG19" s="194">
        <f t="shared" si="214"/>
        <v>2.2215002217011448E-2</v>
      </c>
      <c r="HH19" s="194">
        <f t="shared" si="215"/>
        <v>0</v>
      </c>
      <c r="HI19" s="194">
        <f t="shared" si="216"/>
        <v>1.5923092207075447E-2</v>
      </c>
      <c r="HJ19" s="194">
        <f t="shared" si="217"/>
        <v>0</v>
      </c>
      <c r="HK19" s="194">
        <f t="shared" si="218"/>
        <v>0</v>
      </c>
      <c r="HL19" s="194">
        <f t="shared" si="219"/>
        <v>6.5325292803682516E-2</v>
      </c>
      <c r="HM19" s="194">
        <f t="shared" si="220"/>
        <v>9.9092744781083208E-2</v>
      </c>
      <c r="HN19" s="194">
        <f t="shared" si="221"/>
        <v>0.19703112921525123</v>
      </c>
      <c r="HO19" s="194">
        <f t="shared" si="222"/>
        <v>0.61993675890610134</v>
      </c>
      <c r="HP19" s="194">
        <f t="shared" si="223"/>
        <v>0.15211902240984371</v>
      </c>
      <c r="HQ19" s="194">
        <f t="shared" si="224"/>
        <v>7.2840019885228577E-2</v>
      </c>
      <c r="HR19" s="194">
        <f t="shared" si="225"/>
        <v>1.7873359593656282E-2</v>
      </c>
      <c r="HS19" s="194">
        <f t="shared" si="226"/>
        <v>2.2215002217011448E-2</v>
      </c>
      <c r="HT19" s="194"/>
      <c r="HU19" s="195">
        <f t="shared" si="227"/>
        <v>-8.8091472084594021E-7</v>
      </c>
      <c r="HV19" s="195">
        <f t="shared" si="228"/>
        <v>1.6178942238212475E-12</v>
      </c>
      <c r="HW19" s="195">
        <f t="shared" si="229"/>
        <v>2.7376481078391994E-5</v>
      </c>
      <c r="HX19" s="195">
        <f t="shared" si="230"/>
        <v>7.7670697997232403E-9</v>
      </c>
      <c r="HY19" s="194">
        <f t="shared" si="231"/>
        <v>2.1753689336292594</v>
      </c>
      <c r="HZ19" s="194">
        <f t="shared" ca="1" si="232"/>
        <v>455.51888331477357</v>
      </c>
      <c r="IA19" s="194">
        <f t="shared" ca="1" si="233"/>
        <v>4.7510091202546878</v>
      </c>
      <c r="IB19" s="194">
        <f t="shared" ca="1" si="234"/>
        <v>455.51885814045102</v>
      </c>
      <c r="IC19" s="194">
        <f t="shared" ca="1" si="235"/>
        <v>4.8159765108176797</v>
      </c>
      <c r="ID19" s="194">
        <f t="shared" ca="1" si="236"/>
        <v>4.8159765108176797</v>
      </c>
      <c r="IE19" s="194"/>
      <c r="IF19" s="190">
        <f t="shared" si="237"/>
        <v>8.140682210975482E-2</v>
      </c>
      <c r="IG19" s="196">
        <f t="shared" ca="1" si="238"/>
        <v>1009.5076545409379</v>
      </c>
      <c r="IH19" s="196"/>
      <c r="II19" s="194">
        <f t="shared" si="239"/>
        <v>2.0746980640864501</v>
      </c>
      <c r="IJ19" s="196">
        <f t="shared" si="240"/>
        <v>1826.9618572528918</v>
      </c>
      <c r="IK19" s="195">
        <f t="shared" si="241"/>
        <v>1.2746727013932894E-5</v>
      </c>
      <c r="IM19" s="186">
        <f t="shared" si="242"/>
        <v>1</v>
      </c>
      <c r="IN19" s="186">
        <f t="shared" si="243"/>
        <v>0.41604678289357788</v>
      </c>
      <c r="IO19" s="186">
        <f t="shared" si="244"/>
        <v>0.11880400985917129</v>
      </c>
      <c r="IP19" s="186">
        <f t="shared" si="245"/>
        <v>0.4651492072472509</v>
      </c>
      <c r="IR19" s="173">
        <f t="shared" si="246"/>
        <v>0.40573707416354032</v>
      </c>
      <c r="IS19" s="173">
        <f t="shared" si="247"/>
        <v>0.4651492072472509</v>
      </c>
      <c r="IU19" s="172">
        <v>0.1</v>
      </c>
      <c r="IV19" s="172">
        <v>0.9</v>
      </c>
      <c r="IW19" s="172">
        <v>0</v>
      </c>
      <c r="IX19" s="172"/>
      <c r="IY19" s="173">
        <f t="shared" si="248"/>
        <v>1.0392304845413263</v>
      </c>
      <c r="IZ19" s="173">
        <f t="shared" si="249"/>
        <v>0</v>
      </c>
    </row>
    <row r="20" spans="1:260">
      <c r="A20" s="139" t="s">
        <v>241</v>
      </c>
      <c r="B20" s="139" t="s">
        <v>202</v>
      </c>
      <c r="C20" s="78">
        <f t="shared" si="43"/>
        <v>10.87525965283665</v>
      </c>
      <c r="D20" s="133">
        <f t="shared" ca="1" si="44"/>
        <v>999.85757454114662</v>
      </c>
      <c r="E20" s="15">
        <f t="shared" ca="1" si="45"/>
        <v>0.21997341666996539</v>
      </c>
      <c r="F20" s="123">
        <f>F19+F3</f>
        <v>56.707786571778868</v>
      </c>
      <c r="G20" s="123">
        <f t="shared" ref="G20:AC20" si="250">G19+G3</f>
        <v>0.51564143474625057</v>
      </c>
      <c r="H20" s="123">
        <f t="shared" si="250"/>
        <v>21.131861892242895</v>
      </c>
      <c r="I20" s="123">
        <f t="shared" si="250"/>
        <v>6.6567845953334785</v>
      </c>
      <c r="J20" s="123">
        <f t="shared" si="250"/>
        <v>1.0875259652836651</v>
      </c>
      <c r="K20" s="123">
        <f t="shared" si="250"/>
        <v>2.6509194649304901</v>
      </c>
      <c r="L20" s="123">
        <f t="shared" si="250"/>
        <v>7.929542798544631</v>
      </c>
      <c r="M20" s="123">
        <f t="shared" si="250"/>
        <v>6.6237967626228089</v>
      </c>
      <c r="N20" s="123">
        <f t="shared" si="250"/>
        <v>1.330777753231454</v>
      </c>
      <c r="O20" s="123">
        <f t="shared" si="250"/>
        <v>0.33562153225918101</v>
      </c>
      <c r="P20" s="123">
        <f t="shared" si="250"/>
        <v>0.44222118168376789</v>
      </c>
      <c r="Q20" s="123">
        <f t="shared" si="250"/>
        <v>6.2437203487769573</v>
      </c>
      <c r="R20" s="123">
        <f t="shared" ca="1" si="250"/>
        <v>5.3587783052497056</v>
      </c>
      <c r="S20" s="123">
        <f t="shared" si="250"/>
        <v>0.39004486227266733</v>
      </c>
      <c r="T20" s="123">
        <f t="shared" si="250"/>
        <v>51.212072259268787</v>
      </c>
      <c r="U20" s="123">
        <f t="shared" si="250"/>
        <v>1.4129830218504642</v>
      </c>
      <c r="V20" s="123">
        <f t="shared" si="250"/>
        <v>4.3170356111317627</v>
      </c>
      <c r="W20" s="123">
        <f t="shared" si="250"/>
        <v>7.399534306024135</v>
      </c>
      <c r="X20" s="123">
        <f t="shared" si="250"/>
        <v>1.1210306137022144</v>
      </c>
      <c r="Y20" s="123">
        <f t="shared" si="250"/>
        <v>14.998390123922762</v>
      </c>
      <c r="Z20" s="123">
        <f t="shared" si="250"/>
        <v>23.054968295330653</v>
      </c>
      <c r="AA20" s="123">
        <f t="shared" si="250"/>
        <v>0.7197579923423485</v>
      </c>
      <c r="AB20" s="123">
        <f t="shared" si="250"/>
        <v>0.19804933163330218</v>
      </c>
      <c r="AC20" s="123">
        <f t="shared" si="250"/>
        <v>0.83213763230491689</v>
      </c>
      <c r="AE20" s="112">
        <f ca="1">10^4/(7.53-0.14*FK20+0.07*Q20-14.9*DG20*DA20-0.08*LN(DB20)-3.62*(DH20+DI20)-1.1*DF20/(DF20+DD20)-0.18*LN(FG20)-0.027*AG20)</f>
        <v>1219.2029623858107</v>
      </c>
      <c r="AF20" s="165">
        <f t="shared" ca="1" si="48"/>
        <v>946.0529623858107</v>
      </c>
      <c r="AG20" s="165">
        <f t="shared" ca="1" si="49"/>
        <v>-0.34085858139893688</v>
      </c>
      <c r="AH20" s="91">
        <f t="shared" ca="1" si="50"/>
        <v>1317.347990647922</v>
      </c>
      <c r="AI20" s="91">
        <f t="shared" ca="1" si="51"/>
        <v>-4.2967234481485246</v>
      </c>
      <c r="AJ20" s="91"/>
      <c r="AK20" s="91">
        <f t="shared" ca="1" si="52"/>
        <v>1273.0075745411466</v>
      </c>
      <c r="AL20" s="91">
        <f t="shared" ca="1" si="53"/>
        <v>-4.874423075812933</v>
      </c>
      <c r="AM20" s="91"/>
      <c r="AN20" s="91">
        <f t="shared" ca="1" si="54"/>
        <v>1187.8618478891624</v>
      </c>
      <c r="AO20" s="91">
        <f t="shared" ca="1" si="55"/>
        <v>914.71184788916241</v>
      </c>
      <c r="AP20" s="91">
        <f t="shared" ca="1" si="56"/>
        <v>-8.3559545892595111</v>
      </c>
      <c r="AQ20" s="91"/>
      <c r="AR20" s="91">
        <f t="shared" ca="1" si="57"/>
        <v>1196.5680819507666</v>
      </c>
      <c r="AS20" s="91">
        <f t="shared" ca="1" si="58"/>
        <v>923.41808195076658</v>
      </c>
      <c r="AT20" s="40">
        <f t="shared" ca="1" si="59"/>
        <v>-8.0830248712857085</v>
      </c>
      <c r="AV20" s="40">
        <f t="shared" si="60"/>
        <v>1305.1366080104747</v>
      </c>
      <c r="AW20" s="40">
        <f t="shared" si="61"/>
        <v>1031.9866080104748</v>
      </c>
      <c r="AX20" s="40">
        <f t="shared" ca="1" si="62"/>
        <v>1317.347990647922</v>
      </c>
      <c r="AY20" s="40">
        <f t="shared" ca="1" si="63"/>
        <v>1044.1979906479219</v>
      </c>
      <c r="AZ20" s="40">
        <f t="shared" ca="1" si="64"/>
        <v>-4.2967234481485246</v>
      </c>
      <c r="BA20" s="40"/>
      <c r="BB20" s="40">
        <f t="shared" ca="1" si="65"/>
        <v>1273.0075745411466</v>
      </c>
      <c r="BC20" s="40">
        <f t="shared" ca="1" si="66"/>
        <v>-4.874423075812933</v>
      </c>
      <c r="BD20" s="40">
        <f t="shared" ca="1" si="67"/>
        <v>999.85757454114662</v>
      </c>
      <c r="BE20" s="40">
        <f t="shared" ca="1" si="68"/>
        <v>1.5822562244321956</v>
      </c>
      <c r="BF20" s="40">
        <f t="shared" ca="1" si="69"/>
        <v>1.720072843891876</v>
      </c>
      <c r="BG20" s="40">
        <f t="shared" ca="1" si="70"/>
        <v>931.00315753508005</v>
      </c>
      <c r="BH20" s="40">
        <f t="shared" ca="1" si="71"/>
        <v>950.4279915780063</v>
      </c>
      <c r="BI20" s="40">
        <f t="shared" ca="1" si="72"/>
        <v>950.4279915780063</v>
      </c>
      <c r="BJ20" s="40">
        <f t="shared" ca="1" si="73"/>
        <v>1026.7508650881678</v>
      </c>
      <c r="BK20" s="70">
        <f t="shared" ca="1" si="74"/>
        <v>1.2707904876365321</v>
      </c>
      <c r="BL20" s="70">
        <f t="shared" ca="1" si="75"/>
        <v>1.0029183120325955</v>
      </c>
      <c r="BM20" s="70">
        <f t="shared" ca="1" si="76"/>
        <v>8.515945992777757E-2</v>
      </c>
      <c r="BN20" s="180">
        <f t="shared" ca="1" si="27"/>
        <v>1.023050110234156E-2</v>
      </c>
      <c r="BO20" s="180">
        <f t="shared" ca="1" si="28"/>
        <v>2.9306249016308891E-2</v>
      </c>
      <c r="BP20" s="180">
        <f t="shared" ca="1" si="29"/>
        <v>7.3332963370027926E-2</v>
      </c>
      <c r="BQ20" s="70">
        <f t="shared" si="77"/>
        <v>6.7584881846490585E-2</v>
      </c>
      <c r="BR20" s="40">
        <f t="shared" ca="1" si="78"/>
        <v>1.2685323672955422</v>
      </c>
      <c r="BS20" s="53"/>
      <c r="BT20" s="70">
        <f t="shared" si="79"/>
        <v>0.78294489536263012</v>
      </c>
      <c r="BU20" s="70">
        <f t="shared" si="80"/>
        <v>0.11771781530019421</v>
      </c>
      <c r="BV20" s="70">
        <f t="shared" si="81"/>
        <v>0</v>
      </c>
      <c r="BW20" s="70">
        <f t="shared" si="82"/>
        <v>8.4236572804274601E-3</v>
      </c>
      <c r="BX20" s="180">
        <f t="shared" si="83"/>
        <v>8.65408262070958E-2</v>
      </c>
      <c r="BY20" s="70">
        <f t="shared" si="84"/>
        <v>1.1734497899461365E-2</v>
      </c>
      <c r="BZ20" s="70">
        <f t="shared" si="85"/>
        <v>1.007361692049809</v>
      </c>
      <c r="CA20" s="70">
        <f t="shared" si="86"/>
        <v>0.19646797650014569</v>
      </c>
      <c r="CB20" s="53"/>
      <c r="CC20" s="40"/>
      <c r="CD20" s="40">
        <f t="shared" ca="1" si="87"/>
        <v>4.9519980808781838E-2</v>
      </c>
      <c r="CE20" s="40">
        <f t="shared" ca="1" si="88"/>
        <v>-4.730844424759324</v>
      </c>
      <c r="CF20" s="40">
        <f t="shared" ca="1" si="89"/>
        <v>7.2742626649463196</v>
      </c>
      <c r="CG20" s="40">
        <f t="shared" ca="1" si="90"/>
        <v>1057.5927403437704</v>
      </c>
      <c r="CH20" s="54">
        <f t="shared" ca="1" si="91"/>
        <v>0.24368121885758645</v>
      </c>
      <c r="CJ20" s="40">
        <f t="shared" si="92"/>
        <v>-0.53750024355500614</v>
      </c>
      <c r="CK20" s="40">
        <f t="shared" si="93"/>
        <v>-0.94431602517405777</v>
      </c>
      <c r="CL20" s="40">
        <f t="shared" ca="1" si="94"/>
        <v>709.45821115445574</v>
      </c>
      <c r="CM20" s="2"/>
      <c r="CN20" s="1">
        <f t="shared" si="95"/>
        <v>0.94380373195292067</v>
      </c>
      <c r="CO20" s="1">
        <f t="shared" si="96"/>
        <v>6.4552977103593265E-3</v>
      </c>
      <c r="CP20" s="1">
        <f t="shared" si="97"/>
        <v>0.41450872181016069</v>
      </c>
      <c r="CQ20" s="1">
        <f t="shared" si="98"/>
        <v>9.2653001338041691E-2</v>
      </c>
      <c r="CR20" s="1">
        <f t="shared" si="99"/>
        <v>1.5330762506201447E-2</v>
      </c>
      <c r="CS20" s="1">
        <f t="shared" si="100"/>
        <v>6.5772458216236687E-2</v>
      </c>
      <c r="CT20" s="1">
        <f t="shared" si="101"/>
        <v>0.14140353865451377</v>
      </c>
      <c r="CU20" s="1">
        <f t="shared" si="102"/>
        <v>0.21374360508569235</v>
      </c>
      <c r="CV20" s="1">
        <f t="shared" si="103"/>
        <v>2.8255504548631662E-2</v>
      </c>
      <c r="CW20" s="1">
        <f t="shared" si="104"/>
        <v>4.4161250891021214E-3</v>
      </c>
      <c r="CX20" s="1">
        <f t="shared" si="105"/>
        <v>6.2312319082940722E-3</v>
      </c>
      <c r="CY20" s="1">
        <f t="shared" si="106"/>
        <v>1.9325739788201546</v>
      </c>
      <c r="DA20" s="1">
        <f t="shared" si="107"/>
        <v>0.4883661594828661</v>
      </c>
      <c r="DB20" s="1">
        <f t="shared" si="108"/>
        <v>3.3402590436927625E-3</v>
      </c>
      <c r="DC20" s="1">
        <f t="shared" si="109"/>
        <v>0.21448530630802562</v>
      </c>
      <c r="DD20" s="1">
        <f t="shared" si="110"/>
        <v>4.7942796681246208E-2</v>
      </c>
      <c r="DE20" s="1">
        <f t="shared" si="111"/>
        <v>7.9328205151354397E-3</v>
      </c>
      <c r="DF20" s="1">
        <f t="shared" si="112"/>
        <v>3.4033604372750111E-2</v>
      </c>
      <c r="DG20" s="1">
        <f t="shared" si="113"/>
        <v>7.3168499733625353E-2</v>
      </c>
      <c r="DH20" s="1">
        <f t="shared" si="114"/>
        <v>0.11060047761596367</v>
      </c>
      <c r="DI20" s="1">
        <f t="shared" si="115"/>
        <v>1.462065869575755E-2</v>
      </c>
      <c r="DJ20" s="1">
        <f t="shared" si="116"/>
        <v>2.2851001501107793E-3</v>
      </c>
      <c r="DK20" s="1">
        <f t="shared" si="117"/>
        <v>3.2243174008263673E-3</v>
      </c>
      <c r="DL20" s="1">
        <f t="shared" si="118"/>
        <v>1</v>
      </c>
      <c r="DM20" s="156">
        <f t="shared" si="119"/>
        <v>41.516343649110453</v>
      </c>
      <c r="DN20" s="1">
        <f t="shared" si="120"/>
        <v>0.8523370041636299</v>
      </c>
      <c r="DO20" s="1">
        <f t="shared" si="121"/>
        <v>1.7689086739541209E-2</v>
      </c>
      <c r="DP20" s="1">
        <f t="shared" si="122"/>
        <v>4.234006738980358E-2</v>
      </c>
      <c r="DQ20" s="1">
        <f t="shared" si="123"/>
        <v>0.10299102399040362</v>
      </c>
      <c r="DR20" s="1">
        <f t="shared" si="124"/>
        <v>1.5803074730603904E-2</v>
      </c>
      <c r="DS20" s="1">
        <f t="shared" si="125"/>
        <v>0.37212786008283866</v>
      </c>
      <c r="DT20" s="1">
        <f t="shared" si="126"/>
        <v>0.41112762530592811</v>
      </c>
      <c r="DU20" s="1">
        <f t="shared" si="127"/>
        <v>1.1612952026291987E-2</v>
      </c>
      <c r="DV20" s="1">
        <f t="shared" si="128"/>
        <v>2.1025237975423818E-3</v>
      </c>
      <c r="DW20" s="1">
        <f t="shared" si="129"/>
        <v>5.4746545176516358E-3</v>
      </c>
      <c r="DX20" s="1">
        <f t="shared" si="130"/>
        <v>1.8336058727442348</v>
      </c>
      <c r="DZ20" s="1">
        <f t="shared" si="131"/>
        <v>1.7046740083272598</v>
      </c>
      <c r="EA20" s="1">
        <f t="shared" si="132"/>
        <v>3.5378173479082418E-2</v>
      </c>
      <c r="EB20" s="1">
        <f t="shared" si="133"/>
        <v>0.12702020216941073</v>
      </c>
      <c r="EC20" s="1">
        <f t="shared" si="134"/>
        <v>0.10299102399040362</v>
      </c>
      <c r="ED20" s="1">
        <f t="shared" si="135"/>
        <v>1.5803074730603904E-2</v>
      </c>
      <c r="EE20" s="1">
        <f t="shared" si="136"/>
        <v>0.37212786008283866</v>
      </c>
      <c r="EF20" s="1">
        <f t="shared" si="137"/>
        <v>0.41112762530592811</v>
      </c>
      <c r="EG20" s="1">
        <f t="shared" si="138"/>
        <v>1.1612952026291987E-2</v>
      </c>
      <c r="EH20" s="1">
        <f t="shared" si="139"/>
        <v>2.1025237975423818E-3</v>
      </c>
      <c r="EI20" s="1">
        <f t="shared" si="140"/>
        <v>1.6423963552954907E-2</v>
      </c>
      <c r="EJ20" s="1">
        <f t="shared" si="141"/>
        <v>2.7992614074623163</v>
      </c>
      <c r="EK20" s="1">
        <f t="shared" si="142"/>
        <v>2.1434225413907764</v>
      </c>
      <c r="EM20" s="1">
        <f t="shared" si="143"/>
        <v>1.8269183475858084</v>
      </c>
      <c r="EN20" s="1">
        <f t="shared" si="144"/>
        <v>3.7915187254149302E-2</v>
      </c>
      <c r="EO20" s="1">
        <f t="shared" si="145"/>
        <v>0.1730816524141916</v>
      </c>
      <c r="EP20" s="1">
        <f t="shared" si="146"/>
        <v>8.4236572804274601E-3</v>
      </c>
      <c r="EQ20" s="1">
        <f t="shared" si="147"/>
        <v>0.18150530969461906</v>
      </c>
      <c r="ER20" s="1">
        <f t="shared" si="148"/>
        <v>0.22075328238194936</v>
      </c>
      <c r="ES20" s="1">
        <f t="shared" si="149"/>
        <v>3.3872666600859379E-2</v>
      </c>
      <c r="ET20" s="1">
        <f t="shared" si="150"/>
        <v>0.79762724358106929</v>
      </c>
      <c r="EU20" s="1">
        <f t="shared" si="151"/>
        <v>0.88122021946918727</v>
      </c>
      <c r="EV20" s="1">
        <f t="shared" si="152"/>
        <v>4.9782926290487875E-2</v>
      </c>
      <c r="EW20" s="1">
        <f t="shared" si="153"/>
        <v>9.0131938029257563E-3</v>
      </c>
      <c r="EX20" s="1">
        <f t="shared" si="154"/>
        <v>2.3468995798922729E-2</v>
      </c>
      <c r="EY20" s="1">
        <f t="shared" si="155"/>
        <v>4.0620773724599788</v>
      </c>
      <c r="EZ20" s="1">
        <f t="shared" si="156"/>
        <v>0.11514155111703067</v>
      </c>
      <c r="FA20" s="1">
        <f t="shared" si="157"/>
        <v>0.18338608579201399</v>
      </c>
      <c r="FB20" s="1">
        <f t="shared" si="158"/>
        <v>8.4236572804274601E-3</v>
      </c>
      <c r="FC20" s="1">
        <f t="shared" si="159"/>
        <v>0</v>
      </c>
      <c r="FD20" s="1">
        <f t="shared" si="160"/>
        <v>8.65408262070958E-2</v>
      </c>
      <c r="FE20" s="1">
        <f t="shared" si="161"/>
        <v>1.1734497899461365E-2</v>
      </c>
      <c r="FF20" s="2">
        <f t="shared" si="162"/>
        <v>0.78294489536263012</v>
      </c>
      <c r="FG20" s="1">
        <f t="shared" si="163"/>
        <v>0.11771781530019421</v>
      </c>
      <c r="FH20" s="1">
        <f t="shared" si="164"/>
        <v>1.007361692049809</v>
      </c>
      <c r="FI20" s="1">
        <f t="shared" si="165"/>
        <v>0.78294489536263012</v>
      </c>
      <c r="FJ20" s="1">
        <f t="shared" si="166"/>
        <v>0.39801338317633006</v>
      </c>
      <c r="FK20" s="1">
        <f t="shared" si="167"/>
        <v>-5.9069874577156964</v>
      </c>
      <c r="FL20" s="1">
        <f t="shared" si="168"/>
        <v>-5.9069874577156964</v>
      </c>
      <c r="FM20" s="1">
        <f t="shared" si="169"/>
        <v>0.41516343649110449</v>
      </c>
      <c r="FN20" s="67">
        <f t="shared" ca="1" si="170"/>
        <v>1317.347990647922</v>
      </c>
      <c r="FO20" s="67">
        <f t="shared" ca="1" si="171"/>
        <v>-4.2967234481485246</v>
      </c>
      <c r="FP20" s="1">
        <f t="shared" ca="1" si="172"/>
        <v>0.13173479906479219</v>
      </c>
      <c r="FQ20" s="2">
        <f t="shared" ca="1" si="173"/>
        <v>1.7713832217820125</v>
      </c>
      <c r="FR20" s="2">
        <f t="shared" ca="1" si="174"/>
        <v>5.9051438381066124</v>
      </c>
      <c r="FS20" s="1">
        <f t="shared" ca="1" si="175"/>
        <v>-4.758650598170111</v>
      </c>
      <c r="FT20" s="1">
        <f t="shared" si="176"/>
        <v>5.2072702616481004E-2</v>
      </c>
      <c r="FU20" s="2">
        <f t="shared" si="177"/>
        <v>78.323104502298207</v>
      </c>
      <c r="FV20" s="2">
        <f t="shared" ca="1" si="178"/>
        <v>3.6857180263416831</v>
      </c>
      <c r="FW20" s="2">
        <f t="shared" ca="1" si="179"/>
        <v>0.23285357395650672</v>
      </c>
      <c r="FX20" s="2">
        <f t="shared" si="180"/>
        <v>0.19646797650014569</v>
      </c>
      <c r="FY20" s="1">
        <f t="shared" si="181"/>
        <v>0.96487581236053455</v>
      </c>
      <c r="FZ20" s="1">
        <f t="shared" si="182"/>
        <v>0.18494939145053016</v>
      </c>
      <c r="GA20" s="1">
        <f t="shared" si="183"/>
        <v>0.13417197114850504</v>
      </c>
      <c r="GB20" s="1">
        <f t="shared" si="184"/>
        <v>0.95366115546542318</v>
      </c>
      <c r="GC20" s="1">
        <f t="shared" si="185"/>
        <v>-5.0422180619435264E-2</v>
      </c>
      <c r="GD20" s="1">
        <f t="shared" si="186"/>
        <v>0.10561173126491868</v>
      </c>
      <c r="GE20" s="1">
        <f t="shared" si="187"/>
        <v>0.86582802885149501</v>
      </c>
      <c r="GF20" s="1">
        <f t="shared" si="188"/>
        <v>0.24304245692682794</v>
      </c>
      <c r="GG20" s="1">
        <f t="shared" si="189"/>
        <v>-3.709526265877804E-3</v>
      </c>
      <c r="GH20" s="1">
        <f t="shared" si="190"/>
        <v>1.0879465341429976E-2</v>
      </c>
      <c r="GI20" s="1">
        <f t="shared" si="191"/>
        <v>1.0879465341429976E-2</v>
      </c>
      <c r="GJ20" s="1">
        <f t="shared" si="192"/>
        <v>9.4732265923488712E-2</v>
      </c>
      <c r="GK20" s="1">
        <f t="shared" si="193"/>
        <v>2.4244722298035478E-2</v>
      </c>
      <c r="GL20" s="1">
        <f t="shared" si="194"/>
        <v>0.77338252128303386</v>
      </c>
      <c r="GM20" s="1">
        <f t="shared" si="195"/>
        <v>0.88122021946918727</v>
      </c>
      <c r="GN20" s="1">
        <f t="shared" si="196"/>
        <v>4.9782926290487875E-2</v>
      </c>
      <c r="GO20" s="1">
        <f t="shared" si="197"/>
        <v>440.68633634432933</v>
      </c>
      <c r="GP20" s="1">
        <f t="shared" si="198"/>
        <v>11.788246995450553</v>
      </c>
      <c r="GQ20" s="1">
        <f t="shared" si="199"/>
        <v>2.3289929360187851</v>
      </c>
      <c r="GR20" s="1">
        <f t="shared" si="200"/>
        <v>9.5779834493772524E-6</v>
      </c>
      <c r="GS20" s="1">
        <f t="shared" si="201"/>
        <v>1959.2046131409445</v>
      </c>
      <c r="GT20" s="1">
        <f t="shared" ca="1" si="202"/>
        <v>0.33489707473279623</v>
      </c>
      <c r="GU20" s="2">
        <f t="shared" ca="1" si="203"/>
        <v>20.248887664946324</v>
      </c>
      <c r="GV20" s="4">
        <f t="shared" ca="1" si="204"/>
        <v>5.0566594102283062</v>
      </c>
      <c r="GW20" s="4">
        <f t="shared" ca="1" si="205"/>
        <v>5.1143192886261293</v>
      </c>
      <c r="GX20" s="4">
        <f t="shared" si="206"/>
        <v>7.9545745158542633</v>
      </c>
      <c r="GY20" s="4">
        <f t="shared" si="207"/>
        <v>6.9021642022994172</v>
      </c>
      <c r="GZ20" s="4">
        <f t="shared" ca="1" si="208"/>
        <v>5.1143192886261293</v>
      </c>
      <c r="HA20" s="1">
        <f t="shared" si="209"/>
        <v>440.68633634432933</v>
      </c>
      <c r="HB20" s="1">
        <f t="shared" si="210"/>
        <v>11.788246995450553</v>
      </c>
      <c r="HC20" s="4">
        <f t="shared" si="211"/>
        <v>-0.91942271846531298</v>
      </c>
      <c r="HD20" s="4"/>
      <c r="HE20" s="7">
        <f t="shared" si="212"/>
        <v>0.13948439786577807</v>
      </c>
      <c r="HF20" s="7">
        <f t="shared" si="213"/>
        <v>0.79762724358106929</v>
      </c>
      <c r="HG20" s="7">
        <f t="shared" si="214"/>
        <v>4.9782926290487875E-2</v>
      </c>
      <c r="HH20" s="7">
        <f t="shared" si="215"/>
        <v>0</v>
      </c>
      <c r="HI20" s="7">
        <f t="shared" si="216"/>
        <v>6.5358624826542797E-2</v>
      </c>
      <c r="HJ20" s="7">
        <f t="shared" si="217"/>
        <v>0</v>
      </c>
      <c r="HK20" s="7">
        <f t="shared" si="218"/>
        <v>0</v>
      </c>
      <c r="HL20" s="7">
        <f t="shared" si="219"/>
        <v>8.4236572804274601E-3</v>
      </c>
      <c r="HM20" s="7">
        <f t="shared" si="220"/>
        <v>0.10772302758764879</v>
      </c>
      <c r="HN20" s="7">
        <f t="shared" si="221"/>
        <v>0.14884501664115712</v>
      </c>
      <c r="HO20" s="7">
        <f t="shared" si="222"/>
        <v>0.60273567025744978</v>
      </c>
      <c r="HP20" s="7">
        <f t="shared" si="223"/>
        <v>0.10540289679754601</v>
      </c>
      <c r="HQ20" s="7">
        <f t="shared" si="224"/>
        <v>5.8727016322736116E-2</v>
      </c>
      <c r="HR20" s="7">
        <f t="shared" si="225"/>
        <v>1.0269837917588629E-2</v>
      </c>
      <c r="HS20" s="7">
        <f t="shared" si="226"/>
        <v>4.9782926290487875E-2</v>
      </c>
      <c r="HT20" s="7"/>
      <c r="HU20" s="16">
        <f t="shared" si="227"/>
        <v>-8.7656622940865708E-7</v>
      </c>
      <c r="HV20" s="16">
        <f t="shared" si="228"/>
        <v>1.6965250475889388E-12</v>
      </c>
      <c r="HW20" s="16">
        <f t="shared" si="229"/>
        <v>2.6799492064983637E-5</v>
      </c>
      <c r="HX20" s="16">
        <f t="shared" si="230"/>
        <v>7.4487078593641773E-9</v>
      </c>
      <c r="HY20" s="7">
        <f t="shared" si="231"/>
        <v>2.3289929360187851</v>
      </c>
      <c r="HZ20" s="7">
        <f t="shared" ca="1" si="232"/>
        <v>455.31717364962077</v>
      </c>
      <c r="IA20" s="7">
        <f t="shared" ca="1" si="233"/>
        <v>5.0566594102283062</v>
      </c>
      <c r="IB20" s="7">
        <f t="shared" ca="1" si="234"/>
        <v>455.31715137658085</v>
      </c>
      <c r="IC20" s="7">
        <f t="shared" ca="1" si="235"/>
        <v>5.1143192886261293</v>
      </c>
      <c r="ID20" s="7">
        <f t="shared" ca="1" si="236"/>
        <v>5.1143192886261293</v>
      </c>
      <c r="IE20" s="7"/>
      <c r="IF20" s="2">
        <f t="shared" si="237"/>
        <v>5.2072702616481004E-2</v>
      </c>
      <c r="IG20" s="17">
        <f t="shared" ca="1" si="238"/>
        <v>974.85757454114662</v>
      </c>
      <c r="IH20" s="17"/>
      <c r="II20" s="7">
        <f t="shared" si="239"/>
        <v>2.0735597142151856</v>
      </c>
      <c r="IJ20" s="17">
        <f t="shared" si="240"/>
        <v>1959.2046131409445</v>
      </c>
      <c r="IK20" s="16">
        <f t="shared" si="241"/>
        <v>1.1904355400830329E-5</v>
      </c>
      <c r="IM20" s="1">
        <f t="shared" si="242"/>
        <v>1</v>
      </c>
      <c r="IN20" s="166">
        <f t="shared" si="243"/>
        <v>0.41989204599916574</v>
      </c>
      <c r="IO20" s="166">
        <f t="shared" si="244"/>
        <v>0.1162103578411276</v>
      </c>
      <c r="IP20" s="166">
        <f t="shared" si="245"/>
        <v>0.46389759615970672</v>
      </c>
      <c r="IR20" s="167">
        <f t="shared" si="246"/>
        <v>0.40201956478362244</v>
      </c>
      <c r="IS20" s="167">
        <f t="shared" si="247"/>
        <v>0.46389759615970672</v>
      </c>
      <c r="IU20" s="169">
        <v>0.1</v>
      </c>
      <c r="IV20" s="169">
        <v>0.9</v>
      </c>
      <c r="IW20" s="169">
        <v>0</v>
      </c>
      <c r="IX20" s="169"/>
      <c r="IY20" s="167">
        <f t="shared" si="248"/>
        <v>1.0392304845413263</v>
      </c>
      <c r="IZ20" s="167">
        <f t="shared" si="249"/>
        <v>0</v>
      </c>
    </row>
    <row r="21" spans="1:260">
      <c r="A21" s="139" t="s">
        <v>201</v>
      </c>
      <c r="B21" s="139" t="s">
        <v>202</v>
      </c>
      <c r="C21" s="78">
        <f t="shared" si="43"/>
        <v>2.1229722100799338</v>
      </c>
      <c r="D21" s="133">
        <f t="shared" ca="1" si="44"/>
        <v>1066.7071122046818</v>
      </c>
      <c r="E21" s="15">
        <f t="shared" ca="1" si="45"/>
        <v>0.28199035209876211</v>
      </c>
      <c r="F21" s="123">
        <f>F16+F4</f>
        <v>51.903458613622703</v>
      </c>
      <c r="G21" s="123">
        <f t="shared" ref="G21:AC21" si="251">G16+G4</f>
        <v>1.3388057800067095</v>
      </c>
      <c r="H21" s="123">
        <f t="shared" si="251"/>
        <v>20.104672187908157</v>
      </c>
      <c r="I21" s="123">
        <f t="shared" si="251"/>
        <v>8.8691511165077017</v>
      </c>
      <c r="J21" s="123">
        <f t="shared" si="251"/>
        <v>0.21229722100799336</v>
      </c>
      <c r="K21" s="123">
        <f t="shared" si="251"/>
        <v>5.3232714182791705</v>
      </c>
      <c r="L21" s="123">
        <f t="shared" si="251"/>
        <v>10.686843042270171</v>
      </c>
      <c r="M21" s="123">
        <f t="shared" si="251"/>
        <v>4.6038244012019609</v>
      </c>
      <c r="N21" s="123">
        <f t="shared" si="251"/>
        <v>1.0733763195135877</v>
      </c>
      <c r="O21" s="123">
        <f t="shared" si="251"/>
        <v>0.51085264871045544</v>
      </c>
      <c r="P21" s="123">
        <f t="shared" si="251"/>
        <v>0.88011755325400698</v>
      </c>
      <c r="Q21" s="123">
        <f t="shared" si="251"/>
        <v>6.9338763027208641</v>
      </c>
      <c r="R21" s="123">
        <f t="shared" ca="1" si="251"/>
        <v>5.7433487749387941</v>
      </c>
      <c r="S21" s="123">
        <f t="shared" si="251"/>
        <v>0.59154049395579056</v>
      </c>
      <c r="T21" s="123">
        <f t="shared" si="251"/>
        <v>50.976055384141745</v>
      </c>
      <c r="U21" s="123">
        <f t="shared" si="251"/>
        <v>1.3901542319721303</v>
      </c>
      <c r="V21" s="123">
        <f t="shared" si="251"/>
        <v>5.041890552030706</v>
      </c>
      <c r="W21" s="123">
        <f t="shared" si="251"/>
        <v>6.7203755374332657</v>
      </c>
      <c r="X21" s="123">
        <f t="shared" si="251"/>
        <v>0.42516798769416786</v>
      </c>
      <c r="Y21" s="123">
        <f t="shared" si="251"/>
        <v>15.744769414204807</v>
      </c>
      <c r="Z21" s="123">
        <f t="shared" si="251"/>
        <v>23.660451756946621</v>
      </c>
      <c r="AA21" s="123">
        <f t="shared" si="251"/>
        <v>1.0647751140275861</v>
      </c>
      <c r="AB21" s="123">
        <f t="shared" si="251"/>
        <v>0.49022489877632835</v>
      </c>
      <c r="AC21" s="123">
        <f t="shared" si="251"/>
        <v>1.0412393230825401</v>
      </c>
      <c r="AE21" s="112">
        <f ca="1">10^4/(7.53-0.14*FK21+0.07*Q21-14.9*DG21*DA21-0.08*LN(DB21)-3.62*(DH21+DI21)-1.1*DF21/(DF21+DD21)-0.18*LN(FG21)-0.027*AG21)</f>
        <v>1242.2793703358811</v>
      </c>
      <c r="AF21" s="165">
        <f t="shared" ca="1" si="48"/>
        <v>969.12937033588116</v>
      </c>
      <c r="AG21" s="165">
        <f t="shared" ca="1" si="49"/>
        <v>-3.9246795254732536</v>
      </c>
      <c r="AH21" s="91">
        <f t="shared" ca="1" si="50"/>
        <v>1341.1503823723872</v>
      </c>
      <c r="AI21" s="91">
        <f t="shared" ca="1" si="51"/>
        <v>-6.3591085358945909</v>
      </c>
      <c r="AJ21" s="91"/>
      <c r="AK21" s="91">
        <f t="shared" ca="1" si="52"/>
        <v>1339.8571122046817</v>
      </c>
      <c r="AL21" s="91">
        <f t="shared" ca="1" si="53"/>
        <v>-4.5184198502619957</v>
      </c>
      <c r="AM21" s="91"/>
      <c r="AN21" s="91">
        <f t="shared" ca="1" si="54"/>
        <v>1216.3765401997489</v>
      </c>
      <c r="AO21" s="91">
        <f t="shared" ca="1" si="55"/>
        <v>943.22654019974891</v>
      </c>
      <c r="AP21" s="91">
        <f t="shared" ca="1" si="56"/>
        <v>-10.273545288378802</v>
      </c>
      <c r="AQ21" s="91"/>
      <c r="AR21" s="91">
        <f t="shared" ca="1" si="57"/>
        <v>1221.3353834522991</v>
      </c>
      <c r="AS21" s="91">
        <f t="shared" ca="1" si="58"/>
        <v>948.18538345229911</v>
      </c>
      <c r="AT21" s="40">
        <f t="shared" ca="1" si="59"/>
        <v>-10.117975195003513</v>
      </c>
      <c r="AV21" s="40">
        <f t="shared" si="60"/>
        <v>1339.7453266134444</v>
      </c>
      <c r="AW21" s="40">
        <f t="shared" si="61"/>
        <v>1066.5953266134443</v>
      </c>
      <c r="AX21" s="40">
        <f t="shared" ca="1" si="62"/>
        <v>1341.1503823723872</v>
      </c>
      <c r="AY21" s="40">
        <f t="shared" ca="1" si="63"/>
        <v>1068.0003823723873</v>
      </c>
      <c r="AZ21" s="40">
        <f t="shared" ca="1" si="64"/>
        <v>-6.3591085358945909</v>
      </c>
      <c r="BA21" s="40"/>
      <c r="BB21" s="40">
        <f t="shared" ca="1" si="65"/>
        <v>1339.8571122046817</v>
      </c>
      <c r="BC21" s="40">
        <f t="shared" ca="1" si="66"/>
        <v>-4.5184198502619957</v>
      </c>
      <c r="BD21" s="40">
        <f t="shared" ca="1" si="67"/>
        <v>1066.7071122046818</v>
      </c>
      <c r="BE21" s="40">
        <f t="shared" ca="1" si="68"/>
        <v>-1.313912328216615</v>
      </c>
      <c r="BF21" s="40">
        <f t="shared" ca="1" si="69"/>
        <v>0.38349577702831628</v>
      </c>
      <c r="BG21" s="40">
        <f t="shared" ca="1" si="70"/>
        <v>960.03405635273123</v>
      </c>
      <c r="BH21" s="40">
        <f t="shared" ca="1" si="71"/>
        <v>976.65853242628111</v>
      </c>
      <c r="BI21" s="40">
        <f t="shared" ca="1" si="72"/>
        <v>976.65853242628111</v>
      </c>
      <c r="BJ21" s="40">
        <f t="shared" ca="1" si="73"/>
        <v>1112.88827331728</v>
      </c>
      <c r="BK21" s="70">
        <f t="shared" ca="1" si="74"/>
        <v>1.3274133102042083</v>
      </c>
      <c r="BL21" s="70">
        <f t="shared" ca="1" si="75"/>
        <v>1.058236003632145</v>
      </c>
      <c r="BM21" s="70">
        <f t="shared" ca="1" si="76"/>
        <v>0.12148373947754465</v>
      </c>
      <c r="BN21" s="180">
        <f t="shared" ca="1" si="27"/>
        <v>1.2386376073297893E-2</v>
      </c>
      <c r="BO21" s="180">
        <f t="shared" ca="1" si="28"/>
        <v>2.0479317727734234E-2</v>
      </c>
      <c r="BP21" s="180">
        <f t="shared" ca="1" si="29"/>
        <v>7.6129825088616557E-2</v>
      </c>
      <c r="BQ21" s="70">
        <f t="shared" si="77"/>
        <v>0.20053680552327463</v>
      </c>
      <c r="BR21" s="40">
        <f t="shared" ca="1" si="78"/>
        <v>1.4892520675226131</v>
      </c>
      <c r="BS21" s="53"/>
      <c r="BT21" s="70">
        <f t="shared" si="79"/>
        <v>0.77624565153338287</v>
      </c>
      <c r="BU21" s="70">
        <f t="shared" si="80"/>
        <v>0.12423993712202819</v>
      </c>
      <c r="BV21" s="70">
        <f t="shared" si="81"/>
        <v>0</v>
      </c>
      <c r="BW21" s="70">
        <f t="shared" si="82"/>
        <v>4.8761718915155128E-3</v>
      </c>
      <c r="BX21" s="180">
        <f t="shared" si="83"/>
        <v>0.10221595157469754</v>
      </c>
      <c r="BY21" s="70">
        <f t="shared" si="84"/>
        <v>1.4498022736249394E-2</v>
      </c>
      <c r="BZ21" s="70">
        <f t="shared" si="85"/>
        <v>1.0220757348578737</v>
      </c>
      <c r="CA21" s="70">
        <f t="shared" si="86"/>
        <v>0.25618505635166594</v>
      </c>
      <c r="CB21" s="53"/>
      <c r="CC21" s="40"/>
      <c r="CD21" s="40">
        <f t="shared" ca="1" si="87"/>
        <v>0.41233833788464835</v>
      </c>
      <c r="CE21" s="40">
        <f t="shared" ca="1" si="88"/>
        <v>-9.6229867940525899</v>
      </c>
      <c r="CF21" s="40">
        <f t="shared" ca="1" si="89"/>
        <v>7.962020503125439</v>
      </c>
      <c r="CG21" s="40">
        <f t="shared" ca="1" si="90"/>
        <v>958.88688036747919</v>
      </c>
      <c r="CH21" s="54">
        <f t="shared" ca="1" si="91"/>
        <v>0.24939046996854147</v>
      </c>
      <c r="CJ21" s="40">
        <f t="shared" si="92"/>
        <v>1.5066337203197873</v>
      </c>
      <c r="CK21" s="40">
        <f t="shared" si="93"/>
        <v>1.1546000465303965</v>
      </c>
      <c r="CL21" s="40">
        <f t="shared" ca="1" si="94"/>
        <v>371.33528533648723</v>
      </c>
      <c r="CM21" s="2"/>
      <c r="CN21" s="1">
        <f t="shared" si="95"/>
        <v>0.8638439428207153</v>
      </c>
      <c r="CO21" s="1">
        <f t="shared" si="96"/>
        <v>1.6760464353579543E-2</v>
      </c>
      <c r="CP21" s="1">
        <f t="shared" si="97"/>
        <v>0.39436004330887608</v>
      </c>
      <c r="CQ21" s="1">
        <f t="shared" si="98"/>
        <v>0.1234460058751406</v>
      </c>
      <c r="CR21" s="1">
        <f t="shared" si="99"/>
        <v>2.9927361551787611E-3</v>
      </c>
      <c r="CS21" s="1">
        <f t="shared" si="100"/>
        <v>0.13207668190766195</v>
      </c>
      <c r="CT21" s="1">
        <f t="shared" si="101"/>
        <v>0.19057308367132164</v>
      </c>
      <c r="CU21" s="1">
        <f t="shared" si="102"/>
        <v>0.14856102322570941</v>
      </c>
      <c r="CV21" s="1">
        <f t="shared" si="103"/>
        <v>2.2790273886653101E-2</v>
      </c>
      <c r="CW21" s="1">
        <f t="shared" si="104"/>
        <v>6.7218249783281047E-3</v>
      </c>
      <c r="CX21" s="1">
        <f t="shared" si="105"/>
        <v>1.2401523961391419E-2</v>
      </c>
      <c r="CY21" s="1">
        <f t="shared" si="106"/>
        <v>1.9145276041445556</v>
      </c>
      <c r="DA21" s="1">
        <f t="shared" si="107"/>
        <v>0.45120474677443778</v>
      </c>
      <c r="DB21" s="1">
        <f t="shared" si="108"/>
        <v>8.7543602491270481E-3</v>
      </c>
      <c r="DC21" s="1">
        <f t="shared" si="109"/>
        <v>0.20598294976534592</v>
      </c>
      <c r="DD21" s="1">
        <f t="shared" si="110"/>
        <v>6.4478571950545696E-2</v>
      </c>
      <c r="DE21" s="1">
        <f t="shared" si="111"/>
        <v>1.5631721102898216E-3</v>
      </c>
      <c r="DF21" s="1">
        <f t="shared" si="112"/>
        <v>6.8986564425471478E-2</v>
      </c>
      <c r="DG21" s="1">
        <f t="shared" si="113"/>
        <v>9.9540525432367966E-2</v>
      </c>
      <c r="DH21" s="1">
        <f t="shared" si="114"/>
        <v>7.7596699522172241E-2</v>
      </c>
      <c r="DI21" s="1">
        <f t="shared" si="115"/>
        <v>1.190386277916123E-2</v>
      </c>
      <c r="DJ21" s="1">
        <f t="shared" si="116"/>
        <v>3.5109574621837504E-3</v>
      </c>
      <c r="DK21" s="1">
        <f t="shared" si="117"/>
        <v>6.477589528897201E-3</v>
      </c>
      <c r="DL21" s="1">
        <f t="shared" si="118"/>
        <v>1</v>
      </c>
      <c r="DM21" s="156">
        <f t="shared" si="119"/>
        <v>51.688827733343494</v>
      </c>
      <c r="DN21" s="1">
        <f t="shared" si="120"/>
        <v>0.84840890855251283</v>
      </c>
      <c r="DO21" s="1">
        <f t="shared" si="121"/>
        <v>1.7403293889894821E-2</v>
      </c>
      <c r="DP21" s="1">
        <f t="shared" si="122"/>
        <v>4.9449206579287239E-2</v>
      </c>
      <c r="DQ21" s="1">
        <f t="shared" si="123"/>
        <v>9.3538097071436635E-2</v>
      </c>
      <c r="DR21" s="1">
        <f t="shared" si="124"/>
        <v>5.9935575357768153E-3</v>
      </c>
      <c r="DS21" s="1">
        <f t="shared" si="125"/>
        <v>0.39064641612838319</v>
      </c>
      <c r="DT21" s="1">
        <f t="shared" si="126"/>
        <v>0.42192490659243514</v>
      </c>
      <c r="DU21" s="1">
        <f t="shared" si="127"/>
        <v>1.7179638780739671E-2</v>
      </c>
      <c r="DV21" s="1">
        <f t="shared" si="128"/>
        <v>5.2043069639509994E-3</v>
      </c>
      <c r="DW21" s="1">
        <f t="shared" si="129"/>
        <v>6.8503398269357148E-3</v>
      </c>
      <c r="DX21" s="1">
        <f t="shared" si="130"/>
        <v>1.8565986719213528</v>
      </c>
      <c r="DZ21" s="1">
        <f t="shared" si="131"/>
        <v>1.6968178171050257</v>
      </c>
      <c r="EA21" s="1">
        <f t="shared" si="132"/>
        <v>3.4806587779789643E-2</v>
      </c>
      <c r="EB21" s="1">
        <f t="shared" si="133"/>
        <v>0.1483476197378617</v>
      </c>
      <c r="EC21" s="1">
        <f t="shared" si="134"/>
        <v>9.3538097071436635E-2</v>
      </c>
      <c r="ED21" s="1">
        <f t="shared" si="135"/>
        <v>5.9935575357768153E-3</v>
      </c>
      <c r="EE21" s="1">
        <f t="shared" si="136"/>
        <v>0.39064641612838319</v>
      </c>
      <c r="EF21" s="1">
        <f t="shared" si="137"/>
        <v>0.42192490659243514</v>
      </c>
      <c r="EG21" s="1">
        <f t="shared" si="138"/>
        <v>1.7179638780739671E-2</v>
      </c>
      <c r="EH21" s="1">
        <f t="shared" si="139"/>
        <v>5.2043069639509994E-3</v>
      </c>
      <c r="EI21" s="1">
        <f t="shared" si="140"/>
        <v>2.0551019480807144E-2</v>
      </c>
      <c r="EJ21" s="1">
        <f t="shared" si="141"/>
        <v>2.8350099671762061</v>
      </c>
      <c r="EK21" s="1">
        <f t="shared" si="142"/>
        <v>2.1163946756689049</v>
      </c>
      <c r="EM21" s="1">
        <f t="shared" si="143"/>
        <v>1.7955680968506049</v>
      </c>
      <c r="EN21" s="1">
        <f t="shared" si="144"/>
        <v>3.6832238527674588E-2</v>
      </c>
      <c r="EO21" s="1">
        <f t="shared" si="145"/>
        <v>0.20443190314939508</v>
      </c>
      <c r="EP21" s="1">
        <f t="shared" si="146"/>
        <v>4.8761718915155128E-3</v>
      </c>
      <c r="EQ21" s="1">
        <f t="shared" si="147"/>
        <v>0.20930807504091059</v>
      </c>
      <c r="ER21" s="1">
        <f t="shared" si="148"/>
        <v>0.19796353061418967</v>
      </c>
      <c r="ES21" s="1">
        <f t="shared" si="149"/>
        <v>1.2684733257033294E-2</v>
      </c>
      <c r="ET21" s="1">
        <f t="shared" si="150"/>
        <v>0.82676199516324966</v>
      </c>
      <c r="EU21" s="1">
        <f t="shared" si="151"/>
        <v>0.89295962584432975</v>
      </c>
      <c r="EV21" s="1">
        <f t="shared" si="152"/>
        <v>7.2717792090944963E-2</v>
      </c>
      <c r="EW21" s="1">
        <f t="shared" si="153"/>
        <v>2.2028735098104997E-2</v>
      </c>
      <c r="EX21" s="1">
        <f t="shared" si="154"/>
        <v>2.8996045472498788E-2</v>
      </c>
      <c r="EY21" s="1">
        <f t="shared" si="155"/>
        <v>4.0958208679595405</v>
      </c>
      <c r="EZ21" s="1">
        <f t="shared" si="156"/>
        <v>0.16961300082097658</v>
      </c>
      <c r="FA21" s="1">
        <f t="shared" si="157"/>
        <v>0.28073747670691418</v>
      </c>
      <c r="FB21" s="1">
        <f t="shared" si="158"/>
        <v>4.8761718915155128E-3</v>
      </c>
      <c r="FC21" s="1">
        <f t="shared" si="159"/>
        <v>0</v>
      </c>
      <c r="FD21" s="1">
        <f t="shared" si="160"/>
        <v>0.10221595157469754</v>
      </c>
      <c r="FE21" s="1">
        <f t="shared" si="161"/>
        <v>1.4498022736249394E-2</v>
      </c>
      <c r="FF21" s="2">
        <f t="shared" si="162"/>
        <v>0.77624565153338287</v>
      </c>
      <c r="FG21" s="1">
        <f t="shared" si="163"/>
        <v>0.12423993712202819</v>
      </c>
      <c r="FH21" s="1">
        <f t="shared" si="164"/>
        <v>1.0220757348578735</v>
      </c>
      <c r="FI21" s="1">
        <f t="shared" si="165"/>
        <v>0.77624565153338287</v>
      </c>
      <c r="FJ21" s="1">
        <f t="shared" si="166"/>
        <v>0.40446556799836497</v>
      </c>
      <c r="FK21" s="1">
        <f t="shared" si="167"/>
        <v>-5.2550217143520195</v>
      </c>
      <c r="FL21" s="1">
        <f t="shared" si="168"/>
        <v>-5.2550217143520195</v>
      </c>
      <c r="FM21" s="1">
        <f t="shared" si="169"/>
        <v>0.5168882773334349</v>
      </c>
      <c r="FN21" s="67">
        <f t="shared" ca="1" si="170"/>
        <v>1341.1503823723872</v>
      </c>
      <c r="FO21" s="67">
        <f t="shared" ca="1" si="171"/>
        <v>-6.3591085358945909</v>
      </c>
      <c r="FP21" s="1">
        <f t="shared" ca="1" si="172"/>
        <v>0.13411503823723872</v>
      </c>
      <c r="FQ21" s="2">
        <f t="shared" ca="1" si="173"/>
        <v>1.6184365445613043</v>
      </c>
      <c r="FR21" s="2">
        <f t="shared" ca="1" si="174"/>
        <v>5.8985041916544443</v>
      </c>
      <c r="FS21" s="1">
        <f t="shared" ca="1" si="175"/>
        <v>-9.0612440167686348</v>
      </c>
      <c r="FT21" s="1">
        <f t="shared" si="176"/>
        <v>1.0246610119126387E-2</v>
      </c>
      <c r="FU21" s="2">
        <f t="shared" si="177"/>
        <v>80.681311664994539</v>
      </c>
      <c r="FV21" s="2">
        <f t="shared" ca="1" si="178"/>
        <v>2.5752037890023241</v>
      </c>
      <c r="FW21" s="2">
        <f t="shared" ca="1" si="179"/>
        <v>0.24908212248666622</v>
      </c>
      <c r="FX21" s="2">
        <f t="shared" si="180"/>
        <v>0.25618505635166594</v>
      </c>
      <c r="FY21" s="1">
        <f t="shared" si="181"/>
        <v>0.97836215119230807</v>
      </c>
      <c r="FZ21" s="1">
        <f t="shared" si="182"/>
        <v>0.24031745671266547</v>
      </c>
      <c r="GA21" s="1">
        <f t="shared" si="183"/>
        <v>0.13648264932510712</v>
      </c>
      <c r="GB21" s="1">
        <f t="shared" si="184"/>
        <v>0.95829158958080995</v>
      </c>
      <c r="GC21" s="1">
        <f t="shared" si="185"/>
        <v>-0.10317906462434723</v>
      </c>
      <c r="GD21" s="1">
        <f t="shared" si="186"/>
        <v>2.8350529793213092E-2</v>
      </c>
      <c r="GE21" s="1">
        <f t="shared" si="187"/>
        <v>0.86351735067489288</v>
      </c>
      <c r="GF21" s="1">
        <f t="shared" si="188"/>
        <v>0.15987385513112684</v>
      </c>
      <c r="GG21" s="1">
        <f t="shared" si="189"/>
        <v>-6.1344447728351034E-4</v>
      </c>
      <c r="GH21" s="1">
        <f t="shared" si="190"/>
        <v>2.8041861713825763E-3</v>
      </c>
      <c r="GI21" s="1">
        <f t="shared" si="191"/>
        <v>2.8041861713825763E-3</v>
      </c>
      <c r="GJ21" s="1">
        <f t="shared" si="192"/>
        <v>2.5546343621830517E-2</v>
      </c>
      <c r="GK21" s="1">
        <f t="shared" si="193"/>
        <v>1.8833662636309353E-2</v>
      </c>
      <c r="GL21" s="1">
        <f t="shared" si="194"/>
        <v>0.8079283325269403</v>
      </c>
      <c r="GM21" s="1">
        <f t="shared" si="195"/>
        <v>0.89295962584432975</v>
      </c>
      <c r="GN21" s="1">
        <f t="shared" si="196"/>
        <v>7.2717792090944963E-2</v>
      </c>
      <c r="GO21" s="1">
        <f t="shared" si="197"/>
        <v>440.30595088217103</v>
      </c>
      <c r="GP21" s="1">
        <f t="shared" si="198"/>
        <v>11.68986024961945</v>
      </c>
      <c r="GQ21" s="1">
        <f t="shared" si="199"/>
        <v>2.4247339609632124</v>
      </c>
      <c r="GR21" s="1">
        <f t="shared" si="200"/>
        <v>9.971718414461211E-6</v>
      </c>
      <c r="GS21" s="1">
        <f t="shared" si="201"/>
        <v>2056.093399916917</v>
      </c>
      <c r="GT21" s="1">
        <f t="shared" ca="1" si="202"/>
        <v>0.37005510967883903</v>
      </c>
      <c r="GU21" s="2">
        <f t="shared" ca="1" si="203"/>
        <v>20.936645503125437</v>
      </c>
      <c r="GV21" s="4">
        <f t="shared" ca="1" si="204"/>
        <v>5.0116361112511481</v>
      </c>
      <c r="GW21" s="4">
        <f t="shared" ca="1" si="205"/>
        <v>4.7401777632188811</v>
      </c>
      <c r="GX21" s="4">
        <f t="shared" si="206"/>
        <v>5.6772007207155486</v>
      </c>
      <c r="GY21" s="4">
        <f t="shared" si="207"/>
        <v>5.444830555661575</v>
      </c>
      <c r="GZ21" s="4">
        <f t="shared" ca="1" si="208"/>
        <v>4.7401777632188811</v>
      </c>
      <c r="HA21" s="1">
        <f t="shared" si="209"/>
        <v>440.30595088217103</v>
      </c>
      <c r="HB21" s="1">
        <f t="shared" si="210"/>
        <v>11.68986024961945</v>
      </c>
      <c r="HC21" s="4">
        <f t="shared" si="211"/>
        <v>1.1643119330009313</v>
      </c>
      <c r="HD21" s="4"/>
      <c r="HE21" s="7">
        <f t="shared" si="212"/>
        <v>4.1035263050246386E-2</v>
      </c>
      <c r="HF21" s="7">
        <f t="shared" si="213"/>
        <v>0.82676199516324966</v>
      </c>
      <c r="HG21" s="7">
        <f t="shared" si="214"/>
        <v>7.2717792090944963E-2</v>
      </c>
      <c r="HH21" s="7">
        <f t="shared" si="215"/>
        <v>0</v>
      </c>
      <c r="HI21" s="7">
        <f t="shared" si="216"/>
        <v>9.6895208730031615E-2</v>
      </c>
      <c r="HJ21" s="7">
        <f t="shared" si="217"/>
        <v>0</v>
      </c>
      <c r="HK21" s="7">
        <f t="shared" si="218"/>
        <v>0</v>
      </c>
      <c r="HL21" s="7">
        <f t="shared" si="219"/>
        <v>4.8761718915155128E-3</v>
      </c>
      <c r="HM21" s="7">
        <f t="shared" si="220"/>
        <v>0.10753669441936348</v>
      </c>
      <c r="HN21" s="7">
        <f t="shared" si="221"/>
        <v>4.7286693593298797E-2</v>
      </c>
      <c r="HO21" s="7">
        <f t="shared" si="222"/>
        <v>0.65596952324136748</v>
      </c>
      <c r="HP21" s="7">
        <f t="shared" si="223"/>
        <v>3.255819945356718E-2</v>
      </c>
      <c r="HQ21" s="7">
        <f t="shared" si="224"/>
        <v>3.2699580643299767E-2</v>
      </c>
      <c r="HR21" s="7">
        <f t="shared" si="225"/>
        <v>1.6230014214255173E-3</v>
      </c>
      <c r="HS21" s="7">
        <f t="shared" si="226"/>
        <v>7.2717792090944963E-2</v>
      </c>
      <c r="HT21" s="7"/>
      <c r="HU21" s="16">
        <f t="shared" si="227"/>
        <v>-8.7063277040052265E-7</v>
      </c>
      <c r="HV21" s="16">
        <f t="shared" si="228"/>
        <v>1.7831117153684021E-12</v>
      </c>
      <c r="HW21" s="16">
        <f t="shared" si="229"/>
        <v>2.6335817372655058E-5</v>
      </c>
      <c r="HX21" s="16">
        <f t="shared" si="230"/>
        <v>7.2469206333481328E-9</v>
      </c>
      <c r="HY21" s="7">
        <f t="shared" si="231"/>
        <v>2.4247339609632124</v>
      </c>
      <c r="HZ21" s="7">
        <f t="shared" ca="1" si="232"/>
        <v>455.846051290606</v>
      </c>
      <c r="IA21" s="7">
        <f t="shared" ca="1" si="233"/>
        <v>5.0116361112511481</v>
      </c>
      <c r="IB21" s="7">
        <f t="shared" ca="1" si="234"/>
        <v>455.84615535067144</v>
      </c>
      <c r="IC21" s="7">
        <f t="shared" ca="1" si="235"/>
        <v>4.7401777632188811</v>
      </c>
      <c r="ID21" s="7">
        <f t="shared" ca="1" si="236"/>
        <v>4.7401777632188811</v>
      </c>
      <c r="IE21" s="7"/>
      <c r="IF21" s="2">
        <f t="shared" si="237"/>
        <v>1.0246610119126387E-2</v>
      </c>
      <c r="IG21" s="17">
        <f t="shared" ca="1" si="238"/>
        <v>1041.7071122046818</v>
      </c>
      <c r="IH21" s="17"/>
      <c r="II21" s="7">
        <f t="shared" si="239"/>
        <v>2.0680490725811853</v>
      </c>
      <c r="IJ21" s="17">
        <f t="shared" si="240"/>
        <v>2056.093399916917</v>
      </c>
      <c r="IK21" s="16">
        <f t="shared" si="241"/>
        <v>1.1379375447385052E-5</v>
      </c>
      <c r="IM21" s="1">
        <f t="shared" si="242"/>
        <v>1</v>
      </c>
      <c r="IN21" s="166">
        <f t="shared" si="243"/>
        <v>0.43112499174542002</v>
      </c>
      <c r="IO21" s="166">
        <f t="shared" si="244"/>
        <v>0.10323046535911992</v>
      </c>
      <c r="IP21" s="166">
        <f t="shared" si="245"/>
        <v>0.46564454289546009</v>
      </c>
      <c r="IR21" s="167">
        <f t="shared" si="246"/>
        <v>0.3880402761146905</v>
      </c>
      <c r="IS21" s="167">
        <f t="shared" si="247"/>
        <v>0.46564454289546009</v>
      </c>
      <c r="IU21" s="169">
        <v>0.1</v>
      </c>
      <c r="IV21" s="169">
        <v>0.9</v>
      </c>
      <c r="IW21" s="169">
        <v>0</v>
      </c>
      <c r="IX21" s="169"/>
      <c r="IY21" s="167">
        <f t="shared" si="248"/>
        <v>1.0392304845413263</v>
      </c>
      <c r="IZ21" s="167">
        <f t="shared" si="249"/>
        <v>0</v>
      </c>
    </row>
    <row r="22" spans="1:260">
      <c r="A22" s="139" t="s">
        <v>201</v>
      </c>
      <c r="B22" s="139" t="s">
        <v>202</v>
      </c>
      <c r="C22" s="78">
        <f t="shared" si="43"/>
        <v>10.775259652836651</v>
      </c>
      <c r="D22" s="133">
        <f t="shared" ca="1" si="44"/>
        <v>1125.0651929339469</v>
      </c>
      <c r="E22" s="15">
        <f t="shared" ca="1" si="45"/>
        <v>-8.9286788532491057E-2</v>
      </c>
      <c r="F22" s="123">
        <f>F17+F3</f>
        <v>59.607786571778867</v>
      </c>
      <c r="G22" s="123">
        <f t="shared" ref="G22:L22" si="252">G17+G3</f>
        <v>0.71564143474625064</v>
      </c>
      <c r="H22" s="123">
        <f t="shared" si="252"/>
        <v>19.831861892242898</v>
      </c>
      <c r="I22" s="123">
        <f t="shared" si="252"/>
        <v>5.9967845953334784</v>
      </c>
      <c r="J22" s="123">
        <f t="shared" si="252"/>
        <v>1.0775259652836651</v>
      </c>
      <c r="K22" s="123">
        <f t="shared" si="252"/>
        <v>3.3209194649304901</v>
      </c>
      <c r="L22" s="123">
        <f t="shared" si="252"/>
        <v>8.1995427985446305</v>
      </c>
      <c r="M22" s="123">
        <v>3.72</v>
      </c>
      <c r="N22" s="123">
        <v>0.42</v>
      </c>
      <c r="O22" s="123">
        <v>0</v>
      </c>
      <c r="P22" s="123">
        <v>0.14000000000000001</v>
      </c>
      <c r="Q22" s="123">
        <v>6.2</v>
      </c>
      <c r="R22" s="119">
        <f t="shared" ca="1" si="46"/>
        <v>11.4416093073662</v>
      </c>
      <c r="T22" s="123">
        <f>T17+T3</f>
        <v>47.512072259268784</v>
      </c>
      <c r="U22" s="123">
        <f t="shared" ref="U22:AC22" si="253">U17+U3</f>
        <v>2.6029830218504642</v>
      </c>
      <c r="V22" s="123">
        <f t="shared" si="253"/>
        <v>8.0270356111317618</v>
      </c>
      <c r="W22" s="123">
        <f t="shared" si="253"/>
        <v>6.5795343060241347</v>
      </c>
      <c r="X22" s="123">
        <f t="shared" si="253"/>
        <v>1.0610306137022145</v>
      </c>
      <c r="Y22" s="123">
        <f t="shared" si="253"/>
        <v>13.698390123922762</v>
      </c>
      <c r="Z22" s="123">
        <f t="shared" si="253"/>
        <v>23.154968295330654</v>
      </c>
      <c r="AA22" s="123">
        <f t="shared" si="253"/>
        <v>0.65975799234234844</v>
      </c>
      <c r="AB22" s="123">
        <f t="shared" si="253"/>
        <v>0.19804933163330218</v>
      </c>
      <c r="AC22" s="123">
        <f t="shared" si="253"/>
        <v>0.96213763230491689</v>
      </c>
      <c r="AE22" s="112">
        <f t="shared" ca="1" si="47"/>
        <v>1300.5037911439103</v>
      </c>
      <c r="AF22" s="165">
        <f t="shared" ca="1" si="48"/>
        <v>1027.3537911439103</v>
      </c>
      <c r="AG22" s="165">
        <f t="shared" ca="1" si="49"/>
        <v>5.9921707462754874</v>
      </c>
      <c r="AH22" s="91">
        <f t="shared" ca="1" si="50"/>
        <v>1457.2926892805406</v>
      </c>
      <c r="AI22" s="91">
        <f t="shared" ca="1" si="51"/>
        <v>7.3333433188521848</v>
      </c>
      <c r="AJ22" s="91"/>
      <c r="AK22" s="91">
        <f t="shared" ca="1" si="52"/>
        <v>1398.215192933947</v>
      </c>
      <c r="AL22" s="91">
        <f t="shared" ca="1" si="53"/>
        <v>3.3441779381487167</v>
      </c>
      <c r="AM22" s="91"/>
      <c r="AN22" s="91">
        <f t="shared" ca="1" si="54"/>
        <v>1274.7654955388739</v>
      </c>
      <c r="AO22" s="91">
        <f t="shared" ca="1" si="55"/>
        <v>1001.6154955388739</v>
      </c>
      <c r="AP22" s="91">
        <f t="shared" ca="1" si="56"/>
        <v>0.24208795330785371</v>
      </c>
      <c r="AQ22" s="91"/>
      <c r="AR22" s="91">
        <f t="shared" ca="1" si="57"/>
        <v>1281.5731283952907</v>
      </c>
      <c r="AS22" s="91">
        <f t="shared" ca="1" si="58"/>
        <v>1008.4231283952907</v>
      </c>
      <c r="AT22" s="40">
        <f t="shared" ca="1" si="59"/>
        <v>0.5065672455718051</v>
      </c>
      <c r="AV22" s="40">
        <f t="shared" si="60"/>
        <v>1448.8392813713713</v>
      </c>
      <c r="AW22" s="40">
        <f t="shared" si="61"/>
        <v>1175.6892813713712</v>
      </c>
      <c r="AX22" s="40">
        <f t="shared" ca="1" si="62"/>
        <v>1457.2926892805406</v>
      </c>
      <c r="AY22" s="40">
        <f t="shared" ca="1" si="63"/>
        <v>1184.1426892805407</v>
      </c>
      <c r="AZ22" s="40">
        <f t="shared" ca="1" si="64"/>
        <v>7.3333433188521848</v>
      </c>
      <c r="BA22" s="40"/>
      <c r="BB22" s="40">
        <f t="shared" ca="1" si="65"/>
        <v>1398.215192933947</v>
      </c>
      <c r="BC22" s="40">
        <f t="shared" ca="1" si="66"/>
        <v>3.3441779381487167</v>
      </c>
      <c r="BD22" s="40">
        <f t="shared" ca="1" si="67"/>
        <v>1125.0651929339469</v>
      </c>
      <c r="BE22" s="40">
        <f t="shared" ca="1" si="68"/>
        <v>12.420229744955927</v>
      </c>
      <c r="BF22" s="40">
        <f t="shared" ca="1" si="69"/>
        <v>15.210098054658967</v>
      </c>
      <c r="BG22" s="40">
        <f t="shared" ca="1" si="70"/>
        <v>1032.2564224494604</v>
      </c>
      <c r="BH22" s="40">
        <f t="shared" ca="1" si="71"/>
        <v>1060.0672257741317</v>
      </c>
      <c r="BI22" s="40">
        <f t="shared" ca="1" si="72"/>
        <v>1060.0672257741317</v>
      </c>
      <c r="BJ22" s="40">
        <f t="shared" ca="1" si="73"/>
        <v>1106.6808896565926</v>
      </c>
      <c r="BK22" s="70">
        <f t="shared" ca="1" si="74"/>
        <v>1.003373386147181</v>
      </c>
      <c r="BL22" s="70">
        <f t="shared" ca="1" si="75"/>
        <v>0.64288773926185727</v>
      </c>
      <c r="BM22" s="70">
        <f t="shared" ca="1" si="76"/>
        <v>0.13331706651490427</v>
      </c>
      <c r="BN22" s="180">
        <f t="shared" ca="1" si="27"/>
        <v>1.6787600131360221E-2</v>
      </c>
      <c r="BO22" s="180">
        <f t="shared" ca="1" si="28"/>
        <v>1.6721271222373855E-2</v>
      </c>
      <c r="BP22" s="180">
        <f t="shared" ca="1" si="29"/>
        <v>3.4421832776421787E-2</v>
      </c>
      <c r="BQ22" s="70">
        <f t="shared" si="77"/>
        <v>0</v>
      </c>
      <c r="BR22" s="40">
        <f t="shared" ca="1" si="78"/>
        <v>0.84413550990691744</v>
      </c>
      <c r="BS22" s="53"/>
      <c r="BT22" s="70">
        <f t="shared" si="79"/>
        <v>0.73217452779434833</v>
      </c>
      <c r="BU22" s="70">
        <f t="shared" si="80"/>
        <v>0.10052745205012742</v>
      </c>
      <c r="BV22" s="70">
        <f t="shared" si="81"/>
        <v>4.9297840790082231E-3</v>
      </c>
      <c r="BW22" s="70">
        <f t="shared" si="82"/>
        <v>4.6049787864271788E-2</v>
      </c>
      <c r="BX22" s="180">
        <f t="shared" si="83"/>
        <v>0.14233093057274954</v>
      </c>
      <c r="BY22" s="70">
        <f t="shared" si="84"/>
        <v>1.3691644020054457E-2</v>
      </c>
      <c r="BZ22" s="70">
        <f t="shared" si="85"/>
        <v>1.0397041263805598</v>
      </c>
      <c r="CA22" s="70">
        <f t="shared" si="86"/>
        <v>0.26599012870920163</v>
      </c>
      <c r="CB22" s="53"/>
      <c r="CC22" s="40"/>
      <c r="CD22" s="40">
        <f t="shared" ca="1" si="87"/>
        <v>6.4063007918066432</v>
      </c>
      <c r="CE22" s="40">
        <f t="shared" ca="1" si="88"/>
        <v>2.6313710078913886</v>
      </c>
      <c r="CF22" s="40">
        <f t="shared" ca="1" si="89"/>
        <v>18.05840303428517</v>
      </c>
      <c r="CG22" s="40">
        <f t="shared" ca="1" si="90"/>
        <v>1122.1107558974818</v>
      </c>
      <c r="CH22" s="54">
        <f t="shared" ca="1" si="91"/>
        <v>0.27621255291009744</v>
      </c>
      <c r="CJ22" s="40">
        <f t="shared" si="92"/>
        <v>2.8485369946288839</v>
      </c>
      <c r="CK22" s="40">
        <f t="shared" si="93"/>
        <v>2.5079931777085913</v>
      </c>
      <c r="CL22" s="40">
        <f t="shared" ca="1" si="94"/>
        <v>662.77316637194804</v>
      </c>
      <c r="CM22" s="2"/>
      <c r="CN22" s="1">
        <f t="shared" si="95"/>
        <v>0.99206925223026432</v>
      </c>
      <c r="CO22" s="1">
        <f t="shared" si="96"/>
        <v>8.9590909571281817E-3</v>
      </c>
      <c r="CP22" s="1">
        <f t="shared" si="97"/>
        <v>0.38900877575235432</v>
      </c>
      <c r="CQ22" s="1">
        <f t="shared" si="98"/>
        <v>8.3466737308111161E-2</v>
      </c>
      <c r="CR22" s="1">
        <f t="shared" si="99"/>
        <v>1.5189793343205851E-2</v>
      </c>
      <c r="CS22" s="1">
        <f t="shared" si="100"/>
        <v>8.2395953417753146E-2</v>
      </c>
      <c r="CT22" s="1">
        <f t="shared" si="101"/>
        <v>0.14621831252063452</v>
      </c>
      <c r="CU22" s="1">
        <f t="shared" si="102"/>
        <v>0.12004085261274401</v>
      </c>
      <c r="CV22" s="1">
        <f t="shared" si="103"/>
        <v>8.917576117881864E-3</v>
      </c>
      <c r="CW22" s="1">
        <f t="shared" si="104"/>
        <v>0</v>
      </c>
      <c r="CX22" s="1">
        <f t="shared" si="105"/>
        <v>1.9727062006383114E-3</v>
      </c>
      <c r="CY22" s="1">
        <f t="shared" si="106"/>
        <v>1.8482390504607158</v>
      </c>
      <c r="DA22" s="1">
        <f t="shared" si="107"/>
        <v>0.53676457706213299</v>
      </c>
      <c r="DB22" s="1">
        <f t="shared" si="108"/>
        <v>4.8473659048026948E-3</v>
      </c>
      <c r="DC22" s="1">
        <f t="shared" si="109"/>
        <v>0.2104753579659433</v>
      </c>
      <c r="DD22" s="1">
        <f t="shared" si="110"/>
        <v>4.5160141642557099E-2</v>
      </c>
      <c r="DE22" s="1">
        <f t="shared" si="111"/>
        <v>8.2185220247453644E-3</v>
      </c>
      <c r="DF22" s="1">
        <f t="shared" si="112"/>
        <v>4.4580788073498433E-2</v>
      </c>
      <c r="DG22" s="1">
        <f t="shared" si="113"/>
        <v>7.9112229819073607E-2</v>
      </c>
      <c r="DH22" s="1">
        <f t="shared" si="114"/>
        <v>6.4948769794048608E-2</v>
      </c>
      <c r="DI22" s="1">
        <f t="shared" si="115"/>
        <v>4.8249040705307866E-3</v>
      </c>
      <c r="DJ22" s="1">
        <f t="shared" si="116"/>
        <v>0</v>
      </c>
      <c r="DK22" s="1">
        <f t="shared" si="117"/>
        <v>1.0673436426670939E-3</v>
      </c>
      <c r="DL22" s="1">
        <f t="shared" si="118"/>
        <v>1</v>
      </c>
      <c r="DM22" s="156">
        <f t="shared" si="119"/>
        <v>49.677207729576814</v>
      </c>
      <c r="DN22" s="1">
        <f t="shared" si="120"/>
        <v>0.79075685760288106</v>
      </c>
      <c r="DO22" s="1">
        <f t="shared" si="121"/>
        <v>3.2586656557815896E-2</v>
      </c>
      <c r="DP22" s="1">
        <f t="shared" si="122"/>
        <v>7.8726528879981189E-2</v>
      </c>
      <c r="DQ22" s="1">
        <f t="shared" si="123"/>
        <v>9.1577786862308122E-2</v>
      </c>
      <c r="DR22" s="1">
        <f t="shared" si="124"/>
        <v>1.4957259752630337E-2</v>
      </c>
      <c r="DS22" s="1">
        <f t="shared" si="125"/>
        <v>0.33987331715452312</v>
      </c>
      <c r="DT22" s="1">
        <f t="shared" si="126"/>
        <v>0.41291087488597289</v>
      </c>
      <c r="DU22" s="1">
        <f t="shared" si="127"/>
        <v>1.0644880634253728E-2</v>
      </c>
      <c r="DV22" s="1">
        <f t="shared" si="128"/>
        <v>2.1025237975423818E-3</v>
      </c>
      <c r="DW22" s="1">
        <f t="shared" si="129"/>
        <v>6.3299278037826558E-3</v>
      </c>
      <c r="DX22" s="1">
        <f t="shared" si="130"/>
        <v>1.7804666139316916</v>
      </c>
      <c r="DZ22" s="1">
        <f t="shared" si="131"/>
        <v>1.5815137152057621</v>
      </c>
      <c r="EA22" s="1">
        <f t="shared" si="132"/>
        <v>6.5173313115631792E-2</v>
      </c>
      <c r="EB22" s="1">
        <f t="shared" si="133"/>
        <v>0.23617958663994357</v>
      </c>
      <c r="EC22" s="1">
        <f t="shared" si="134"/>
        <v>9.1577786862308122E-2</v>
      </c>
      <c r="ED22" s="1">
        <f t="shared" si="135"/>
        <v>1.4957259752630337E-2</v>
      </c>
      <c r="EE22" s="1">
        <f t="shared" si="136"/>
        <v>0.33987331715452312</v>
      </c>
      <c r="EF22" s="1">
        <f t="shared" si="137"/>
        <v>0.41291087488597289</v>
      </c>
      <c r="EG22" s="1">
        <f t="shared" si="138"/>
        <v>1.0644880634253728E-2</v>
      </c>
      <c r="EH22" s="1">
        <f t="shared" si="139"/>
        <v>2.1025237975423818E-3</v>
      </c>
      <c r="EI22" s="1">
        <f t="shared" si="140"/>
        <v>1.8989783411347966E-2</v>
      </c>
      <c r="EJ22" s="1">
        <f t="shared" si="141"/>
        <v>2.7739230414599163</v>
      </c>
      <c r="EK22" s="1">
        <f t="shared" si="142"/>
        <v>2.1630016083078494</v>
      </c>
      <c r="EM22" s="1">
        <f t="shared" si="143"/>
        <v>1.7104083547754927</v>
      </c>
      <c r="EN22" s="1">
        <f t="shared" si="144"/>
        <v>7.0484990543931314E-2</v>
      </c>
      <c r="EO22" s="1">
        <f t="shared" si="145"/>
        <v>0.28959164522450731</v>
      </c>
      <c r="EP22" s="1">
        <f t="shared" si="146"/>
        <v>5.0979571943280011E-2</v>
      </c>
      <c r="EQ22" s="1">
        <f t="shared" si="147"/>
        <v>0.34057121716778732</v>
      </c>
      <c r="ER22" s="1">
        <f t="shared" si="148"/>
        <v>0.19808290026844591</v>
      </c>
      <c r="ES22" s="1">
        <f t="shared" si="149"/>
        <v>3.2352576900817685E-2</v>
      </c>
      <c r="ET22" s="1">
        <f t="shared" si="150"/>
        <v>0.73514653162615728</v>
      </c>
      <c r="EU22" s="1">
        <f t="shared" si="151"/>
        <v>0.89312688646616056</v>
      </c>
      <c r="EV22" s="1">
        <f t="shared" si="152"/>
        <v>4.6049787864271788E-2</v>
      </c>
      <c r="EW22" s="1">
        <f t="shared" si="153"/>
        <v>9.0955247111793973E-3</v>
      </c>
      <c r="EX22" s="1">
        <f t="shared" si="154"/>
        <v>2.7383288040108915E-2</v>
      </c>
      <c r="EY22" s="1">
        <f t="shared" si="155"/>
        <v>4.0627020583643532</v>
      </c>
      <c r="EZ22" s="1">
        <f t="shared" si="156"/>
        <v>0.11630859201752752</v>
      </c>
      <c r="FA22" s="1">
        <f t="shared" si="157"/>
        <v>0.18520302241291198</v>
      </c>
      <c r="FB22" s="1">
        <f t="shared" si="158"/>
        <v>4.6049787864271788E-2</v>
      </c>
      <c r="FC22" s="1">
        <f t="shared" si="159"/>
        <v>4.9297840790082231E-3</v>
      </c>
      <c r="FD22" s="1">
        <f t="shared" si="160"/>
        <v>0.14233093057274954</v>
      </c>
      <c r="FE22" s="1">
        <f t="shared" si="161"/>
        <v>1.3691644020054457E-2</v>
      </c>
      <c r="FF22" s="2">
        <f t="shared" si="162"/>
        <v>0.73217452779434833</v>
      </c>
      <c r="FG22" s="1">
        <f t="shared" si="163"/>
        <v>0.10052745205012742</v>
      </c>
      <c r="FH22" s="1">
        <f t="shared" si="164"/>
        <v>1.0397041263805598</v>
      </c>
      <c r="FI22" s="1">
        <f t="shared" si="165"/>
        <v>0.73217452779434844</v>
      </c>
      <c r="FJ22" s="1">
        <f t="shared" si="166"/>
        <v>2.4589024200998058</v>
      </c>
      <c r="FK22" s="1">
        <f t="shared" si="167"/>
        <v>-3.4214687039873288</v>
      </c>
      <c r="FL22" s="1">
        <f t="shared" si="168"/>
        <v>-3.4214687039873288</v>
      </c>
      <c r="FM22" s="1">
        <f t="shared" si="169"/>
        <v>0.49677207729576811</v>
      </c>
      <c r="FN22" s="67">
        <f t="shared" ca="1" si="170"/>
        <v>1457.2926892805406</v>
      </c>
      <c r="FO22" s="67">
        <f t="shared" ca="1" si="171"/>
        <v>7.3333433188521848</v>
      </c>
      <c r="FP22" s="1">
        <f t="shared" ca="1" si="172"/>
        <v>0.14572926892805405</v>
      </c>
      <c r="FQ22" s="2">
        <f t="shared" ca="1" si="173"/>
        <v>1.6266659392897886</v>
      </c>
      <c r="FR22" s="2">
        <f t="shared" ca="1" si="174"/>
        <v>5.9845040376348715</v>
      </c>
      <c r="FS22" s="1">
        <f t="shared" ca="1" si="175"/>
        <v>2.2022398011001454</v>
      </c>
      <c r="FT22" s="1">
        <f t="shared" si="176"/>
        <v>4.078478937847458E-2</v>
      </c>
      <c r="FU22" s="2">
        <f t="shared" si="177"/>
        <v>78.774469224967945</v>
      </c>
      <c r="FV22" s="2">
        <f t="shared" ca="1" si="178"/>
        <v>7.1046289335519486</v>
      </c>
      <c r="FW22" s="2">
        <f t="shared" ca="1" si="179"/>
        <v>0.26278357622729864</v>
      </c>
      <c r="FX22" s="2">
        <f t="shared" si="180"/>
        <v>0.26599012870920163</v>
      </c>
      <c r="FY22" s="1">
        <f t="shared" si="181"/>
        <v>0.97152925123125011</v>
      </c>
      <c r="FZ22" s="1">
        <f t="shared" si="182"/>
        <v>0.26515644254484777</v>
      </c>
      <c r="GA22" s="1">
        <f t="shared" si="183"/>
        <v>0.13702103660665568</v>
      </c>
      <c r="GB22" s="1">
        <f t="shared" si="184"/>
        <v>0.87853543751278873</v>
      </c>
      <c r="GC22" s="1">
        <f t="shared" si="185"/>
        <v>-6.1614597635713086E-2</v>
      </c>
      <c r="GD22" s="1">
        <f t="shared" si="186"/>
        <v>8.1774308250918387E-2</v>
      </c>
      <c r="GE22" s="1">
        <f t="shared" si="187"/>
        <v>0.86297896339334434</v>
      </c>
      <c r="GF22" s="1">
        <f t="shared" si="188"/>
        <v>0.20707450533161015</v>
      </c>
      <c r="GG22" s="1">
        <f t="shared" si="189"/>
        <v>-2.3281757859502086E-3</v>
      </c>
      <c r="GH22" s="1">
        <f t="shared" si="190"/>
        <v>8.0137873886971453E-3</v>
      </c>
      <c r="GI22" s="1">
        <f t="shared" si="191"/>
        <v>8.0137873886971453E-3</v>
      </c>
      <c r="GJ22" s="1">
        <f t="shared" si="192"/>
        <v>7.3760520862221235E-2</v>
      </c>
      <c r="GK22" s="1">
        <f t="shared" si="193"/>
        <v>2.0456961380052742E-2</v>
      </c>
      <c r="GL22" s="1">
        <f t="shared" si="194"/>
        <v>0.71468957024610458</v>
      </c>
      <c r="GM22" s="1">
        <f t="shared" si="195"/>
        <v>0.89312688646616056</v>
      </c>
      <c r="GN22" s="1">
        <f t="shared" si="196"/>
        <v>4.6049787864271788E-2</v>
      </c>
      <c r="GO22" s="1">
        <f t="shared" si="197"/>
        <v>440.19639715944038</v>
      </c>
      <c r="GP22" s="1">
        <f t="shared" si="198"/>
        <v>11.606182177746954</v>
      </c>
      <c r="GQ22" s="1">
        <f t="shared" si="199"/>
        <v>2.4428545003951263</v>
      </c>
      <c r="GR22" s="1">
        <f t="shared" si="200"/>
        <v>1.0046239132874957E-5</v>
      </c>
      <c r="GS22" s="1">
        <f t="shared" si="201"/>
        <v>2085.6066993960167</v>
      </c>
      <c r="GT22" s="1">
        <f t="shared" ca="1" si="202"/>
        <v>0.39128422029629267</v>
      </c>
      <c r="GU22" s="2">
        <f t="shared" ca="1" si="203"/>
        <v>31.033028034285159</v>
      </c>
      <c r="GV22" s="4">
        <f t="shared" ca="1" si="204"/>
        <v>4.7410727984008929</v>
      </c>
      <c r="GW22" s="4">
        <f t="shared" ca="1" si="205"/>
        <v>4.319698746058763</v>
      </c>
      <c r="GX22" s="4">
        <f t="shared" si="206"/>
        <v>4.1400000000000006</v>
      </c>
      <c r="GY22" s="4">
        <f t="shared" si="207"/>
        <v>7.6364636346892709</v>
      </c>
      <c r="GZ22" s="4">
        <f t="shared" ca="1" si="208"/>
        <v>4.7410727984008929</v>
      </c>
      <c r="HA22" s="1">
        <f t="shared" si="209"/>
        <v>440.19639715944038</v>
      </c>
      <c r="HB22" s="1">
        <f t="shared" si="210"/>
        <v>11.606182177746954</v>
      </c>
      <c r="HC22" s="4">
        <f t="shared" si="211"/>
        <v>2.6534560547333683</v>
      </c>
      <c r="HD22" s="4"/>
      <c r="HE22" s="7">
        <f t="shared" si="212"/>
        <v>0.11412688515173608</v>
      </c>
      <c r="HF22" s="7">
        <f t="shared" si="213"/>
        <v>0.73514653162615728</v>
      </c>
      <c r="HG22" s="7">
        <f t="shared" si="214"/>
        <v>4.6049787864271788E-2</v>
      </c>
      <c r="HH22" s="7">
        <f t="shared" si="215"/>
        <v>0</v>
      </c>
      <c r="HI22" s="7">
        <f t="shared" si="216"/>
        <v>7.0258804153255736E-2</v>
      </c>
      <c r="HJ22" s="7">
        <f t="shared" si="217"/>
        <v>0</v>
      </c>
      <c r="HK22" s="7">
        <f t="shared" si="218"/>
        <v>0</v>
      </c>
      <c r="HL22" s="7">
        <f t="shared" si="219"/>
        <v>5.0979571943280011E-2</v>
      </c>
      <c r="HM22" s="7">
        <f t="shared" si="220"/>
        <v>0.21933284107125156</v>
      </c>
      <c r="HN22" s="7">
        <f t="shared" si="221"/>
        <v>0.13438179377464626</v>
      </c>
      <c r="HO22" s="7">
        <f t="shared" si="222"/>
        <v>0.52243109291738599</v>
      </c>
      <c r="HP22" s="7">
        <f t="shared" si="223"/>
        <v>8.1104148324267225E-2</v>
      </c>
      <c r="HQ22" s="7">
        <f t="shared" si="224"/>
        <v>5.2649778062751659E-2</v>
      </c>
      <c r="HR22" s="7">
        <f t="shared" si="225"/>
        <v>8.1735476068159878E-3</v>
      </c>
      <c r="HS22" s="7">
        <f t="shared" si="226"/>
        <v>4.6049787864271788E-2</v>
      </c>
      <c r="HT22" s="7"/>
      <c r="HU22" s="16">
        <f t="shared" si="227"/>
        <v>-8.7418955140548392E-7</v>
      </c>
      <c r="HV22" s="16">
        <f t="shared" si="228"/>
        <v>1.7651335742359271E-12</v>
      </c>
      <c r="HW22" s="16">
        <f t="shared" si="229"/>
        <v>2.6102172090761687E-5</v>
      </c>
      <c r="HX22" s="16">
        <f t="shared" si="230"/>
        <v>7.123334340276837E-9</v>
      </c>
      <c r="HY22" s="7">
        <f t="shared" si="231"/>
        <v>2.4428545003951263</v>
      </c>
      <c r="HZ22" s="7">
        <f t="shared" ca="1" si="232"/>
        <v>456.62901826162044</v>
      </c>
      <c r="IA22" s="7">
        <f t="shared" ca="1" si="233"/>
        <v>4.7410727984008929</v>
      </c>
      <c r="IB22" s="7">
        <f t="shared" ca="1" si="234"/>
        <v>456.62918040974881</v>
      </c>
      <c r="IC22" s="7">
        <f t="shared" ca="1" si="235"/>
        <v>4.319698746058763</v>
      </c>
      <c r="ID22" s="7">
        <f t="shared" ca="1" si="236"/>
        <v>4.7410727984008929</v>
      </c>
      <c r="IE22" s="7"/>
      <c r="IF22" s="2">
        <f t="shared" si="237"/>
        <v>4.078478937847458E-2</v>
      </c>
      <c r="IG22" s="17">
        <f t="shared" ca="1" si="238"/>
        <v>1100.0651929339469</v>
      </c>
      <c r="IH22" s="17"/>
      <c r="II22" s="7">
        <f t="shared" si="239"/>
        <v>2.0633622637756068</v>
      </c>
      <c r="IJ22" s="17">
        <f t="shared" si="240"/>
        <v>2085.6066993960167</v>
      </c>
      <c r="IK22" s="16">
        <f t="shared" si="241"/>
        <v>1.1280014489500058E-5</v>
      </c>
      <c r="IM22" s="1">
        <f t="shared" si="242"/>
        <v>1</v>
      </c>
      <c r="IN22" s="166">
        <f t="shared" si="243"/>
        <v>0.40252086859259978</v>
      </c>
      <c r="IO22" s="166">
        <f t="shared" si="244"/>
        <v>0.1084579708116509</v>
      </c>
      <c r="IP22" s="166">
        <f t="shared" si="245"/>
        <v>0.4890211605957494</v>
      </c>
      <c r="IR22" s="167">
        <f t="shared" si="246"/>
        <v>0.40757297599711351</v>
      </c>
      <c r="IS22" s="167">
        <f t="shared" si="247"/>
        <v>0.4890211605957494</v>
      </c>
      <c r="IU22" s="169">
        <v>0.1</v>
      </c>
      <c r="IV22" s="169">
        <v>0.9</v>
      </c>
      <c r="IW22" s="169">
        <v>0</v>
      </c>
      <c r="IX22" s="169"/>
      <c r="IY22" s="167">
        <f t="shared" si="248"/>
        <v>1.0392304845413263</v>
      </c>
      <c r="IZ22" s="167">
        <f t="shared" si="249"/>
        <v>0</v>
      </c>
    </row>
    <row r="23" spans="1:260">
      <c r="A23" s="139" t="s">
        <v>201</v>
      </c>
      <c r="B23" s="139" t="s">
        <v>202</v>
      </c>
      <c r="C23" s="78">
        <f t="shared" si="43"/>
        <v>4.2297221007993366</v>
      </c>
      <c r="D23" s="133">
        <f t="shared" si="44"/>
        <v>-273.14999999999998</v>
      </c>
      <c r="E23" s="15">
        <f t="shared" si="45"/>
        <v>1.1126713740931176</v>
      </c>
      <c r="F23" s="123">
        <f>F19+10*F4</f>
        <v>60.23458613622703</v>
      </c>
      <c r="G23" s="123">
        <f t="shared" ref="G23:AC23" si="254">G19+10*G4</f>
        <v>1.8280578000670953</v>
      </c>
      <c r="H23" s="123">
        <f t="shared" si="254"/>
        <v>29.446721879081572</v>
      </c>
      <c r="I23" s="123">
        <f t="shared" si="254"/>
        <v>7.5715111650770153</v>
      </c>
      <c r="J23" s="123">
        <f t="shared" si="254"/>
        <v>0.42297221007993363</v>
      </c>
      <c r="K23" s="123">
        <f t="shared" si="254"/>
        <v>6.0127141827917026</v>
      </c>
      <c r="L23" s="123">
        <f t="shared" si="254"/>
        <v>14.048430422701715</v>
      </c>
      <c r="M23" s="123">
        <f t="shared" si="254"/>
        <v>14.858244012019609</v>
      </c>
      <c r="N23" s="123">
        <f t="shared" si="254"/>
        <v>7.5537631951358772</v>
      </c>
      <c r="O23" s="123">
        <f t="shared" si="254"/>
        <v>5.1085264871045544</v>
      </c>
      <c r="P23" s="123">
        <f t="shared" si="254"/>
        <v>7.6311755325400696</v>
      </c>
      <c r="Q23" s="123">
        <f t="shared" si="254"/>
        <v>13.538763027208638</v>
      </c>
      <c r="R23" s="123">
        <f ca="1">R19+10*R4</f>
        <v>14.147327872440846</v>
      </c>
      <c r="S23" s="123">
        <f t="shared" si="254"/>
        <v>5.9154049395579058</v>
      </c>
      <c r="T23" s="123">
        <f t="shared" si="254"/>
        <v>57.760553841417462</v>
      </c>
      <c r="U23" s="123">
        <f t="shared" si="254"/>
        <v>7.1615423197213026</v>
      </c>
      <c r="V23" s="123">
        <f t="shared" si="254"/>
        <v>13.358905520307061</v>
      </c>
      <c r="W23" s="123">
        <f t="shared" si="254"/>
        <v>16.233755374332652</v>
      </c>
      <c r="X23" s="123">
        <f t="shared" si="254"/>
        <v>4.4516798769416788</v>
      </c>
      <c r="Y23" s="123">
        <f t="shared" si="254"/>
        <v>21.84769414204807</v>
      </c>
      <c r="Z23" s="123">
        <f t="shared" si="254"/>
        <v>32.004517569466202</v>
      </c>
      <c r="AA23" s="123">
        <f t="shared" si="254"/>
        <v>8.5577511402758617</v>
      </c>
      <c r="AB23" s="123">
        <f t="shared" si="254"/>
        <v>4.9022489877632838</v>
      </c>
      <c r="AC23" s="123">
        <f t="shared" si="254"/>
        <v>7.7023932308254004</v>
      </c>
      <c r="AE23" s="112">
        <v>1100</v>
      </c>
      <c r="AF23" s="165">
        <f t="shared" si="48"/>
        <v>826.85</v>
      </c>
      <c r="AG23" s="165">
        <v>5</v>
      </c>
      <c r="AH23" s="91">
        <f t="shared" si="50"/>
        <v>0</v>
      </c>
      <c r="AI23" s="91">
        <f t="shared" si="51"/>
        <v>0</v>
      </c>
      <c r="AJ23" s="91"/>
      <c r="AK23" s="91">
        <f t="shared" si="52"/>
        <v>0</v>
      </c>
      <c r="AL23" s="91">
        <f t="shared" si="53"/>
        <v>0</v>
      </c>
      <c r="AM23" s="91"/>
      <c r="AN23" s="91" t="e">
        <f t="shared" si="54"/>
        <v>#NUM!</v>
      </c>
      <c r="AO23" s="91" t="e">
        <f t="shared" si="55"/>
        <v>#NUM!</v>
      </c>
      <c r="AP23" s="91">
        <f t="shared" si="56"/>
        <v>0</v>
      </c>
      <c r="AQ23" s="91"/>
      <c r="AR23" s="91" t="e">
        <f t="shared" ca="1" si="57"/>
        <v>#NUM!</v>
      </c>
      <c r="AS23" s="91" t="e">
        <f t="shared" ca="1" si="58"/>
        <v>#NUM!</v>
      </c>
      <c r="AT23" s="40" t="e">
        <f t="shared" ca="1" si="59"/>
        <v>#NUM!</v>
      </c>
      <c r="AV23" s="40">
        <f t="shared" si="60"/>
        <v>0</v>
      </c>
      <c r="AW23" s="40">
        <f t="shared" si="61"/>
        <v>0</v>
      </c>
      <c r="AX23" s="40">
        <f t="shared" si="62"/>
        <v>0</v>
      </c>
      <c r="AY23" s="40">
        <f t="shared" si="63"/>
        <v>0</v>
      </c>
      <c r="AZ23" s="40">
        <f t="shared" si="64"/>
        <v>0</v>
      </c>
      <c r="BA23" s="40"/>
      <c r="BB23" s="40">
        <f t="shared" si="65"/>
        <v>0</v>
      </c>
      <c r="BC23" s="40">
        <f t="shared" si="66"/>
        <v>0</v>
      </c>
      <c r="BD23" s="40">
        <f t="shared" si="67"/>
        <v>-273.14999999999998</v>
      </c>
      <c r="BE23" s="40" t="e">
        <f t="shared" si="68"/>
        <v>#NUM!</v>
      </c>
      <c r="BF23" s="40" t="e">
        <f t="shared" si="69"/>
        <v>#NUM!</v>
      </c>
      <c r="BG23" s="40" t="e">
        <f t="shared" si="70"/>
        <v>#NUM!</v>
      </c>
      <c r="BH23" s="40">
        <f t="shared" si="71"/>
        <v>916.53278802234342</v>
      </c>
      <c r="BI23" s="40">
        <f t="shared" si="72"/>
        <v>916.53278802234342</v>
      </c>
      <c r="BJ23" s="40">
        <f t="shared" si="73"/>
        <v>1009.9333010851902</v>
      </c>
      <c r="BK23" s="70">
        <f t="shared" si="74"/>
        <v>1.4438686306835922</v>
      </c>
      <c r="BL23" s="70">
        <f t="shared" si="75"/>
        <v>1.5292182770506344</v>
      </c>
      <c r="BM23" s="70">
        <f t="shared" si="76"/>
        <v>0.39747215326783625</v>
      </c>
      <c r="BN23" s="180">
        <f t="shared" si="27"/>
        <v>3.3903147324836715E-2</v>
      </c>
      <c r="BO23" s="180">
        <f t="shared" si="28"/>
        <v>4.5483900326195724E-2</v>
      </c>
      <c r="BP23" s="180">
        <f t="shared" si="29"/>
        <v>0.20367039979456494</v>
      </c>
      <c r="BQ23" s="70">
        <f t="shared" si="77"/>
        <v>5.5873705561401996</v>
      </c>
      <c r="BR23" s="40">
        <f t="shared" si="78"/>
        <v>7.7971184339042674</v>
      </c>
      <c r="BS23" s="53"/>
      <c r="BT23" s="70">
        <f t="shared" si="79"/>
        <v>0.41654690295751673</v>
      </c>
      <c r="BU23" s="70">
        <f t="shared" si="80"/>
        <v>0.33530806912599559</v>
      </c>
      <c r="BV23" s="70">
        <f t="shared" si="81"/>
        <v>0</v>
      </c>
      <c r="BW23" s="70">
        <f t="shared" si="82"/>
        <v>0</v>
      </c>
      <c r="BX23" s="180">
        <f t="shared" si="83"/>
        <v>0.31960112635098059</v>
      </c>
      <c r="BY23" s="70">
        <f t="shared" si="84"/>
        <v>7.1731593825327039E-2</v>
      </c>
      <c r="BZ23" s="70">
        <f t="shared" si="85"/>
        <v>1.1431876922598201</v>
      </c>
      <c r="CA23" s="70">
        <f t="shared" si="86"/>
        <v>0.59006707592698637</v>
      </c>
      <c r="CB23" s="53"/>
      <c r="CC23" s="40"/>
      <c r="CD23" s="40" t="e">
        <f t="shared" si="87"/>
        <v>#NUM!</v>
      </c>
      <c r="CE23" s="40" t="e">
        <f t="shared" si="88"/>
        <v>#NUM!</v>
      </c>
      <c r="CF23" s="40">
        <f t="shared" si="89"/>
        <v>-41.811957799338927</v>
      </c>
      <c r="CG23" s="40" t="e">
        <f t="shared" si="90"/>
        <v>#NUM!</v>
      </c>
      <c r="CH23" s="54" t="e">
        <f t="shared" si="91"/>
        <v>#DIV/0!</v>
      </c>
      <c r="CJ23" s="40">
        <f t="shared" si="92"/>
        <v>23.16022341074525</v>
      </c>
      <c r="CK23" s="40">
        <f t="shared" si="93"/>
        <v>27.443762328861272</v>
      </c>
      <c r="CL23" s="40" t="e">
        <f t="shared" si="94"/>
        <v>#NUM!</v>
      </c>
      <c r="CM23" s="2"/>
      <c r="CN23" s="1">
        <f t="shared" si="95"/>
        <v>1.0025012546742997</v>
      </c>
      <c r="CO23" s="1">
        <f t="shared" si="96"/>
        <v>2.2885393872555615E-2</v>
      </c>
      <c r="CP23" s="1">
        <f t="shared" si="97"/>
        <v>0.57760755345831394</v>
      </c>
      <c r="CQ23" s="1">
        <f t="shared" si="98"/>
        <v>0.10538469798176409</v>
      </c>
      <c r="CR23" s="1">
        <f t="shared" si="99"/>
        <v>5.9626038425365097E-3</v>
      </c>
      <c r="CS23" s="1">
        <f t="shared" si="100"/>
        <v>0.14918257517272809</v>
      </c>
      <c r="CT23" s="1">
        <f t="shared" si="101"/>
        <v>0.25051857651570358</v>
      </c>
      <c r="CU23" s="1">
        <f t="shared" si="102"/>
        <v>0.47946136546533125</v>
      </c>
      <c r="CV23" s="1">
        <f t="shared" si="103"/>
        <v>0.1603839482597112</v>
      </c>
      <c r="CW23" s="1">
        <f t="shared" si="104"/>
        <v>6.7218249783281045E-2</v>
      </c>
      <c r="CX23" s="1">
        <f t="shared" si="105"/>
        <v>0.10752905208000831</v>
      </c>
      <c r="CY23" s="1">
        <f t="shared" si="106"/>
        <v>2.9286352711062329</v>
      </c>
      <c r="DA23" s="1">
        <f t="shared" si="107"/>
        <v>0.34231003927492315</v>
      </c>
      <c r="DB23" s="1">
        <f t="shared" si="108"/>
        <v>7.81435438490472E-3</v>
      </c>
      <c r="DC23" s="1">
        <f t="shared" si="109"/>
        <v>0.19722754798351327</v>
      </c>
      <c r="DD23" s="1">
        <f t="shared" si="110"/>
        <v>3.5984234370692786E-2</v>
      </c>
      <c r="DE23" s="1">
        <f t="shared" si="111"/>
        <v>2.0359666843335722E-3</v>
      </c>
      <c r="DF23" s="1">
        <f t="shared" si="112"/>
        <v>5.0939281051674758E-2</v>
      </c>
      <c r="DG23" s="1">
        <f t="shared" si="113"/>
        <v>8.5541063780562629E-2</v>
      </c>
      <c r="DH23" s="1">
        <f t="shared" si="114"/>
        <v>0.16371494606913764</v>
      </c>
      <c r="DI23" s="1">
        <f t="shared" si="115"/>
        <v>5.4764056774857253E-2</v>
      </c>
      <c r="DJ23" s="1">
        <f t="shared" si="116"/>
        <v>2.2952072744070552E-2</v>
      </c>
      <c r="DK23" s="1">
        <f t="shared" si="117"/>
        <v>3.6716436881329841E-2</v>
      </c>
      <c r="DL23" s="1">
        <f t="shared" si="118"/>
        <v>1.0000000000000002</v>
      </c>
      <c r="DM23" s="156">
        <f t="shared" si="119"/>
        <v>58.602417083751355</v>
      </c>
      <c r="DN23" s="1">
        <f t="shared" si="120"/>
        <v>0.96132523540121895</v>
      </c>
      <c r="DO23" s="1">
        <f t="shared" si="121"/>
        <v>8.9655106482837782E-2</v>
      </c>
      <c r="DP23" s="1">
        <f t="shared" si="122"/>
        <v>0.13101975775352401</v>
      </c>
      <c r="DQ23" s="1">
        <f t="shared" si="123"/>
        <v>0.22595085313018679</v>
      </c>
      <c r="DR23" s="1">
        <f t="shared" si="124"/>
        <v>6.2754958617680059E-2</v>
      </c>
      <c r="DS23" s="1">
        <f t="shared" si="125"/>
        <v>0.54206722199184376</v>
      </c>
      <c r="DT23" s="1">
        <f t="shared" si="126"/>
        <v>0.57072042515284593</v>
      </c>
      <c r="DU23" s="1">
        <f t="shared" si="127"/>
        <v>0.13807523431806407</v>
      </c>
      <c r="DV23" s="1">
        <f t="shared" si="128"/>
        <v>5.2043069639509998E-2</v>
      </c>
      <c r="DW23" s="1">
        <f t="shared" si="129"/>
        <v>5.0674239766164343E-2</v>
      </c>
      <c r="DX23" s="1">
        <f t="shared" si="130"/>
        <v>2.8242861022538754</v>
      </c>
      <c r="DZ23" s="1">
        <f t="shared" si="131"/>
        <v>1.9226504708024379</v>
      </c>
      <c r="EA23" s="1">
        <f t="shared" si="132"/>
        <v>0.17931021296567556</v>
      </c>
      <c r="EB23" s="1">
        <f t="shared" si="133"/>
        <v>0.393059273260572</v>
      </c>
      <c r="EC23" s="1">
        <f t="shared" si="134"/>
        <v>0.22595085313018679</v>
      </c>
      <c r="ED23" s="1">
        <f t="shared" si="135"/>
        <v>6.2754958617680059E-2</v>
      </c>
      <c r="EE23" s="1">
        <f t="shared" si="136"/>
        <v>0.54206722199184376</v>
      </c>
      <c r="EF23" s="1">
        <f t="shared" si="137"/>
        <v>0.57072042515284593</v>
      </c>
      <c r="EG23" s="1">
        <f t="shared" si="138"/>
        <v>0.13807523431806407</v>
      </c>
      <c r="EH23" s="1">
        <f t="shared" si="139"/>
        <v>5.2043069639509998E-2</v>
      </c>
      <c r="EI23" s="1">
        <f t="shared" si="140"/>
        <v>0.15202271929849304</v>
      </c>
      <c r="EJ23" s="1">
        <f t="shared" si="141"/>
        <v>4.2386544391773082</v>
      </c>
      <c r="EK23" s="1">
        <f t="shared" si="142"/>
        <v>1.4155435613110645</v>
      </c>
      <c r="EM23" s="1">
        <f t="shared" si="143"/>
        <v>1.3607977472980388</v>
      </c>
      <c r="EN23" s="1">
        <f t="shared" si="144"/>
        <v>0.12691070872043891</v>
      </c>
      <c r="EO23" s="1">
        <f t="shared" si="145"/>
        <v>0.63920225270196118</v>
      </c>
      <c r="EP23" s="1">
        <f t="shared" si="146"/>
        <v>0</v>
      </c>
      <c r="EQ23" s="1">
        <f t="shared" si="147"/>
        <v>0.37092834898507265</v>
      </c>
      <c r="ER23" s="1">
        <f t="shared" si="148"/>
        <v>0.3198432753211779</v>
      </c>
      <c r="ES23" s="1">
        <f t="shared" si="149"/>
        <v>8.8832377611599303E-2</v>
      </c>
      <c r="ET23" s="1">
        <f t="shared" si="150"/>
        <v>0.76731976588832995</v>
      </c>
      <c r="EU23" s="1">
        <f t="shared" si="151"/>
        <v>0.80787962313382433</v>
      </c>
      <c r="EV23" s="1">
        <f t="shared" si="152"/>
        <v>0.39090301783090425</v>
      </c>
      <c r="EW23" s="1">
        <f t="shared" si="153"/>
        <v>0.14733846427814346</v>
      </c>
      <c r="EX23" s="1">
        <f t="shared" si="154"/>
        <v>0.14346318765065408</v>
      </c>
      <c r="EY23" s="1">
        <f t="shared" si="155"/>
        <v>4.5242165167181838</v>
      </c>
      <c r="EZ23" s="1">
        <f t="shared" si="156"/>
        <v>0.63282066544133353</v>
      </c>
      <c r="FA23" s="1">
        <f t="shared" si="157"/>
        <v>1.3904281940028227</v>
      </c>
      <c r="FB23" s="1">
        <f t="shared" si="158"/>
        <v>0</v>
      </c>
      <c r="FC23" s="1">
        <f t="shared" si="159"/>
        <v>0</v>
      </c>
      <c r="FD23" s="1">
        <f t="shared" si="160"/>
        <v>0.31960112635098059</v>
      </c>
      <c r="FE23" s="1">
        <f t="shared" si="161"/>
        <v>7.1731593825327039E-2</v>
      </c>
      <c r="FF23" s="2">
        <f t="shared" si="162"/>
        <v>0.41654690295751673</v>
      </c>
      <c r="FG23" s="1">
        <f t="shared" si="163"/>
        <v>0.33530806912599559</v>
      </c>
      <c r="FH23" s="1">
        <f t="shared" si="164"/>
        <v>1.1431876922598199</v>
      </c>
      <c r="FI23" s="1">
        <f t="shared" si="165"/>
        <v>0.41654690295751673</v>
      </c>
      <c r="FJ23" s="1" t="e">
        <f t="shared" si="166"/>
        <v>#NUM!</v>
      </c>
      <c r="FK23" s="1" t="e">
        <f t="shared" si="167"/>
        <v>#NUM!</v>
      </c>
      <c r="FL23" s="1" t="e">
        <f t="shared" si="168"/>
        <v>#NUM!</v>
      </c>
      <c r="FM23" s="1">
        <f t="shared" si="169"/>
        <v>0.58602417083751357</v>
      </c>
      <c r="FN23" s="67">
        <f t="shared" si="170"/>
        <v>0</v>
      </c>
      <c r="FO23" s="67">
        <f t="shared" si="171"/>
        <v>0</v>
      </c>
      <c r="FP23" s="1">
        <f t="shared" si="172"/>
        <v>0</v>
      </c>
      <c r="FQ23" s="2" t="e">
        <f t="shared" si="173"/>
        <v>#NUM!</v>
      </c>
      <c r="FR23" s="2">
        <f t="shared" si="174"/>
        <v>6.8205978418960802</v>
      </c>
      <c r="FS23" s="1" t="e">
        <f t="shared" si="175"/>
        <v>#NUM!</v>
      </c>
      <c r="FT23" s="1">
        <f t="shared" si="176"/>
        <v>-0.16395185331133094</v>
      </c>
      <c r="FU23" s="2">
        <f t="shared" si="177"/>
        <v>70.580008407447252</v>
      </c>
      <c r="FV23" s="2" t="e">
        <f t="shared" si="178"/>
        <v>#NUM!</v>
      </c>
      <c r="FW23" s="2" t="e">
        <f t="shared" si="179"/>
        <v>#DIV/0!</v>
      </c>
      <c r="FX23" s="2">
        <f t="shared" si="180"/>
        <v>0.59006707592698637</v>
      </c>
      <c r="FY23" s="1">
        <f t="shared" si="181"/>
        <v>1.287615018576328</v>
      </c>
      <c r="FZ23" s="1">
        <f t="shared" si="182"/>
        <v>0.90319456181242652</v>
      </c>
      <c r="GA23" s="1">
        <f t="shared" si="183"/>
        <v>0.17474649524008229</v>
      </c>
      <c r="GB23" s="1">
        <f t="shared" si="184"/>
        <v>0.87308929127956114</v>
      </c>
      <c r="GC23" s="1">
        <f t="shared" si="185"/>
        <v>-0.41874691551138682</v>
      </c>
      <c r="GD23" s="1">
        <f t="shared" si="186"/>
        <v>-0.31297739012015563</v>
      </c>
      <c r="GE23" s="1">
        <f t="shared" si="187"/>
        <v>0.82525350475991766</v>
      </c>
      <c r="GF23" s="1">
        <f t="shared" si="188"/>
        <v>-0.41624625240443303</v>
      </c>
      <c r="GG23" s="1">
        <f t="shared" si="189"/>
        <v>-9.0016997873379218E-2</v>
      </c>
      <c r="GH23" s="1">
        <f t="shared" si="190"/>
        <v>0.45475983973865647</v>
      </c>
      <c r="GI23" s="1">
        <f t="shared" si="191"/>
        <v>0.45475983973865647</v>
      </c>
      <c r="GJ23" s="1">
        <f t="shared" si="192"/>
        <v>-0.7677372298588121</v>
      </c>
      <c r="GK23" s="1">
        <f t="shared" si="193"/>
        <v>-0.74237485831498451</v>
      </c>
      <c r="GL23" s="1">
        <f t="shared" si="194"/>
        <v>1.5096946242033145</v>
      </c>
      <c r="GM23" s="1">
        <f t="shared" si="195"/>
        <v>0.37292614027935295</v>
      </c>
      <c r="GN23" s="1">
        <f t="shared" si="196"/>
        <v>0.39090301783090425</v>
      </c>
      <c r="GO23" s="1">
        <f t="shared" si="197"/>
        <v>413.24444640927294</v>
      </c>
      <c r="GP23" s="1">
        <f t="shared" si="198"/>
        <v>11.699327700423792</v>
      </c>
      <c r="GQ23" s="1">
        <f t="shared" si="199"/>
        <v>4.3204091828467233</v>
      </c>
      <c r="GR23" s="1">
        <f t="shared" si="200"/>
        <v>1.7767682764457149E-5</v>
      </c>
      <c r="GS23" s="1">
        <f t="shared" si="201"/>
        <v>3660.7459663759068</v>
      </c>
      <c r="GT23" s="1">
        <f t="shared" si="202"/>
        <v>-0.18446349567912249</v>
      </c>
      <c r="GU23" s="2">
        <f t="shared" si="203"/>
        <v>-19.465380374295986</v>
      </c>
      <c r="GV23" s="4">
        <f t="shared" ca="1" si="204"/>
        <v>51.314219646664277</v>
      </c>
      <c r="GW23" s="4">
        <f t="shared" ca="1" si="205"/>
        <v>60.760976342682717</v>
      </c>
      <c r="GX23" s="4">
        <f t="shared" si="206"/>
        <v>22.412007207155487</v>
      </c>
      <c r="GY23" s="4">
        <f t="shared" si="207"/>
        <v>7.7818944528469913</v>
      </c>
      <c r="GZ23" s="4">
        <f t="shared" ca="1" si="208"/>
        <v>60.760976342682717</v>
      </c>
      <c r="HA23" s="1">
        <f t="shared" si="209"/>
        <v>413.24444640927294</v>
      </c>
      <c r="HB23" s="1">
        <f t="shared" si="210"/>
        <v>11.699327700423792</v>
      </c>
      <c r="HC23" s="4">
        <f t="shared" si="211"/>
        <v>36.814597220924156</v>
      </c>
      <c r="HD23" s="4"/>
      <c r="HE23" s="7">
        <f t="shared" si="212"/>
        <v>-0.22414501250855634</v>
      </c>
      <c r="HF23" s="7">
        <f t="shared" si="213"/>
        <v>0.76731976588832995</v>
      </c>
      <c r="HG23" s="7">
        <f t="shared" si="214"/>
        <v>0.39090301783090425</v>
      </c>
      <c r="HH23" s="7">
        <f t="shared" si="215"/>
        <v>0</v>
      </c>
      <c r="HI23" s="7">
        <f t="shared" si="216"/>
        <v>0.24191764761042928</v>
      </c>
      <c r="HJ23" s="7">
        <f t="shared" si="217"/>
        <v>0</v>
      </c>
      <c r="HK23" s="7">
        <f t="shared" si="218"/>
        <v>0</v>
      </c>
      <c r="HL23" s="7">
        <f t="shared" si="219"/>
        <v>0</v>
      </c>
      <c r="HM23" s="7">
        <f t="shared" si="220"/>
        <v>0.39728460509153191</v>
      </c>
      <c r="HN23" s="7">
        <f t="shared" si="221"/>
        <v>-0.41265727303021388</v>
      </c>
      <c r="HO23" s="7">
        <f t="shared" si="222"/>
        <v>0.23828331413618301</v>
      </c>
      <c r="HP23" s="7">
        <f t="shared" si="223"/>
        <v>-6.9605943704319884E-2</v>
      </c>
      <c r="HQ23" s="7">
        <f t="shared" si="224"/>
        <v>-0.28081174351097754</v>
      </c>
      <c r="HR23" s="7">
        <f t="shared" si="225"/>
        <v>8.2029102546248983E-2</v>
      </c>
      <c r="HS23" s="7">
        <f t="shared" si="226"/>
        <v>0.39090301783090425</v>
      </c>
      <c r="HT23" s="7"/>
      <c r="HU23" s="16">
        <f t="shared" si="227"/>
        <v>-8.919842263391603E-7</v>
      </c>
      <c r="HV23" s="16">
        <f t="shared" si="228"/>
        <v>2.4240585307493568E-12</v>
      </c>
      <c r="HW23" s="16">
        <f t="shared" si="229"/>
        <v>2.3090774020379506E-5</v>
      </c>
      <c r="HX23" s="16">
        <f t="shared" si="230"/>
        <v>4.3047866152454145E-9</v>
      </c>
      <c r="HY23" s="7">
        <f t="shared" si="231"/>
        <v>4.3204091828467233</v>
      </c>
      <c r="HZ23" s="7">
        <f t="shared" ca="1" si="232"/>
        <v>410.53868241937516</v>
      </c>
      <c r="IA23" s="7">
        <f t="shared" ca="1" si="233"/>
        <v>51.314219646664277</v>
      </c>
      <c r="IB23" s="7">
        <f t="shared" ca="1" si="234"/>
        <v>410.53520133430203</v>
      </c>
      <c r="IC23" s="7">
        <f t="shared" ca="1" si="235"/>
        <v>60.760976342682717</v>
      </c>
      <c r="ID23" s="7">
        <f t="shared" ca="1" si="236"/>
        <v>60.760976342682717</v>
      </c>
      <c r="IE23" s="7"/>
      <c r="IF23" s="2">
        <f t="shared" si="237"/>
        <v>-0.16395185331133094</v>
      </c>
      <c r="IG23" s="17">
        <f t="shared" si="238"/>
        <v>-298.14999999999998</v>
      </c>
      <c r="IH23" s="17"/>
      <c r="II23" s="7">
        <f t="shared" si="239"/>
        <v>2.0685793445007365</v>
      </c>
      <c r="IJ23" s="17">
        <f t="shared" si="240"/>
        <v>3660.7459663759068</v>
      </c>
      <c r="IK23" s="16">
        <f t="shared" si="241"/>
        <v>9.847563140571328E-7</v>
      </c>
      <c r="IM23" s="1">
        <f t="shared" si="242"/>
        <v>1</v>
      </c>
      <c r="IN23" s="166">
        <f t="shared" si="243"/>
        <v>0.40490896607555832</v>
      </c>
      <c r="IO23" s="166">
        <f t="shared" si="244"/>
        <v>0.16877893112343706</v>
      </c>
      <c r="IP23" s="166">
        <f t="shared" si="245"/>
        <v>0.42631210280100462</v>
      </c>
      <c r="IR23" s="167">
        <f t="shared" si="246"/>
        <v>0.44102052994626278</v>
      </c>
      <c r="IS23" s="167">
        <f t="shared" si="247"/>
        <v>0.42631210280100462</v>
      </c>
      <c r="IU23" s="169">
        <v>0.1</v>
      </c>
      <c r="IV23" s="169">
        <v>0.9</v>
      </c>
      <c r="IW23" s="169">
        <v>0</v>
      </c>
      <c r="IX23" s="169"/>
      <c r="IY23" s="167">
        <f t="shared" si="248"/>
        <v>1.0392304845413263</v>
      </c>
      <c r="IZ23" s="167">
        <f t="shared" si="249"/>
        <v>0</v>
      </c>
    </row>
    <row r="24" spans="1:260">
      <c r="A24" s="139" t="s">
        <v>201</v>
      </c>
      <c r="B24" s="139" t="s">
        <v>202</v>
      </c>
      <c r="C24" s="78">
        <f t="shared" si="43"/>
        <v>1.9597546737510596</v>
      </c>
      <c r="D24" s="133">
        <f t="shared" ca="1" si="44"/>
        <v>1146.5552808452744</v>
      </c>
      <c r="E24" s="15">
        <f t="shared" ca="1" si="45"/>
        <v>-1.3643425634650042E-2</v>
      </c>
      <c r="F24" s="123">
        <f>F15*(1+F3/10)</f>
        <v>53.694789381790002</v>
      </c>
      <c r="G24" s="123">
        <f t="shared" ref="G24:AC25" si="255">G15*(1+G3/10)</f>
        <v>0.94633465343140133</v>
      </c>
      <c r="H24" s="123">
        <f t="shared" si="255"/>
        <v>18.780758311425071</v>
      </c>
      <c r="I24" s="123">
        <f t="shared" si="255"/>
        <v>9.6021150744421302</v>
      </c>
      <c r="J24" s="123">
        <f t="shared" si="255"/>
        <v>0.19597546737510596</v>
      </c>
      <c r="K24" s="123">
        <f t="shared" si="255"/>
        <v>6.1331899541426687</v>
      </c>
      <c r="L24" s="123">
        <f t="shared" si="255"/>
        <v>12.361974218326326</v>
      </c>
      <c r="M24" s="123">
        <f t="shared" si="255"/>
        <v>3.7431402572058516</v>
      </c>
      <c r="N24" s="123">
        <f t="shared" si="255"/>
        <v>0.17528322180493475</v>
      </c>
      <c r="O24" s="123">
        <f t="shared" si="255"/>
        <v>0</v>
      </c>
      <c r="P24" s="123">
        <f t="shared" si="255"/>
        <v>0.15318331772525651</v>
      </c>
      <c r="Q24" s="123">
        <f t="shared" si="255"/>
        <v>3.8166137325352434</v>
      </c>
      <c r="R24" s="123">
        <f t="shared" ca="1" si="255"/>
        <v>-0.22062718832665495</v>
      </c>
      <c r="S24" s="123">
        <f t="shared" si="255"/>
        <v>0</v>
      </c>
      <c r="T24" s="123">
        <f t="shared" si="255"/>
        <v>52.592172135234257</v>
      </c>
      <c r="U24" s="123">
        <f t="shared" si="255"/>
        <v>0.54264915109252321</v>
      </c>
      <c r="V24" s="123">
        <f t="shared" si="255"/>
        <v>3.7655031761187518</v>
      </c>
      <c r="W24" s="123">
        <f t="shared" si="255"/>
        <v>5.2160187705205017</v>
      </c>
      <c r="X24" s="123">
        <f t="shared" si="255"/>
        <v>9.8289275523319924E-2</v>
      </c>
      <c r="Y24" s="123">
        <f t="shared" si="255"/>
        <v>16.745456395797962</v>
      </c>
      <c r="Z24" s="123">
        <f t="shared" si="255"/>
        <v>24.293327713353897</v>
      </c>
      <c r="AA24" s="123">
        <f t="shared" si="255"/>
        <v>0.24983419181621633</v>
      </c>
      <c r="AB24" s="123">
        <f t="shared" si="255"/>
        <v>0</v>
      </c>
      <c r="AC24" s="123">
        <f t="shared" si="255"/>
        <v>0.70898108373212465</v>
      </c>
      <c r="AE24" s="112">
        <f t="shared" ca="1" si="47"/>
        <v>1339.8983273180088</v>
      </c>
      <c r="AF24" s="165">
        <f t="shared" ca="1" si="48"/>
        <v>1066.7483273180087</v>
      </c>
      <c r="AG24" s="165">
        <f ca="1">-26.2712+39.16138*AE24*FJ24/10^4-4.21676*LN(FI24)+78.43463*DC24+393.8126*(DH24+DI24)^2</f>
        <v>1.0175764724092256</v>
      </c>
      <c r="AH24" s="91">
        <f t="shared" ca="1" si="50"/>
        <v>1424.0092799339895</v>
      </c>
      <c r="AI24" s="91">
        <f t="shared" ca="1" si="51"/>
        <v>2.4009632745214899</v>
      </c>
      <c r="AJ24" s="91"/>
      <c r="AK24" s="91">
        <f t="shared" ca="1" si="52"/>
        <v>1419.7052808452745</v>
      </c>
      <c r="AL24" s="91">
        <f t="shared" ca="1" si="53"/>
        <v>0.46202157280341272</v>
      </c>
      <c r="AM24" s="91"/>
      <c r="AN24" s="91">
        <f t="shared" ca="1" si="54"/>
        <v>1329.9593522674597</v>
      </c>
      <c r="AO24" s="91">
        <f t="shared" ca="1" si="55"/>
        <v>1056.8093522674599</v>
      </c>
      <c r="AP24" s="91">
        <f t="shared" ca="1" si="56"/>
        <v>-1.0481253065365665</v>
      </c>
      <c r="AQ24" s="91"/>
      <c r="AR24" s="91">
        <f t="shared" ca="1" si="57"/>
        <v>1359.6610092650437</v>
      </c>
      <c r="AS24" s="91">
        <f t="shared" ca="1" si="58"/>
        <v>1086.5110092650439</v>
      </c>
      <c r="AT24" s="40">
        <f t="shared" ca="1" si="59"/>
        <v>4.1122165849608372E-2</v>
      </c>
      <c r="AV24" s="40">
        <f t="shared" si="60"/>
        <v>1414.1742928816857</v>
      </c>
      <c r="AW24" s="40">
        <f t="shared" si="61"/>
        <v>1141.0242928816856</v>
      </c>
      <c r="AX24" s="40">
        <f t="shared" ca="1" si="62"/>
        <v>1424.0092799339895</v>
      </c>
      <c r="AY24" s="40">
        <f t="shared" ca="1" si="63"/>
        <v>1150.8592799339895</v>
      </c>
      <c r="AZ24" s="40">
        <f t="shared" ca="1" si="64"/>
        <v>2.4009632745214899</v>
      </c>
      <c r="BA24" s="40"/>
      <c r="BB24" s="40">
        <f t="shared" ca="1" si="65"/>
        <v>1419.7052808452745</v>
      </c>
      <c r="BC24" s="40">
        <f t="shared" ca="1" si="66"/>
        <v>0.46202157280341272</v>
      </c>
      <c r="BD24" s="40">
        <f t="shared" ca="1" si="67"/>
        <v>1146.5552808452744</v>
      </c>
      <c r="BE24" s="40">
        <f t="shared" ca="1" si="68"/>
        <v>4.9995106483207268</v>
      </c>
      <c r="BF24" s="40">
        <f t="shared" ca="1" si="69"/>
        <v>5.1226334632283912</v>
      </c>
      <c r="BG24" s="40">
        <f t="shared" ca="1" si="70"/>
        <v>1073.0526062663712</v>
      </c>
      <c r="BH24" s="40">
        <f t="shared" ca="1" si="71"/>
        <v>1106.6381195030817</v>
      </c>
      <c r="BI24" s="40">
        <f t="shared" ca="1" si="72"/>
        <v>1106.6381195030817</v>
      </c>
      <c r="BJ24" s="40">
        <f t="shared" ca="1" si="73"/>
        <v>1159.7814495177727</v>
      </c>
      <c r="BK24" s="70">
        <f t="shared" ca="1" si="74"/>
        <v>1.0162826312284423</v>
      </c>
      <c r="BL24" s="70">
        <f t="shared" ca="1" si="75"/>
        <v>0.82944695808249513</v>
      </c>
      <c r="BM24" s="70">
        <f t="shared" ca="1" si="76"/>
        <v>7.8056849999703151E-2</v>
      </c>
      <c r="BN24" s="180">
        <f t="shared" ca="1" si="27"/>
        <v>1.0627838125232329E-2</v>
      </c>
      <c r="BO24" s="180">
        <f t="shared" ca="1" si="28"/>
        <v>1.6306904645838959E-2</v>
      </c>
      <c r="BP24" s="180">
        <f t="shared" ca="1" si="29"/>
        <v>5.0798958913637927E-2</v>
      </c>
      <c r="BQ24" s="70">
        <f t="shared" si="77"/>
        <v>0</v>
      </c>
      <c r="BR24" s="40">
        <f t="shared" ca="1" si="78"/>
        <v>0.9852375097669076</v>
      </c>
      <c r="BS24" s="53"/>
      <c r="BT24" s="70">
        <f t="shared" si="79"/>
        <v>0.84309038371714518</v>
      </c>
      <c r="BU24" s="70">
        <f t="shared" si="80"/>
        <v>9.8478110032048038E-2</v>
      </c>
      <c r="BV24" s="70">
        <f t="shared" si="81"/>
        <v>5.4208194622326136E-3</v>
      </c>
      <c r="BW24" s="70">
        <f t="shared" si="82"/>
        <v>1.7179278760965859E-2</v>
      </c>
      <c r="BX24" s="180">
        <f t="shared" si="83"/>
        <v>6.4686119955090049E-2</v>
      </c>
      <c r="BY24" s="70">
        <f t="shared" si="84"/>
        <v>9.9394676266275472E-3</v>
      </c>
      <c r="BZ24" s="70">
        <f t="shared" si="85"/>
        <v>1.0387941795541094</v>
      </c>
      <c r="CA24" s="70">
        <f t="shared" si="86"/>
        <v>0.19895811892106169</v>
      </c>
      <c r="CB24" s="53"/>
      <c r="CC24" s="40"/>
      <c r="CD24" s="40">
        <f t="shared" ca="1" si="87"/>
        <v>-1.0807177207411769</v>
      </c>
      <c r="CE24" s="40">
        <f t="shared" ca="1" si="88"/>
        <v>1.1211644289025742</v>
      </c>
      <c r="CF24" s="40">
        <f t="shared" ca="1" si="89"/>
        <v>6.5530464595634674</v>
      </c>
      <c r="CG24" s="40">
        <f t="shared" ca="1" si="90"/>
        <v>1145.7614452146518</v>
      </c>
      <c r="CH24" s="54">
        <f t="shared" ca="1" si="91"/>
        <v>0.2687012652601139</v>
      </c>
      <c r="CJ24" s="40">
        <f t="shared" si="92"/>
        <v>-0.20833751456177854</v>
      </c>
      <c r="CK24" s="40">
        <f t="shared" si="93"/>
        <v>-0.54234340062882092</v>
      </c>
      <c r="CL24" s="40">
        <f t="shared" ca="1" si="94"/>
        <v>760.00083265001592</v>
      </c>
      <c r="CM24" s="2"/>
      <c r="CN24" s="1">
        <f t="shared" si="95"/>
        <v>0.89365756748085612</v>
      </c>
      <c r="CO24" s="1">
        <f t="shared" si="96"/>
        <v>1.1847131572224437E-2</v>
      </c>
      <c r="CP24" s="1">
        <f t="shared" si="97"/>
        <v>0.36839101835849142</v>
      </c>
      <c r="CQ24" s="1">
        <f t="shared" si="98"/>
        <v>0.1336478247266687</v>
      </c>
      <c r="CR24" s="1">
        <f t="shared" si="99"/>
        <v>2.7626497603539168E-3</v>
      </c>
      <c r="CS24" s="1">
        <f t="shared" si="100"/>
        <v>0.15217172204877552</v>
      </c>
      <c r="CT24" s="1">
        <f t="shared" si="101"/>
        <v>0.22044485333354125</v>
      </c>
      <c r="CU24" s="1">
        <f t="shared" si="102"/>
        <v>0.12078756664625707</v>
      </c>
      <c r="CV24" s="1">
        <f t="shared" si="103"/>
        <v>3.7216701729358942E-3</v>
      </c>
      <c r="CW24" s="1">
        <f t="shared" si="104"/>
        <v>0</v>
      </c>
      <c r="CX24" s="1">
        <f t="shared" si="105"/>
        <v>2.1584691479354431E-3</v>
      </c>
      <c r="CY24" s="1">
        <f t="shared" si="106"/>
        <v>1.9095904732480395</v>
      </c>
      <c r="DA24" s="1">
        <f t="shared" si="107"/>
        <v>0.46798388450316575</v>
      </c>
      <c r="DB24" s="1">
        <f t="shared" si="108"/>
        <v>6.2040169021547039E-3</v>
      </c>
      <c r="DC24" s="1">
        <f t="shared" si="109"/>
        <v>0.19291624226208662</v>
      </c>
      <c r="DD24" s="1">
        <f t="shared" si="110"/>
        <v>6.9987689297248065E-2</v>
      </c>
      <c r="DE24" s="1">
        <f t="shared" si="111"/>
        <v>1.4467236818870913E-3</v>
      </c>
      <c r="DF24" s="1">
        <f t="shared" si="112"/>
        <v>7.968814475176203E-2</v>
      </c>
      <c r="DG24" s="1">
        <f t="shared" si="113"/>
        <v>0.11544090548304037</v>
      </c>
      <c r="DH24" s="1">
        <f t="shared" si="114"/>
        <v>6.3253125912808114E-2</v>
      </c>
      <c r="DI24" s="1">
        <f t="shared" si="115"/>
        <v>1.9489362903060948E-3</v>
      </c>
      <c r="DJ24" s="1">
        <f t="shared" si="116"/>
        <v>0</v>
      </c>
      <c r="DK24" s="1">
        <f t="shared" si="117"/>
        <v>1.1303309155413221E-3</v>
      </c>
      <c r="DL24" s="1">
        <f t="shared" si="118"/>
        <v>1.0000000000000002</v>
      </c>
      <c r="DM24" s="156">
        <f t="shared" si="119"/>
        <v>53.240488191078882</v>
      </c>
      <c r="DN24" s="1">
        <f t="shared" si="120"/>
        <v>0.87530639676644739</v>
      </c>
      <c r="DO24" s="1">
        <f t="shared" si="121"/>
        <v>6.793406399351558E-3</v>
      </c>
      <c r="DP24" s="1">
        <f t="shared" si="122"/>
        <v>3.6930818412125734E-2</v>
      </c>
      <c r="DQ24" s="1">
        <f t="shared" si="123"/>
        <v>7.2599584259204375E-2</v>
      </c>
      <c r="DR24" s="1">
        <f t="shared" si="124"/>
        <v>1.3855756901965804E-3</v>
      </c>
      <c r="DS24" s="1">
        <f t="shared" si="125"/>
        <v>0.41547464782500076</v>
      </c>
      <c r="DT24" s="1">
        <f t="shared" si="126"/>
        <v>0.43321066442727191</v>
      </c>
      <c r="DU24" s="1">
        <f t="shared" si="127"/>
        <v>4.0309555641712957E-3</v>
      </c>
      <c r="DV24" s="1">
        <f t="shared" si="128"/>
        <v>0</v>
      </c>
      <c r="DW24" s="1">
        <f t="shared" si="129"/>
        <v>4.6644044714485083E-3</v>
      </c>
      <c r="DX24" s="1">
        <f t="shared" si="130"/>
        <v>1.8503964538152184</v>
      </c>
      <c r="DZ24" s="1">
        <f t="shared" si="131"/>
        <v>1.7506127935328948</v>
      </c>
      <c r="EA24" s="1">
        <f t="shared" si="132"/>
        <v>1.3586812798703116E-2</v>
      </c>
      <c r="EB24" s="1">
        <f t="shared" si="133"/>
        <v>0.11079245523637721</v>
      </c>
      <c r="EC24" s="1">
        <f t="shared" si="134"/>
        <v>7.2599584259204375E-2</v>
      </c>
      <c r="ED24" s="1">
        <f t="shared" si="135"/>
        <v>1.3855756901965804E-3</v>
      </c>
      <c r="EE24" s="1">
        <f t="shared" si="136"/>
        <v>0.41547464782500076</v>
      </c>
      <c r="EF24" s="1">
        <f t="shared" si="137"/>
        <v>0.43321066442727191</v>
      </c>
      <c r="EG24" s="1">
        <f t="shared" si="138"/>
        <v>4.0309555641712957E-3</v>
      </c>
      <c r="EH24" s="1">
        <f t="shared" si="139"/>
        <v>0</v>
      </c>
      <c r="EI24" s="1">
        <f t="shared" si="140"/>
        <v>1.3993213414345524E-2</v>
      </c>
      <c r="EJ24" s="1">
        <f t="shared" si="141"/>
        <v>2.8156867027481653</v>
      </c>
      <c r="EK24" s="1">
        <f t="shared" si="142"/>
        <v>2.1309188959637742</v>
      </c>
      <c r="EM24" s="1">
        <f t="shared" si="143"/>
        <v>1.8652069406275873</v>
      </c>
      <c r="EN24" s="1">
        <f t="shared" si="144"/>
        <v>1.447619806433946E-2</v>
      </c>
      <c r="EO24" s="1">
        <f t="shared" si="145"/>
        <v>0.1347930593724127</v>
      </c>
      <c r="EP24" s="1">
        <f t="shared" si="146"/>
        <v>2.2600098223198473E-2</v>
      </c>
      <c r="EQ24" s="1">
        <f t="shared" si="147"/>
        <v>0.15739315759561118</v>
      </c>
      <c r="ER24" s="1">
        <f t="shared" si="148"/>
        <v>0.15470382593705279</v>
      </c>
      <c r="ES24" s="1">
        <f t="shared" si="149"/>
        <v>2.9525494200279417E-3</v>
      </c>
      <c r="ET24" s="1">
        <f t="shared" si="150"/>
        <v>0.88534277784418847</v>
      </c>
      <c r="EU24" s="1">
        <f t="shared" si="151"/>
        <v>0.92313679076109534</v>
      </c>
      <c r="EV24" s="1">
        <f t="shared" si="152"/>
        <v>1.7179278760965859E-2</v>
      </c>
      <c r="EW24" s="1">
        <f t="shared" si="153"/>
        <v>0</v>
      </c>
      <c r="EX24" s="1">
        <f t="shared" si="154"/>
        <v>1.9878935253255094E-2</v>
      </c>
      <c r="EY24" s="1">
        <f t="shared" si="155"/>
        <v>4.0402704542641228</v>
      </c>
      <c r="EZ24" s="1">
        <f t="shared" si="156"/>
        <v>8.054090852824608E-2</v>
      </c>
      <c r="FA24" s="1">
        <f t="shared" si="157"/>
        <v>0.1196072036859448</v>
      </c>
      <c r="FB24" s="1">
        <f t="shared" si="158"/>
        <v>1.7179278760965859E-2</v>
      </c>
      <c r="FC24" s="1">
        <f t="shared" si="159"/>
        <v>5.4208194622326136E-3</v>
      </c>
      <c r="FD24" s="1">
        <f t="shared" si="160"/>
        <v>6.4686119955090049E-2</v>
      </c>
      <c r="FE24" s="1">
        <f t="shared" si="161"/>
        <v>9.9394676266275472E-3</v>
      </c>
      <c r="FF24" s="2">
        <f t="shared" si="162"/>
        <v>0.84309038371714518</v>
      </c>
      <c r="FG24" s="1">
        <f t="shared" si="163"/>
        <v>9.8478110032048038E-2</v>
      </c>
      <c r="FH24" s="1">
        <f t="shared" si="164"/>
        <v>1.0387941795541094</v>
      </c>
      <c r="FI24" s="1">
        <f t="shared" si="165"/>
        <v>0.84309038371714506</v>
      </c>
      <c r="FJ24" s="1">
        <f t="shared" si="166"/>
        <v>1.8607013855735266</v>
      </c>
      <c r="FK24" s="1">
        <f t="shared" si="167"/>
        <v>-3.545540291983142</v>
      </c>
      <c r="FL24" s="1">
        <f t="shared" si="168"/>
        <v>-3.545540291983142</v>
      </c>
      <c r="FM24" s="1">
        <f t="shared" si="169"/>
        <v>0.53240488191078883</v>
      </c>
      <c r="FN24" s="67">
        <f t="shared" ca="1" si="170"/>
        <v>1424.0092799339895</v>
      </c>
      <c r="FO24" s="67">
        <f t="shared" ca="1" si="171"/>
        <v>2.4009632745214899</v>
      </c>
      <c r="FP24" s="1">
        <f t="shared" ca="1" si="172"/>
        <v>0.14240092799339896</v>
      </c>
      <c r="FQ24" s="2">
        <f t="shared" ca="1" si="173"/>
        <v>0.95495258651019299</v>
      </c>
      <c r="FR24" s="2">
        <f t="shared" ca="1" si="174"/>
        <v>5.7600719420577127</v>
      </c>
      <c r="FS24" s="1">
        <f t="shared" ca="1" si="175"/>
        <v>1.3592099474786923</v>
      </c>
      <c r="FT24" s="1">
        <f t="shared" si="176"/>
        <v>5.3881119405688273E-2</v>
      </c>
      <c r="FU24" s="2">
        <f t="shared" si="177"/>
        <v>85.125298676558884</v>
      </c>
      <c r="FV24" s="2">
        <f t="shared" ca="1" si="178"/>
        <v>7.0265382459322101</v>
      </c>
      <c r="FW24" s="2">
        <f t="shared" ca="1" si="179"/>
        <v>0.2677197155353167</v>
      </c>
      <c r="FX24" s="2">
        <f t="shared" si="180"/>
        <v>0.19895811892106169</v>
      </c>
      <c r="FY24" s="1">
        <f t="shared" si="181"/>
        <v>0.94326861894208913</v>
      </c>
      <c r="FZ24" s="1">
        <f t="shared" si="182"/>
        <v>0.1374961400690391</v>
      </c>
      <c r="GA24" s="1">
        <f t="shared" si="183"/>
        <v>0.13183933091787323</v>
      </c>
      <c r="GB24" s="1">
        <f t="shared" si="184"/>
        <v>0.96292370371246205</v>
      </c>
      <c r="GC24" s="1">
        <f t="shared" si="185"/>
        <v>-3.4180084594668259E-3</v>
      </c>
      <c r="GD24" s="1">
        <f t="shared" si="186"/>
        <v>7.4162917408806706E-2</v>
      </c>
      <c r="GE24" s="1">
        <f t="shared" si="187"/>
        <v>0.86816066908212675</v>
      </c>
      <c r="GF24" s="1">
        <f t="shared" si="188"/>
        <v>0.24013787060994479</v>
      </c>
      <c r="GG24" s="1">
        <f t="shared" si="189"/>
        <v>-4.2073647278853847E-3</v>
      </c>
      <c r="GH24" s="1">
        <f t="shared" si="190"/>
        <v>1.2460584502648288E-2</v>
      </c>
      <c r="GI24" s="1">
        <f t="shared" si="191"/>
        <v>1.2460584502648288E-2</v>
      </c>
      <c r="GJ24" s="1">
        <f t="shared" si="192"/>
        <v>6.1702332906158418E-2</v>
      </c>
      <c r="GK24" s="1">
        <f t="shared" si="193"/>
        <v>4.427079655526258E-2</v>
      </c>
      <c r="GL24" s="1">
        <f t="shared" si="194"/>
        <v>0.84107198128892591</v>
      </c>
      <c r="GM24" s="1">
        <f t="shared" si="195"/>
        <v>0.92313679076109534</v>
      </c>
      <c r="GN24" s="1">
        <f t="shared" si="196"/>
        <v>1.7179278760965859E-2</v>
      </c>
      <c r="GO24" s="1">
        <f t="shared" si="197"/>
        <v>440.26178728770725</v>
      </c>
      <c r="GP24" s="1">
        <f t="shared" si="198"/>
        <v>11.795535701931691</v>
      </c>
      <c r="GQ24" s="1">
        <f t="shared" si="199"/>
        <v>2.2325132466616253</v>
      </c>
      <c r="GR24" s="1">
        <f t="shared" si="200"/>
        <v>9.1812107268959335E-6</v>
      </c>
      <c r="GS24" s="1">
        <f t="shared" si="201"/>
        <v>1876.9347831223529</v>
      </c>
      <c r="GT24" s="1">
        <f t="shared" ca="1" si="202"/>
        <v>0.37010074421539696</v>
      </c>
      <c r="GU24" s="2">
        <f t="shared" ca="1" si="203"/>
        <v>19.527671459563472</v>
      </c>
      <c r="GV24" s="4">
        <f t="shared" ca="1" si="204"/>
        <v>2.2035329473365941</v>
      </c>
      <c r="GW24" s="4">
        <f t="shared" ca="1" si="205"/>
        <v>1.4009102752818166</v>
      </c>
      <c r="GX24" s="4">
        <f t="shared" si="206"/>
        <v>3.9184234790107864</v>
      </c>
      <c r="GY24" s="4">
        <f t="shared" si="207"/>
        <v>6.0252428001839178</v>
      </c>
      <c r="GZ24" s="4">
        <f t="shared" ca="1" si="208"/>
        <v>2.2035329473365941</v>
      </c>
      <c r="HA24" s="1">
        <f t="shared" si="209"/>
        <v>440.26178728770725</v>
      </c>
      <c r="HB24" s="1">
        <f t="shared" si="210"/>
        <v>11.795535701931691</v>
      </c>
      <c r="HC24" s="4">
        <f t="shared" si="211"/>
        <v>-0.47483009746733273</v>
      </c>
      <c r="HD24" s="4"/>
      <c r="HE24" s="7">
        <f t="shared" si="212"/>
        <v>7.7115466828834647E-2</v>
      </c>
      <c r="HF24" s="7">
        <f t="shared" si="213"/>
        <v>0.88534277784418847</v>
      </c>
      <c r="HG24" s="7">
        <f t="shared" si="214"/>
        <v>1.7179278760965859E-2</v>
      </c>
      <c r="HH24" s="7">
        <f t="shared" si="215"/>
        <v>0</v>
      </c>
      <c r="HI24" s="7">
        <f t="shared" si="216"/>
        <v>6.3361629767280214E-2</v>
      </c>
      <c r="HJ24" s="7">
        <f t="shared" si="217"/>
        <v>0</v>
      </c>
      <c r="HK24" s="7">
        <f t="shared" si="218"/>
        <v>0</v>
      </c>
      <c r="HL24" s="7">
        <f t="shared" si="219"/>
        <v>2.2600098223198473E-2</v>
      </c>
      <c r="HM24" s="7">
        <f t="shared" si="220"/>
        <v>7.143142960513249E-2</v>
      </c>
      <c r="HN24" s="7">
        <f t="shared" si="221"/>
        <v>8.0123441464240525E-2</v>
      </c>
      <c r="HO24" s="7">
        <f t="shared" si="222"/>
        <v>0.72517891857306049</v>
      </c>
      <c r="HP24" s="7">
        <f t="shared" si="223"/>
        <v>6.3164812815622071E-2</v>
      </c>
      <c r="HQ24" s="7">
        <f t="shared" si="224"/>
        <v>5.4901848567933981E-2</v>
      </c>
      <c r="HR24" s="7">
        <f t="shared" si="225"/>
        <v>4.78208191000494E-3</v>
      </c>
      <c r="HS24" s="7">
        <f t="shared" si="226"/>
        <v>1.7179278760965859E-2</v>
      </c>
      <c r="HT24" s="7"/>
      <c r="HU24" s="16">
        <f t="shared" si="227"/>
        <v>-8.7240471334913793E-7</v>
      </c>
      <c r="HV24" s="16">
        <f t="shared" si="228"/>
        <v>1.6867493373877656E-12</v>
      </c>
      <c r="HW24" s="16">
        <f t="shared" si="229"/>
        <v>2.7022855236783526E-5</v>
      </c>
      <c r="HX24" s="16">
        <f t="shared" si="230"/>
        <v>7.7562394848365704E-9</v>
      </c>
      <c r="HY24" s="7">
        <f t="shared" si="231"/>
        <v>2.2325132466616253</v>
      </c>
      <c r="HZ24" s="7">
        <f t="shared" ca="1" si="232"/>
        <v>457.89963050897944</v>
      </c>
      <c r="IA24" s="7">
        <f t="shared" ca="1" si="233"/>
        <v>2.2035329473365941</v>
      </c>
      <c r="IB24" s="7">
        <f t="shared" ca="1" si="234"/>
        <v>457.89993878333178</v>
      </c>
      <c r="IC24" s="7">
        <f t="shared" ca="1" si="235"/>
        <v>1.4009102752818166</v>
      </c>
      <c r="ID24" s="7">
        <f t="shared" ca="1" si="236"/>
        <v>2.2035329473365941</v>
      </c>
      <c r="IE24" s="7"/>
      <c r="IF24" s="2">
        <f t="shared" si="237"/>
        <v>5.3881119405688273E-2</v>
      </c>
      <c r="IG24" s="17">
        <f t="shared" ca="1" si="238"/>
        <v>1121.5552808452744</v>
      </c>
      <c r="IH24" s="17"/>
      <c r="II24" s="7">
        <f t="shared" si="239"/>
        <v>2.0739679546651941</v>
      </c>
      <c r="IJ24" s="17">
        <f t="shared" si="240"/>
        <v>1876.9347831223529</v>
      </c>
      <c r="IK24" s="16">
        <f t="shared" si="241"/>
        <v>1.2433385697472088E-5</v>
      </c>
      <c r="IM24" s="1">
        <f t="shared" si="242"/>
        <v>1</v>
      </c>
      <c r="IN24" s="166">
        <f t="shared" si="243"/>
        <v>0.45097303711178871</v>
      </c>
      <c r="IO24" s="166">
        <f t="shared" si="244"/>
        <v>7.8802533867763189E-2</v>
      </c>
      <c r="IP24" s="166">
        <f t="shared" si="245"/>
        <v>0.47022442902044809</v>
      </c>
      <c r="IR24" s="167">
        <f t="shared" si="246"/>
        <v>0.36247752895724911</v>
      </c>
      <c r="IS24" s="167">
        <f t="shared" si="247"/>
        <v>0.47022442902044809</v>
      </c>
      <c r="IU24" s="169">
        <v>0.1</v>
      </c>
      <c r="IV24" s="169">
        <v>0.9</v>
      </c>
      <c r="IW24" s="169">
        <v>0</v>
      </c>
      <c r="IX24" s="169"/>
      <c r="IY24" s="167">
        <f t="shared" si="248"/>
        <v>1.0392304845413263</v>
      </c>
      <c r="IZ24" s="167">
        <f t="shared" si="249"/>
        <v>0</v>
      </c>
    </row>
    <row r="25" spans="1:260">
      <c r="A25" s="139" t="s">
        <v>201</v>
      </c>
      <c r="B25" s="139" t="s">
        <v>202</v>
      </c>
      <c r="C25" s="78">
        <f t="shared" si="43"/>
        <v>1.9042364719915188</v>
      </c>
      <c r="D25" s="133" t="e">
        <f t="shared" ca="1" si="44"/>
        <v>#NUM!</v>
      </c>
      <c r="E25" s="15">
        <f t="shared" si="45"/>
        <v>0.22253670547809329</v>
      </c>
      <c r="F25" s="123">
        <f>F16*(1+F4/10)</f>
        <v>53.57781186015692</v>
      </c>
      <c r="G25" s="123">
        <f t="shared" si="255"/>
        <v>1.2077078878207983</v>
      </c>
      <c r="H25" s="123">
        <f t="shared" si="255"/>
        <v>20.936970600783663</v>
      </c>
      <c r="I25" s="123">
        <v>2</v>
      </c>
      <c r="J25" s="123">
        <f t="shared" si="255"/>
        <v>0.19042364719915189</v>
      </c>
      <c r="K25" s="123">
        <f t="shared" si="255"/>
        <v>5.1509491663030271</v>
      </c>
      <c r="L25" s="123">
        <f t="shared" si="255"/>
        <v>10.686843042270171</v>
      </c>
      <c r="M25" s="123">
        <f t="shared" si="255"/>
        <v>4.0487826772471296</v>
      </c>
      <c r="N25" s="123">
        <f t="shared" si="255"/>
        <v>0.44744180541957068</v>
      </c>
      <c r="O25" s="123">
        <f t="shared" si="255"/>
        <v>0</v>
      </c>
      <c r="P25" s="123">
        <f t="shared" si="255"/>
        <v>0.15036164574555611</v>
      </c>
      <c r="Q25" s="123">
        <f t="shared" si="255"/>
        <v>6.6550033076869362</v>
      </c>
      <c r="R25" s="123">
        <f t="shared" ca="1" si="255"/>
        <v>5.2807308248191118</v>
      </c>
      <c r="S25" s="123">
        <f t="shared" si="255"/>
        <v>0</v>
      </c>
      <c r="T25" s="123">
        <f t="shared" si="255"/>
        <v>53.700558582232986</v>
      </c>
      <c r="U25" s="123">
        <f t="shared" si="255"/>
        <v>0.77819125893396546</v>
      </c>
      <c r="V25" s="123">
        <f t="shared" si="255"/>
        <v>4.4998189074366515</v>
      </c>
      <c r="W25" s="123">
        <f t="shared" si="255"/>
        <v>6.349088938323594</v>
      </c>
      <c r="X25" s="123">
        <f t="shared" si="255"/>
        <v>0</v>
      </c>
      <c r="Y25" s="123">
        <f t="shared" si="255"/>
        <v>16.117154121307209</v>
      </c>
      <c r="Z25" s="123">
        <v>5</v>
      </c>
      <c r="AA25" s="123">
        <f t="shared" si="255"/>
        <v>0.25979460273666211</v>
      </c>
      <c r="AB25" s="123">
        <f t="shared" si="255"/>
        <v>0</v>
      </c>
      <c r="AC25" s="123">
        <f t="shared" si="255"/>
        <v>0.3013147010463112</v>
      </c>
      <c r="AE25" s="112">
        <v>1100</v>
      </c>
      <c r="AF25" s="165">
        <f t="shared" si="48"/>
        <v>826.85</v>
      </c>
      <c r="AG25" s="165">
        <v>5</v>
      </c>
      <c r="AH25" s="91" t="e">
        <f t="shared" ca="1" si="50"/>
        <v>#DIV/0!</v>
      </c>
      <c r="AI25" s="91" t="e">
        <f t="shared" ca="1" si="51"/>
        <v>#DIV/0!</v>
      </c>
      <c r="AJ25" s="91"/>
      <c r="AK25" s="91" t="e">
        <f t="shared" ca="1" si="52"/>
        <v>#NUM!</v>
      </c>
      <c r="AL25" s="91" t="e">
        <f t="shared" ca="1" si="53"/>
        <v>#NUM!</v>
      </c>
      <c r="AM25" s="91"/>
      <c r="AN25" s="91" t="e">
        <f t="shared" ca="1" si="54"/>
        <v>#DIV/0!</v>
      </c>
      <c r="AO25" s="91" t="e">
        <f t="shared" ca="1" si="55"/>
        <v>#DIV/0!</v>
      </c>
      <c r="AP25" s="91" t="e">
        <f t="shared" ca="1" si="56"/>
        <v>#DIV/0!</v>
      </c>
      <c r="AQ25" s="91"/>
      <c r="AR25" s="91">
        <f t="shared" ca="1" si="57"/>
        <v>1294.9377672198443</v>
      </c>
      <c r="AS25" s="91">
        <f t="shared" ca="1" si="58"/>
        <v>1021.7877672198443</v>
      </c>
      <c r="AT25" s="40">
        <f t="shared" ca="1" si="59"/>
        <v>-1.9823473147213608</v>
      </c>
      <c r="AV25" s="40" t="e">
        <f t="shared" si="60"/>
        <v>#DIV/0!</v>
      </c>
      <c r="AW25" s="40" t="e">
        <f t="shared" si="61"/>
        <v>#DIV/0!</v>
      </c>
      <c r="AX25" s="40" t="e">
        <f t="shared" ca="1" si="62"/>
        <v>#DIV/0!</v>
      </c>
      <c r="AY25" s="40" t="e">
        <f t="shared" ca="1" si="63"/>
        <v>#DIV/0!</v>
      </c>
      <c r="AZ25" s="40" t="e">
        <f t="shared" ca="1" si="64"/>
        <v>#DIV/0!</v>
      </c>
      <c r="BA25" s="40"/>
      <c r="BB25" s="40" t="e">
        <f t="shared" ca="1" si="65"/>
        <v>#NUM!</v>
      </c>
      <c r="BC25" s="40" t="e">
        <f t="shared" ca="1" si="66"/>
        <v>#NUM!</v>
      </c>
      <c r="BD25" s="40" t="e">
        <f t="shared" ca="1" si="67"/>
        <v>#NUM!</v>
      </c>
      <c r="BE25" s="40" t="e">
        <f t="shared" ca="1" si="68"/>
        <v>#DIV/0!</v>
      </c>
      <c r="BF25" s="40" t="e">
        <f t="shared" ca="1" si="69"/>
        <v>#DIV/0!</v>
      </c>
      <c r="BG25" s="40" t="e">
        <f t="shared" ca="1" si="70"/>
        <v>#DIV/0!</v>
      </c>
      <c r="BH25" s="40" t="e">
        <f t="shared" ca="1" si="71"/>
        <v>#DIV/0!</v>
      </c>
      <c r="BI25" s="40" t="e">
        <f t="shared" ca="1" si="72"/>
        <v>#DIV/0!</v>
      </c>
      <c r="BJ25" s="40" t="e">
        <f t="shared" ca="1" si="73"/>
        <v>#NUM!</v>
      </c>
      <c r="BK25" s="70">
        <f t="shared" si="74"/>
        <v>0.70685594212573144</v>
      </c>
      <c r="BL25" s="70">
        <f t="shared" si="75"/>
        <v>0.22253670547809329</v>
      </c>
      <c r="BM25" s="70">
        <f t="shared" si="76"/>
        <v>2.7467520230458109</v>
      </c>
      <c r="BN25" s="180">
        <f t="shared" si="27"/>
        <v>0.1301503344039075</v>
      </c>
      <c r="BO25" s="180">
        <f t="shared" si="28"/>
        <v>1.9209678402968458E-2</v>
      </c>
      <c r="BP25" s="180">
        <f t="shared" si="29"/>
        <v>3.5412124345680765E-2</v>
      </c>
      <c r="BQ25" s="70">
        <f t="shared" si="77"/>
        <v>0</v>
      </c>
      <c r="BR25" s="40">
        <f t="shared" si="78"/>
        <v>3.154060865676461</v>
      </c>
      <c r="BS25" s="53"/>
      <c r="BT25" s="70">
        <f t="shared" si="79"/>
        <v>0</v>
      </c>
      <c r="BU25" s="70">
        <f t="shared" si="80"/>
        <v>0.57965922292099292</v>
      </c>
      <c r="BV25" s="70">
        <f t="shared" si="81"/>
        <v>0.31180733800946908</v>
      </c>
      <c r="BW25" s="70">
        <f t="shared" si="82"/>
        <v>1.9905421587208635E-2</v>
      </c>
      <c r="BX25" s="180">
        <f t="shared" si="83"/>
        <v>0</v>
      </c>
      <c r="BY25" s="70">
        <f t="shared" si="84"/>
        <v>4.7069219903651868E-3</v>
      </c>
      <c r="BZ25" s="70">
        <f t="shared" si="85"/>
        <v>0.91607890450803575</v>
      </c>
      <c r="CA25" s="70">
        <f t="shared" si="86"/>
        <v>1.0145660371394769</v>
      </c>
      <c r="CB25" s="53"/>
      <c r="CC25" s="40"/>
      <c r="CD25" s="40" t="e">
        <f t="shared" ca="1" si="87"/>
        <v>#DIV/0!</v>
      </c>
      <c r="CE25" s="40" t="e">
        <f t="shared" ca="1" si="88"/>
        <v>#DIV/0!</v>
      </c>
      <c r="CF25" s="40" t="e">
        <f t="shared" ca="1" si="89"/>
        <v>#DIV/0!</v>
      </c>
      <c r="CG25" s="40" t="e">
        <f t="shared" ca="1" si="90"/>
        <v>#DIV/0!</v>
      </c>
      <c r="CH25" s="54" t="e">
        <f t="shared" ca="1" si="91"/>
        <v>#DIV/0!</v>
      </c>
      <c r="CJ25" s="40">
        <f t="shared" si="92"/>
        <v>23.435531744757188</v>
      </c>
      <c r="CK25" s="40">
        <f t="shared" si="93"/>
        <v>27.204501152280777</v>
      </c>
      <c r="CL25" s="40" t="e">
        <f t="shared" ca="1" si="94"/>
        <v>#DIV/0!</v>
      </c>
      <c r="CM25" s="2"/>
      <c r="CN25" s="1">
        <f t="shared" si="95"/>
        <v>0.89171067750072686</v>
      </c>
      <c r="CO25" s="1">
        <f t="shared" si="96"/>
        <v>1.5119254267975963E-2</v>
      </c>
      <c r="CP25" s="1">
        <f t="shared" si="97"/>
        <v>0.41068586225681708</v>
      </c>
      <c r="CQ25" s="1">
        <f t="shared" si="98"/>
        <v>2.7837163727062176E-2</v>
      </c>
      <c r="CR25" s="1">
        <f t="shared" si="99"/>
        <v>2.6843862160232865E-3</v>
      </c>
      <c r="CS25" s="1">
        <f t="shared" si="100"/>
        <v>0.12780116231237848</v>
      </c>
      <c r="CT25" s="1">
        <f t="shared" si="101"/>
        <v>0.19057308367132164</v>
      </c>
      <c r="CU25" s="1">
        <f t="shared" si="102"/>
        <v>0.13065035608076714</v>
      </c>
      <c r="CV25" s="1">
        <f t="shared" si="103"/>
        <v>9.5002294241702551E-3</v>
      </c>
      <c r="CW25" s="1">
        <f t="shared" si="104"/>
        <v>0</v>
      </c>
      <c r="CX25" s="1">
        <f t="shared" si="105"/>
        <v>2.1187096492888548E-3</v>
      </c>
      <c r="CY25" s="1">
        <f t="shared" si="106"/>
        <v>1.8086808851065321</v>
      </c>
      <c r="DA25" s="1">
        <f t="shared" si="107"/>
        <v>0.49301714019507908</v>
      </c>
      <c r="DB25" s="1">
        <f t="shared" si="108"/>
        <v>8.3592713299922069E-3</v>
      </c>
      <c r="DC25" s="1">
        <f t="shared" si="109"/>
        <v>0.2270637488561878</v>
      </c>
      <c r="DD25" s="1">
        <f t="shared" si="110"/>
        <v>1.5390865219113849E-2</v>
      </c>
      <c r="DE25" s="1">
        <f t="shared" si="111"/>
        <v>1.4841679580558926E-3</v>
      </c>
      <c r="DF25" s="1">
        <f t="shared" si="112"/>
        <v>7.0659873372217866E-2</v>
      </c>
      <c r="DG25" s="1">
        <f t="shared" si="113"/>
        <v>0.1053657863255943</v>
      </c>
      <c r="DH25" s="1">
        <f t="shared" si="114"/>
        <v>7.2235161634426059E-2</v>
      </c>
      <c r="DI25" s="1">
        <f t="shared" si="115"/>
        <v>5.2525735758028359E-3</v>
      </c>
      <c r="DJ25" s="1">
        <f t="shared" si="116"/>
        <v>0</v>
      </c>
      <c r="DK25" s="1">
        <f t="shared" si="117"/>
        <v>1.1714115335298974E-3</v>
      </c>
      <c r="DL25" s="1">
        <f t="shared" si="118"/>
        <v>0.99999999999999989</v>
      </c>
      <c r="DM25" s="156">
        <f t="shared" si="119"/>
        <v>82.114197424606132</v>
      </c>
      <c r="DN25" s="1">
        <f t="shared" si="120"/>
        <v>0.89375358591567156</v>
      </c>
      <c r="DO25" s="1">
        <f t="shared" si="121"/>
        <v>9.7421500940670803E-3</v>
      </c>
      <c r="DP25" s="1">
        <f t="shared" si="122"/>
        <v>4.4132745926743086E-2</v>
      </c>
      <c r="DQ25" s="1">
        <f t="shared" si="123"/>
        <v>8.8370314146896625E-2</v>
      </c>
      <c r="DR25" s="1">
        <f t="shared" si="124"/>
        <v>0</v>
      </c>
      <c r="DS25" s="1">
        <f t="shared" si="125"/>
        <v>0.39988572268306211</v>
      </c>
      <c r="DT25" s="1">
        <f t="shared" si="126"/>
        <v>8.91624790022362E-2</v>
      </c>
      <c r="DU25" s="1">
        <f t="shared" si="127"/>
        <v>4.1916620452551127E-3</v>
      </c>
      <c r="DV25" s="1">
        <f t="shared" si="128"/>
        <v>0</v>
      </c>
      <c r="DW25" s="1">
        <f t="shared" si="129"/>
        <v>1.9823570347958803E-3</v>
      </c>
      <c r="DX25" s="1">
        <f t="shared" si="130"/>
        <v>1.5312210168487277</v>
      </c>
      <c r="DZ25" s="1">
        <f t="shared" si="131"/>
        <v>1.7875071718313431</v>
      </c>
      <c r="EA25" s="1">
        <f t="shared" si="132"/>
        <v>1.9484300188134161E-2</v>
      </c>
      <c r="EB25" s="1">
        <f t="shared" si="133"/>
        <v>0.13239823778022924</v>
      </c>
      <c r="EC25" s="1">
        <f t="shared" si="134"/>
        <v>8.8370314146896625E-2</v>
      </c>
      <c r="ED25" s="1">
        <f t="shared" si="135"/>
        <v>0</v>
      </c>
      <c r="EE25" s="1">
        <f t="shared" si="136"/>
        <v>0.39988572268306211</v>
      </c>
      <c r="EF25" s="1">
        <f t="shared" si="137"/>
        <v>8.91624790022362E-2</v>
      </c>
      <c r="EG25" s="1">
        <f t="shared" si="138"/>
        <v>4.1916620452551127E-3</v>
      </c>
      <c r="EH25" s="1">
        <f t="shared" si="139"/>
        <v>0</v>
      </c>
      <c r="EI25" s="1">
        <f t="shared" si="140"/>
        <v>5.9470711043876408E-3</v>
      </c>
      <c r="EJ25" s="1">
        <f t="shared" si="141"/>
        <v>2.5269469587815441</v>
      </c>
      <c r="EK25" s="1">
        <f t="shared" si="142"/>
        <v>2.3744067833117914</v>
      </c>
      <c r="EM25" s="1">
        <f t="shared" si="143"/>
        <v>2.1221345770074085</v>
      </c>
      <c r="EN25" s="1">
        <f t="shared" si="144"/>
        <v>2.3131827267394482E-2</v>
      </c>
      <c r="EO25" s="1">
        <f t="shared" si="145"/>
        <v>-0.12213457700740848</v>
      </c>
      <c r="EP25" s="1">
        <f t="shared" si="146"/>
        <v>0.33171275959667773</v>
      </c>
      <c r="EQ25" s="1">
        <f t="shared" si="147"/>
        <v>0.20957818258926925</v>
      </c>
      <c r="ER25" s="1">
        <f t="shared" si="148"/>
        <v>0.20982707335378531</v>
      </c>
      <c r="ES25" s="1">
        <f t="shared" si="149"/>
        <v>0</v>
      </c>
      <c r="ET25" s="1">
        <f t="shared" si="150"/>
        <v>0.94949137248820059</v>
      </c>
      <c r="EU25" s="1">
        <f t="shared" si="151"/>
        <v>0.2117079949598048</v>
      </c>
      <c r="EV25" s="1">
        <f t="shared" si="152"/>
        <v>1.9905421587208635E-2</v>
      </c>
      <c r="EW25" s="1">
        <f t="shared" si="153"/>
        <v>0</v>
      </c>
      <c r="EX25" s="1">
        <f t="shared" si="154"/>
        <v>9.4138439807303735E-3</v>
      </c>
      <c r="EY25" s="1">
        <f t="shared" si="155"/>
        <v>3.7551902932338024</v>
      </c>
      <c r="EZ25" s="1">
        <f t="shared" si="156"/>
        <v>0</v>
      </c>
      <c r="FA25" s="1">
        <f t="shared" si="157"/>
        <v>-0.78230828581114054</v>
      </c>
      <c r="FB25" s="1">
        <f t="shared" si="158"/>
        <v>1.9905421587208635E-2</v>
      </c>
      <c r="FC25" s="1">
        <f t="shared" si="159"/>
        <v>0.31180733800946908</v>
      </c>
      <c r="FD25" s="1">
        <f t="shared" si="160"/>
        <v>0</v>
      </c>
      <c r="FE25" s="1">
        <f t="shared" si="161"/>
        <v>4.7069219903651868E-3</v>
      </c>
      <c r="FF25" s="2">
        <f t="shared" si="162"/>
        <v>0</v>
      </c>
      <c r="FG25" s="1">
        <f t="shared" si="163"/>
        <v>0.57965922292099292</v>
      </c>
      <c r="FH25" s="1">
        <f t="shared" si="164"/>
        <v>0.91607890450803586</v>
      </c>
      <c r="FI25" s="1">
        <f t="shared" si="165"/>
        <v>-0.10480626504002946</v>
      </c>
      <c r="FJ25" s="1">
        <f t="shared" si="166"/>
        <v>1.6080123513838982</v>
      </c>
      <c r="FK25" s="1" t="e">
        <f t="shared" si="167"/>
        <v>#DIV/0!</v>
      </c>
      <c r="FL25" s="1" t="e">
        <f t="shared" si="168"/>
        <v>#NUM!</v>
      </c>
      <c r="FM25" s="1">
        <f t="shared" si="169"/>
        <v>0.82114197424606128</v>
      </c>
      <c r="FN25" s="67" t="e">
        <f t="shared" ca="1" si="170"/>
        <v>#DIV/0!</v>
      </c>
      <c r="FO25" s="67" t="e">
        <f t="shared" ca="1" si="171"/>
        <v>#DIV/0!</v>
      </c>
      <c r="FP25" s="1" t="e">
        <f t="shared" ca="1" si="172"/>
        <v>#DIV/0!</v>
      </c>
      <c r="FQ25" s="2" t="e">
        <f t="shared" ca="1" si="173"/>
        <v>#DIV/0!</v>
      </c>
      <c r="FR25" s="2" t="e">
        <f t="shared" ca="1" si="174"/>
        <v>#DIV/0!</v>
      </c>
      <c r="FS25" s="1" t="e">
        <f t="shared" ca="1" si="175"/>
        <v>#NUM!</v>
      </c>
      <c r="FT25" s="1">
        <f t="shared" si="176"/>
        <v>0.67660378646040931</v>
      </c>
      <c r="FU25" s="2">
        <f t="shared" si="177"/>
        <v>81.900825083362434</v>
      </c>
      <c r="FV25" s="2" t="e">
        <f t="shared" ca="1" si="178"/>
        <v>#NUM!</v>
      </c>
      <c r="FW25" s="2" t="e">
        <f t="shared" ca="1" si="179"/>
        <v>#NUM!</v>
      </c>
      <c r="FX25" s="2">
        <f t="shared" si="180"/>
        <v>1.0145660371394769</v>
      </c>
      <c r="FY25" s="1">
        <f t="shared" si="181"/>
        <v>0.23161341654701345</v>
      </c>
      <c r="FZ25" s="1">
        <f t="shared" si="182"/>
        <v>0.36425843084480258</v>
      </c>
      <c r="GA25" s="1">
        <f t="shared" si="183"/>
        <v>0.11328254123419849</v>
      </c>
      <c r="GB25" s="1">
        <f t="shared" si="184"/>
        <v>0.64515541313592784</v>
      </c>
      <c r="GC25" s="1">
        <f t="shared" si="185"/>
        <v>0.51416303270605801</v>
      </c>
      <c r="GD25" s="1">
        <f t="shared" si="186"/>
        <v>0.20982707335378531</v>
      </c>
      <c r="GE25" s="1">
        <f t="shared" si="187"/>
        <v>0.88671745876580155</v>
      </c>
      <c r="GF25" s="1">
        <f t="shared" si="188"/>
        <v>0.99872966753836434</v>
      </c>
      <c r="GG25" s="1">
        <f t="shared" si="189"/>
        <v>-0.16122830801025428</v>
      </c>
      <c r="GH25" s="1">
        <f t="shared" si="190"/>
        <v>0.11261048964465753</v>
      </c>
      <c r="GI25" s="1">
        <f t="shared" si="191"/>
        <v>0.11261048964465753</v>
      </c>
      <c r="GJ25" s="1">
        <f t="shared" si="192"/>
        <v>9.721658370912778E-2</v>
      </c>
      <c r="GK25" s="1">
        <f t="shared" si="193"/>
        <v>0.65577609380832902</v>
      </c>
      <c r="GL25" s="1">
        <f t="shared" si="194"/>
        <v>0.29371527867987157</v>
      </c>
      <c r="GM25" s="1">
        <f t="shared" si="195"/>
        <v>0.2117079949598048</v>
      </c>
      <c r="GN25" s="1">
        <f t="shared" si="196"/>
        <v>1.9905421587208635E-2</v>
      </c>
      <c r="GO25" s="1">
        <f t="shared" si="197"/>
        <v>416.15530295792666</v>
      </c>
      <c r="GP25" s="1">
        <f t="shared" si="198"/>
        <v>11.963392781846702</v>
      </c>
      <c r="GQ25" s="1">
        <f t="shared" si="199"/>
        <v>1.8977708445798009</v>
      </c>
      <c r="GR25" s="1">
        <f t="shared" si="200"/>
        <v>7.8045825983344302E-6</v>
      </c>
      <c r="GS25" s="1">
        <f t="shared" si="201"/>
        <v>1574.0047797268496</v>
      </c>
      <c r="GT25" s="1" t="e">
        <f t="shared" ca="1" si="202"/>
        <v>#NUM!</v>
      </c>
      <c r="GU25" s="2" t="e">
        <f t="shared" ca="1" si="203"/>
        <v>#DIV/0!</v>
      </c>
      <c r="GV25" s="4" t="e">
        <f t="shared" ca="1" si="204"/>
        <v>#NUM!</v>
      </c>
      <c r="GW25" s="4" t="e">
        <f t="shared" ca="1" si="205"/>
        <v>#NUM!</v>
      </c>
      <c r="GX25" s="4">
        <f t="shared" si="206"/>
        <v>4.4962244826667002</v>
      </c>
      <c r="GY25" s="4">
        <f t="shared" si="207"/>
        <v>5.988721421443671</v>
      </c>
      <c r="GZ25" s="4" t="e">
        <f t="shared" ca="1" si="208"/>
        <v>#NUM!</v>
      </c>
      <c r="HA25" s="1">
        <f t="shared" si="209"/>
        <v>416.15530295792666</v>
      </c>
      <c r="HB25" s="1">
        <f t="shared" si="210"/>
        <v>11.963392781846702</v>
      </c>
      <c r="HC25" s="4">
        <f t="shared" si="211"/>
        <v>28.721592539077648</v>
      </c>
      <c r="HD25" s="4"/>
      <c r="HE25" s="7">
        <f t="shared" si="212"/>
        <v>0.20982707335378531</v>
      </c>
      <c r="HF25" s="7">
        <f t="shared" si="213"/>
        <v>0.94949137248820059</v>
      </c>
      <c r="HG25" s="7">
        <f t="shared" si="214"/>
        <v>0</v>
      </c>
      <c r="HH25" s="7">
        <f t="shared" si="215"/>
        <v>1.9905421587208635E-2</v>
      </c>
      <c r="HI25" s="7">
        <f t="shared" si="216"/>
        <v>0</v>
      </c>
      <c r="HJ25" s="7">
        <f t="shared" si="217"/>
        <v>1.9905421587208635E-2</v>
      </c>
      <c r="HK25" s="7">
        <f t="shared" si="218"/>
        <v>0</v>
      </c>
      <c r="HL25" s="7">
        <f t="shared" si="219"/>
        <v>0.31180733800946908</v>
      </c>
      <c r="HM25" s="7">
        <f t="shared" si="220"/>
        <v>0.36748483652498842</v>
      </c>
      <c r="HN25" s="7">
        <f t="shared" si="221"/>
        <v>0.18099174916637578</v>
      </c>
      <c r="HO25" s="7">
        <f t="shared" si="222"/>
        <v>-0.12758251853068767</v>
      </c>
      <c r="HP25" s="7">
        <f t="shared" si="223"/>
        <v>-2.8194323034495976E-2</v>
      </c>
      <c r="HQ25" s="7">
        <f t="shared" si="224"/>
        <v>0.62931495167785523</v>
      </c>
      <c r="HR25" s="7">
        <f t="shared" si="225"/>
        <v>0.13907163177513143</v>
      </c>
      <c r="HS25" s="7">
        <f t="shared" si="226"/>
        <v>1.9905421587208635E-2</v>
      </c>
      <c r="HT25" s="7"/>
      <c r="HU25" s="16">
        <f t="shared" si="227"/>
        <v>-7.8993076986080313E-7</v>
      </c>
      <c r="HV25" s="16">
        <f t="shared" si="228"/>
        <v>8.9336298683484566E-13</v>
      </c>
      <c r="HW25" s="16">
        <f t="shared" si="229"/>
        <v>2.3648730695303151E-5</v>
      </c>
      <c r="HX25" s="16">
        <f t="shared" si="230"/>
        <v>6.4438204456519544E-9</v>
      </c>
      <c r="HY25" s="7">
        <f t="shared" si="231"/>
        <v>1.8977708445798009</v>
      </c>
      <c r="HZ25" s="7" t="e">
        <f t="shared" ca="1" si="232"/>
        <v>#NUM!</v>
      </c>
      <c r="IA25" s="7" t="e">
        <f t="shared" ca="1" si="233"/>
        <v>#NUM!</v>
      </c>
      <c r="IB25" s="7" t="e">
        <f t="shared" ca="1" si="234"/>
        <v>#NUM!</v>
      </c>
      <c r="IC25" s="7" t="e">
        <f t="shared" ca="1" si="235"/>
        <v>#NUM!</v>
      </c>
      <c r="ID25" s="7" t="e">
        <f t="shared" ca="1" si="236"/>
        <v>#NUM!</v>
      </c>
      <c r="IE25" s="7"/>
      <c r="IF25" s="2">
        <f t="shared" si="237"/>
        <v>0.67660378646040931</v>
      </c>
      <c r="IG25" s="17" t="e">
        <f t="shared" ca="1" si="238"/>
        <v>#NUM!</v>
      </c>
      <c r="IH25" s="17"/>
      <c r="II25" s="7">
        <f t="shared" si="239"/>
        <v>2.0833696297112336</v>
      </c>
      <c r="IJ25" s="17">
        <f t="shared" si="240"/>
        <v>1574.0047797268496</v>
      </c>
      <c r="IK25" s="16">
        <f t="shared" si="241"/>
        <v>1.4268889868887424E-5</v>
      </c>
      <c r="IM25" s="1">
        <f t="shared" si="242"/>
        <v>1</v>
      </c>
      <c r="IN25" s="166">
        <f t="shared" si="243"/>
        <v>0.69254052601124749</v>
      </c>
      <c r="IO25" s="166">
        <f t="shared" si="244"/>
        <v>0.15304378318996986</v>
      </c>
      <c r="IP25" s="166">
        <f t="shared" si="245"/>
        <v>0.15441569079878265</v>
      </c>
      <c r="IR25" s="167">
        <f t="shared" si="246"/>
        <v>0.26587167949483481</v>
      </c>
      <c r="IS25" s="167">
        <f t="shared" si="247"/>
        <v>0.15441569079878265</v>
      </c>
      <c r="IU25" s="169">
        <v>0.1</v>
      </c>
      <c r="IV25" s="169">
        <v>0.9</v>
      </c>
      <c r="IW25" s="169">
        <v>0</v>
      </c>
      <c r="IX25" s="169"/>
      <c r="IY25" s="167">
        <f t="shared" si="248"/>
        <v>1.0392304845413263</v>
      </c>
      <c r="IZ25" s="167">
        <f t="shared" si="249"/>
        <v>0</v>
      </c>
    </row>
    <row r="26" spans="1:260" ht="13.2">
      <c r="A26" s="139" t="s">
        <v>201</v>
      </c>
      <c r="B26" s="139" t="s">
        <v>202</v>
      </c>
      <c r="C26" s="78">
        <f t="shared" si="43"/>
        <v>1.9</v>
      </c>
      <c r="D26" s="133">
        <f t="shared" ca="1" si="44"/>
        <v>1109.8063251047988</v>
      </c>
      <c r="E26" s="15">
        <f t="shared" ca="1" si="45"/>
        <v>-5.4596782705079727E-3</v>
      </c>
      <c r="F26" s="123">
        <v>51.5</v>
      </c>
      <c r="G26" s="123">
        <v>2</v>
      </c>
      <c r="H26" s="123">
        <v>19.2</v>
      </c>
      <c r="I26" s="123">
        <v>8.6999999999999993</v>
      </c>
      <c r="J26" s="123">
        <v>0.19</v>
      </c>
      <c r="K26" s="132">
        <v>4.9800000000000004</v>
      </c>
      <c r="L26" s="123">
        <v>10</v>
      </c>
      <c r="M26" s="123">
        <v>3.72</v>
      </c>
      <c r="N26" s="123">
        <v>0.42</v>
      </c>
      <c r="O26" s="123">
        <v>3</v>
      </c>
      <c r="P26" s="123">
        <v>0.14000000000000001</v>
      </c>
      <c r="Q26" s="123">
        <v>6.2</v>
      </c>
      <c r="R26" s="119">
        <f t="shared" ca="1" si="46"/>
        <v>5.5272162162520155</v>
      </c>
      <c r="T26" s="123">
        <v>50.3</v>
      </c>
      <c r="U26" s="123">
        <v>0.73</v>
      </c>
      <c r="V26" s="123">
        <v>4.12</v>
      </c>
      <c r="W26" s="123">
        <v>5.83</v>
      </c>
      <c r="X26" s="123">
        <v>0</v>
      </c>
      <c r="Y26" s="123">
        <v>15</v>
      </c>
      <c r="Z26" s="123">
        <v>22.7</v>
      </c>
      <c r="AA26" s="123">
        <v>0.24</v>
      </c>
      <c r="AB26" s="123">
        <v>0</v>
      </c>
      <c r="AC26" s="123">
        <v>0</v>
      </c>
      <c r="AE26" s="112">
        <f t="shared" ca="1" si="47"/>
        <v>1287.6892548013516</v>
      </c>
      <c r="AF26" s="165">
        <f t="shared" ca="1" si="48"/>
        <v>1014.5392548013516</v>
      </c>
      <c r="AG26" s="165">
        <f t="shared" ca="1" si="49"/>
        <v>1.5570088288422863</v>
      </c>
      <c r="AH26" s="91">
        <f t="shared" ca="1" si="50"/>
        <v>1413.2582263571514</v>
      </c>
      <c r="AI26" s="91">
        <f t="shared" ca="1" si="51"/>
        <v>2.1556172828691045</v>
      </c>
      <c r="AJ26" s="91"/>
      <c r="AK26" s="91">
        <f t="shared" ca="1" si="52"/>
        <v>1382.9563251047989</v>
      </c>
      <c r="AL26" s="91">
        <f t="shared" ca="1" si="53"/>
        <v>1.7648332398456468</v>
      </c>
      <c r="AM26" s="91"/>
      <c r="AN26" s="91">
        <f t="shared" ca="1" si="54"/>
        <v>1266.7518698489696</v>
      </c>
      <c r="AO26" s="91">
        <f t="shared" ca="1" si="55"/>
        <v>993.60186984896961</v>
      </c>
      <c r="AP26" s="91">
        <f t="shared" ca="1" si="56"/>
        <v>-3.1969569166402687</v>
      </c>
      <c r="AQ26" s="91"/>
      <c r="AR26" s="91">
        <f t="shared" ca="1" si="57"/>
        <v>1285.9376279908197</v>
      </c>
      <c r="AS26" s="91">
        <f t="shared" ca="1" si="58"/>
        <v>1012.7876279908197</v>
      </c>
      <c r="AT26" s="40">
        <f t="shared" ca="1" si="59"/>
        <v>-2.496009896485833</v>
      </c>
      <c r="AV26" s="40">
        <f t="shared" si="60"/>
        <v>1405.8785275245882</v>
      </c>
      <c r="AW26" s="40">
        <f t="shared" si="61"/>
        <v>1132.7285275245881</v>
      </c>
      <c r="AX26" s="40">
        <f t="shared" ca="1" si="62"/>
        <v>1413.2582263571514</v>
      </c>
      <c r="AY26" s="40">
        <f t="shared" ca="1" si="63"/>
        <v>1140.1082263571516</v>
      </c>
      <c r="AZ26" s="40">
        <f t="shared" ca="1" si="64"/>
        <v>2.1556172828691045</v>
      </c>
      <c r="BA26" s="40"/>
      <c r="BB26" s="40">
        <f t="shared" ca="1" si="65"/>
        <v>1382.9563251047989</v>
      </c>
      <c r="BC26" s="40">
        <f t="shared" ca="1" si="66"/>
        <v>1.7648332398456468</v>
      </c>
      <c r="BD26" s="40">
        <f t="shared" ca="1" si="67"/>
        <v>1109.8063251047988</v>
      </c>
      <c r="BE26" s="40">
        <f t="shared" ca="1" si="68"/>
        <v>6.2999886636416491</v>
      </c>
      <c r="BF26" s="40">
        <f t="shared" ca="1" si="69"/>
        <v>8.19554481867665</v>
      </c>
      <c r="BG26" s="40">
        <f t="shared" ca="1" si="70"/>
        <v>1016.8659818052123</v>
      </c>
      <c r="BH26" s="40">
        <f t="shared" ca="1" si="71"/>
        <v>1049.233340588919</v>
      </c>
      <c r="BI26" s="40">
        <f t="shared" ca="1" si="72"/>
        <v>1049.233340588919</v>
      </c>
      <c r="BJ26" s="40">
        <f t="shared" ca="1" si="73"/>
        <v>1144.1123149737773</v>
      </c>
      <c r="BK26" s="70">
        <f t="shared" ca="1" si="74"/>
        <v>1.1299401334271977</v>
      </c>
      <c r="BL26" s="70">
        <f t="shared" ca="1" si="75"/>
        <v>0.82030300300908587</v>
      </c>
      <c r="BM26" s="70">
        <f t="shared" ca="1" si="76"/>
        <v>8.1107065870070993E-2</v>
      </c>
      <c r="BN26" s="180">
        <f t="shared" ca="1" si="27"/>
        <v>9.9230897258373169E-3</v>
      </c>
      <c r="BO26" s="180">
        <f t="shared" ca="1" si="28"/>
        <v>1.6916981595956362E-2</v>
      </c>
      <c r="BP26" s="180">
        <f t="shared" ca="1" si="29"/>
        <v>8.6401953091382669E-2</v>
      </c>
      <c r="BQ26" s="70">
        <f t="shared" si="77"/>
        <v>7.2882960393894507</v>
      </c>
      <c r="BR26" s="40">
        <f t="shared" ca="1" si="78"/>
        <v>8.3029481326817844</v>
      </c>
      <c r="BS26" s="53"/>
      <c r="BT26" s="70">
        <f t="shared" si="79"/>
        <v>0.82576268127959385</v>
      </c>
      <c r="BU26" s="70">
        <f t="shared" si="80"/>
        <v>9.5355636227344165E-2</v>
      </c>
      <c r="BV26" s="70">
        <f t="shared" si="81"/>
        <v>4.1023628593153068E-2</v>
      </c>
      <c r="BW26" s="70">
        <f t="shared" si="82"/>
        <v>1.7365821173427408E-2</v>
      </c>
      <c r="BX26" s="180">
        <f t="shared" si="83"/>
        <v>4.0900321020235247E-2</v>
      </c>
      <c r="BY26" s="70">
        <f t="shared" si="84"/>
        <v>0</v>
      </c>
      <c r="BZ26" s="70">
        <f t="shared" si="85"/>
        <v>1.0204080882937538</v>
      </c>
      <c r="CA26" s="70">
        <f t="shared" si="86"/>
        <v>0.22247816091954023</v>
      </c>
      <c r="CB26" s="53"/>
      <c r="CC26" s="40"/>
      <c r="CD26" s="40">
        <f t="shared" ca="1" si="87"/>
        <v>1.684484015741873</v>
      </c>
      <c r="CE26" s="40">
        <f t="shared" ca="1" si="88"/>
        <v>4.0121645913564947</v>
      </c>
      <c r="CF26" s="40">
        <f t="shared" ca="1" si="89"/>
        <v>8.1283287117172804</v>
      </c>
      <c r="CG26" s="40">
        <f t="shared" ca="1" si="90"/>
        <v>1143.4677982440999</v>
      </c>
      <c r="CH26" s="54">
        <f t="shared" ca="1" si="91"/>
        <v>0.26624503148516659</v>
      </c>
      <c r="CJ26" s="40">
        <f t="shared" si="92"/>
        <v>0.23679079857388813</v>
      </c>
      <c r="CK26" s="40">
        <f t="shared" si="93"/>
        <v>-3.1561155277300752E-2</v>
      </c>
      <c r="CL26" s="40">
        <f t="shared" ca="1" si="94"/>
        <v>813.56809899997199</v>
      </c>
      <c r="CM26" s="2"/>
      <c r="CN26" s="1">
        <f t="shared" si="95"/>
        <v>0.85712906699420643</v>
      </c>
      <c r="CO26" s="1">
        <f t="shared" si="96"/>
        <v>2.503793246768855E-2</v>
      </c>
      <c r="CP26" s="1">
        <f t="shared" si="97"/>
        <v>0.37661458793067937</v>
      </c>
      <c r="CQ26" s="1">
        <f t="shared" si="98"/>
        <v>0.12109166221272046</v>
      </c>
      <c r="CR26" s="1">
        <f t="shared" si="99"/>
        <v>2.6784140969162997E-3</v>
      </c>
      <c r="CS26" s="1">
        <f t="shared" si="100"/>
        <v>0.12355971060231638</v>
      </c>
      <c r="CT26" s="1">
        <f t="shared" si="101"/>
        <v>0.1783249580044724</v>
      </c>
      <c r="CU26" s="1">
        <f t="shared" si="102"/>
        <v>0.12004085261274401</v>
      </c>
      <c r="CV26" s="1">
        <f t="shared" si="103"/>
        <v>8.917576117881864E-3</v>
      </c>
      <c r="CW26" s="1">
        <f t="shared" si="104"/>
        <v>3.9474151667585541E-2</v>
      </c>
      <c r="CX26" s="1">
        <f t="shared" si="105"/>
        <v>1.9727062006383114E-3</v>
      </c>
      <c r="CY26" s="1">
        <f t="shared" si="106"/>
        <v>1.8548416189078498</v>
      </c>
      <c r="DA26" s="1">
        <f t="shared" si="107"/>
        <v>0.46210364176478474</v>
      </c>
      <c r="DB26" s="1">
        <f t="shared" si="108"/>
        <v>1.349869024527881E-2</v>
      </c>
      <c r="DC26" s="1">
        <f t="shared" si="109"/>
        <v>0.20304406807112405</v>
      </c>
      <c r="DD26" s="1">
        <f t="shared" si="110"/>
        <v>6.5284098102144431E-2</v>
      </c>
      <c r="DE26" s="1">
        <f t="shared" si="111"/>
        <v>1.4440122917305349E-3</v>
      </c>
      <c r="DF26" s="1">
        <f t="shared" si="112"/>
        <v>6.6614696016509281E-2</v>
      </c>
      <c r="DG26" s="1">
        <f t="shared" si="113"/>
        <v>9.6140261349900058E-2</v>
      </c>
      <c r="DH26" s="1">
        <f t="shared" si="114"/>
        <v>6.4717575554200324E-2</v>
      </c>
      <c r="DI26" s="1">
        <f t="shared" si="115"/>
        <v>4.8077291489354362E-3</v>
      </c>
      <c r="DJ26" s="1">
        <f t="shared" si="116"/>
        <v>2.128168317186474E-2</v>
      </c>
      <c r="DK26" s="1">
        <f t="shared" si="117"/>
        <v>1.063544283527486E-3</v>
      </c>
      <c r="DL26" s="1">
        <f t="shared" si="118"/>
        <v>0.99999999999999989</v>
      </c>
      <c r="DM26" s="156">
        <f t="shared" si="119"/>
        <v>50.504401091479231</v>
      </c>
      <c r="DN26" s="1">
        <f t="shared" si="120"/>
        <v>0.83715712756909877</v>
      </c>
      <c r="DO26" s="1">
        <f t="shared" si="121"/>
        <v>9.1388453507063195E-3</v>
      </c>
      <c r="DP26" s="1">
        <f t="shared" si="122"/>
        <v>4.0407606830062476E-2</v>
      </c>
      <c r="DQ26" s="1">
        <f t="shared" si="123"/>
        <v>8.114533226438625E-2</v>
      </c>
      <c r="DR26" s="1">
        <f t="shared" si="124"/>
        <v>0</v>
      </c>
      <c r="DS26" s="1">
        <f t="shared" si="125"/>
        <v>0.37216780301902519</v>
      </c>
      <c r="DT26" s="1">
        <f t="shared" si="126"/>
        <v>0.40479765467015233</v>
      </c>
      <c r="DU26" s="1">
        <f t="shared" si="127"/>
        <v>3.8722855681530325E-3</v>
      </c>
      <c r="DV26" s="1">
        <f t="shared" si="128"/>
        <v>0</v>
      </c>
      <c r="DW26" s="1">
        <f t="shared" si="129"/>
        <v>0</v>
      </c>
      <c r="DX26" s="1">
        <f t="shared" si="130"/>
        <v>1.7486866552715845</v>
      </c>
      <c r="DZ26" s="1">
        <f t="shared" si="131"/>
        <v>1.6743142551381975</v>
      </c>
      <c r="EA26" s="1">
        <f t="shared" si="132"/>
        <v>1.8277690701412639E-2</v>
      </c>
      <c r="EB26" s="1">
        <f t="shared" si="133"/>
        <v>0.12122282049018743</v>
      </c>
      <c r="EC26" s="1">
        <f t="shared" si="134"/>
        <v>8.114533226438625E-2</v>
      </c>
      <c r="ED26" s="1">
        <f t="shared" si="135"/>
        <v>0</v>
      </c>
      <c r="EE26" s="1">
        <f t="shared" si="136"/>
        <v>0.37216780301902519</v>
      </c>
      <c r="EF26" s="1">
        <f t="shared" si="137"/>
        <v>0.40479765467015233</v>
      </c>
      <c r="EG26" s="1">
        <f t="shared" si="138"/>
        <v>3.8722855681530325E-3</v>
      </c>
      <c r="EH26" s="1">
        <f t="shared" si="139"/>
        <v>0</v>
      </c>
      <c r="EI26" s="1">
        <f t="shared" si="140"/>
        <v>0</v>
      </c>
      <c r="EJ26" s="1">
        <f t="shared" si="141"/>
        <v>2.6757978418515145</v>
      </c>
      <c r="EK26" s="1">
        <f t="shared" si="142"/>
        <v>2.2423218623452916</v>
      </c>
      <c r="EM26" s="1">
        <f t="shared" si="143"/>
        <v>1.8771757293663764</v>
      </c>
      <c r="EN26" s="1">
        <f t="shared" si="144"/>
        <v>2.0492232726481405E-2</v>
      </c>
      <c r="EO26" s="1">
        <f t="shared" si="145"/>
        <v>0.12282427063362356</v>
      </c>
      <c r="EP26" s="1">
        <f t="shared" si="146"/>
        <v>5.8389449766580476E-2</v>
      </c>
      <c r="EQ26" s="1">
        <f t="shared" si="147"/>
        <v>0.18121372040020403</v>
      </c>
      <c r="ER26" s="1">
        <f t="shared" si="148"/>
        <v>0.18195395256370606</v>
      </c>
      <c r="ES26" s="1">
        <f t="shared" si="149"/>
        <v>0</v>
      </c>
      <c r="ET26" s="1">
        <f t="shared" si="150"/>
        <v>0.83452000117057623</v>
      </c>
      <c r="EU26" s="1">
        <f t="shared" si="151"/>
        <v>0.90768663089298218</v>
      </c>
      <c r="EV26" s="1">
        <f t="shared" si="152"/>
        <v>1.7365821173427408E-2</v>
      </c>
      <c r="EW26" s="1">
        <f t="shared" si="153"/>
        <v>0</v>
      </c>
      <c r="EX26" s="1">
        <f t="shared" si="154"/>
        <v>0</v>
      </c>
      <c r="EY26" s="1">
        <f t="shared" si="155"/>
        <v>4.0204080882937543</v>
      </c>
      <c r="EZ26" s="1">
        <f t="shared" si="156"/>
        <v>4.0816176587507684E-2</v>
      </c>
      <c r="FA26" s="1">
        <f t="shared" si="157"/>
        <v>6.0913482946698849E-2</v>
      </c>
      <c r="FB26" s="1">
        <f t="shared" si="158"/>
        <v>1.7365821173427408E-2</v>
      </c>
      <c r="FC26" s="1">
        <f t="shared" si="159"/>
        <v>4.1023628593153068E-2</v>
      </c>
      <c r="FD26" s="1">
        <f t="shared" si="160"/>
        <v>4.0900321020235247E-2</v>
      </c>
      <c r="FE26" s="1">
        <f t="shared" si="161"/>
        <v>0</v>
      </c>
      <c r="FF26" s="2">
        <f t="shared" si="162"/>
        <v>0.82576268127959385</v>
      </c>
      <c r="FG26" s="1">
        <f t="shared" si="163"/>
        <v>9.5355636227344165E-2</v>
      </c>
      <c r="FH26" s="1">
        <f t="shared" si="164"/>
        <v>1.0204080882937538</v>
      </c>
      <c r="FI26" s="1">
        <f t="shared" si="165"/>
        <v>0.82576268127959385</v>
      </c>
      <c r="FJ26" s="1">
        <f t="shared" si="166"/>
        <v>1.8227355624362176</v>
      </c>
      <c r="FK26" s="1">
        <f t="shared" si="167"/>
        <v>-3.8974162002725747</v>
      </c>
      <c r="FL26" s="1">
        <f t="shared" si="168"/>
        <v>-3.8974162002725747</v>
      </c>
      <c r="FM26" s="1">
        <f t="shared" si="169"/>
        <v>0.50504401091479223</v>
      </c>
      <c r="FN26" s="67">
        <f t="shared" ca="1" si="170"/>
        <v>1413.2582263571514</v>
      </c>
      <c r="FO26" s="67">
        <f t="shared" ca="1" si="171"/>
        <v>2.1556172828691045</v>
      </c>
      <c r="FP26" s="1">
        <f t="shared" ca="1" si="172"/>
        <v>0.14132582263571514</v>
      </c>
      <c r="FQ26" s="2">
        <f t="shared" ca="1" si="173"/>
        <v>1.4217511198539408</v>
      </c>
      <c r="FR26" s="2">
        <f t="shared" ca="1" si="174"/>
        <v>5.8972222327949337</v>
      </c>
      <c r="FS26" s="1">
        <f t="shared" ca="1" si="175"/>
        <v>3.6954772170862848</v>
      </c>
      <c r="FT26" s="1">
        <f t="shared" si="176"/>
        <v>6.7506023078230337E-2</v>
      </c>
      <c r="FU26" s="2">
        <f t="shared" si="177"/>
        <v>82.099496805082822</v>
      </c>
      <c r="FV26" s="2">
        <f t="shared" ca="1" si="178"/>
        <v>8.4260886324112629</v>
      </c>
      <c r="FW26" s="2">
        <f t="shared" ca="1" si="179"/>
        <v>0.25924301849892067</v>
      </c>
      <c r="FX26" s="2">
        <f t="shared" si="180"/>
        <v>0.22247816091954023</v>
      </c>
      <c r="FY26" s="1">
        <f t="shared" si="181"/>
        <v>0.92505245206640963</v>
      </c>
      <c r="FZ26" s="1">
        <f t="shared" si="182"/>
        <v>0.11969785908056957</v>
      </c>
      <c r="GA26" s="1">
        <f t="shared" si="183"/>
        <v>0.13059272725151858</v>
      </c>
      <c r="GB26" s="1">
        <f t="shared" si="184"/>
        <v>0.92111831750693818</v>
      </c>
      <c r="GC26" s="1">
        <f t="shared" si="185"/>
        <v>5.4539459639836418E-2</v>
      </c>
      <c r="GD26" s="1">
        <f t="shared" si="186"/>
        <v>0.14113777597619837</v>
      </c>
      <c r="GE26" s="1">
        <f t="shared" si="187"/>
        <v>0.8694072727484814</v>
      </c>
      <c r="GF26" s="1">
        <f t="shared" si="188"/>
        <v>0.31527996212313325</v>
      </c>
      <c r="GG26" s="1">
        <f t="shared" si="189"/>
        <v>-1.0577930230216467E-2</v>
      </c>
      <c r="GH26" s="1">
        <f t="shared" si="190"/>
        <v>2.3367946974713175E-2</v>
      </c>
      <c r="GI26" s="1">
        <f t="shared" si="191"/>
        <v>2.3367946974713175E-2</v>
      </c>
      <c r="GJ26" s="1">
        <f t="shared" si="192"/>
        <v>0.11776982900148519</v>
      </c>
      <c r="GK26" s="1">
        <f t="shared" si="193"/>
        <v>5.1579600958877203E-2</v>
      </c>
      <c r="GL26" s="1">
        <f t="shared" si="194"/>
        <v>0.78294040021169908</v>
      </c>
      <c r="GM26" s="1">
        <f t="shared" si="195"/>
        <v>0.90768663089298218</v>
      </c>
      <c r="GN26" s="1">
        <f t="shared" si="196"/>
        <v>1.7365821173427408E-2</v>
      </c>
      <c r="GO26" s="1">
        <f t="shared" si="197"/>
        <v>439.87348799226299</v>
      </c>
      <c r="GP26" s="1">
        <f t="shared" si="198"/>
        <v>11.788171098869546</v>
      </c>
      <c r="GQ26" s="1">
        <f t="shared" si="199"/>
        <v>2.1810062683945586</v>
      </c>
      <c r="GR26" s="1">
        <f t="shared" si="200"/>
        <v>8.9693882787726203E-6</v>
      </c>
      <c r="GS26" s="1">
        <f t="shared" si="201"/>
        <v>1834.7259695740127</v>
      </c>
      <c r="GT26" s="1">
        <f t="shared" ca="1" si="202"/>
        <v>0.34919497853620618</v>
      </c>
      <c r="GU26" s="2">
        <f t="shared" ca="1" si="203"/>
        <v>21.102953711717269</v>
      </c>
      <c r="GV26" s="4">
        <f t="shared" ca="1" si="204"/>
        <v>3.3445545990045633</v>
      </c>
      <c r="GW26" s="4">
        <f t="shared" ca="1" si="205"/>
        <v>2.8900746322600037</v>
      </c>
      <c r="GX26" s="4">
        <f t="shared" si="206"/>
        <v>4.1400000000000006</v>
      </c>
      <c r="GY26" s="4">
        <f t="shared" si="207"/>
        <v>5.3077524999999994</v>
      </c>
      <c r="GZ26" s="4">
        <f t="shared" ca="1" si="208"/>
        <v>3.3445545990045633</v>
      </c>
      <c r="HA26" s="1">
        <f t="shared" si="209"/>
        <v>439.87348799226299</v>
      </c>
      <c r="HB26" s="1">
        <f t="shared" si="210"/>
        <v>11.788171098869546</v>
      </c>
      <c r="HC26" s="4">
        <f t="shared" si="211"/>
        <v>0.15719485399577593</v>
      </c>
      <c r="HD26" s="4"/>
      <c r="HE26" s="7">
        <f t="shared" si="212"/>
        <v>0.14113777597619837</v>
      </c>
      <c r="HF26" s="7">
        <f t="shared" si="213"/>
        <v>0.83452000117057623</v>
      </c>
      <c r="HG26" s="7">
        <f t="shared" si="214"/>
        <v>1.7365821173427408E-2</v>
      </c>
      <c r="HH26" s="7">
        <f t="shared" si="215"/>
        <v>0</v>
      </c>
      <c r="HI26" s="7">
        <f t="shared" si="216"/>
        <v>2.3450355414080276E-2</v>
      </c>
      <c r="HJ26" s="7">
        <f t="shared" si="217"/>
        <v>0</v>
      </c>
      <c r="HK26" s="7">
        <f t="shared" si="218"/>
        <v>0</v>
      </c>
      <c r="HL26" s="7">
        <f t="shared" si="219"/>
        <v>5.8389449766580476E-2</v>
      </c>
      <c r="HM26" s="7">
        <f t="shared" si="220"/>
        <v>9.937391521954328E-2</v>
      </c>
      <c r="HN26" s="7">
        <f t="shared" si="221"/>
        <v>0.14465910002679769</v>
      </c>
      <c r="HO26" s="7">
        <f t="shared" si="222"/>
        <v>0.67132487757933157</v>
      </c>
      <c r="HP26" s="7">
        <f t="shared" si="223"/>
        <v>0.11353748268002709</v>
      </c>
      <c r="HQ26" s="7">
        <f t="shared" si="224"/>
        <v>6.4105703100301878E-2</v>
      </c>
      <c r="HR26" s="7">
        <f t="shared" si="225"/>
        <v>1.0841844833288461E-2</v>
      </c>
      <c r="HS26" s="7">
        <f t="shared" si="226"/>
        <v>1.7365821173427408E-2</v>
      </c>
      <c r="HT26" s="7"/>
      <c r="HU26" s="16">
        <f t="shared" si="227"/>
        <v>-8.7737731183793118E-7</v>
      </c>
      <c r="HV26" s="16">
        <f t="shared" si="228"/>
        <v>1.6494334644371063E-12</v>
      </c>
      <c r="HW26" s="16">
        <f t="shared" si="229"/>
        <v>2.7242239595932512E-5</v>
      </c>
      <c r="HX26" s="16">
        <f t="shared" si="230"/>
        <v>7.7818288939964156E-9</v>
      </c>
      <c r="HY26" s="7">
        <f t="shared" si="231"/>
        <v>2.1810062683945586</v>
      </c>
      <c r="HZ26" s="7">
        <f t="shared" ca="1" si="232"/>
        <v>456.89980903207788</v>
      </c>
      <c r="IA26" s="7">
        <f t="shared" ca="1" si="233"/>
        <v>3.3445545990045633</v>
      </c>
      <c r="IB26" s="7">
        <f t="shared" ca="1" si="234"/>
        <v>456.89998442975707</v>
      </c>
      <c r="IC26" s="7">
        <f t="shared" ca="1" si="235"/>
        <v>2.8900746322600037</v>
      </c>
      <c r="ID26" s="7">
        <f t="shared" ca="1" si="236"/>
        <v>3.3445545990045633</v>
      </c>
      <c r="IE26" s="7"/>
      <c r="IF26" s="2">
        <f t="shared" si="237"/>
        <v>6.7506023078230337E-2</v>
      </c>
      <c r="IG26" s="17">
        <f t="shared" ca="1" si="238"/>
        <v>1084.8063251047988</v>
      </c>
      <c r="IH26" s="17"/>
      <c r="II26" s="7">
        <f t="shared" si="239"/>
        <v>2.0735554632476831</v>
      </c>
      <c r="IJ26" s="17">
        <f t="shared" si="240"/>
        <v>1834.7259695740127</v>
      </c>
      <c r="IK26" s="16">
        <f t="shared" si="241"/>
        <v>1.2715815628303171E-5</v>
      </c>
      <c r="IM26" s="1">
        <f t="shared" si="242"/>
        <v>1</v>
      </c>
      <c r="IN26" s="166">
        <f t="shared" si="243"/>
        <v>0.43370600553707622</v>
      </c>
      <c r="IO26" s="166">
        <f t="shared" si="244"/>
        <v>9.4562768834053915E-2</v>
      </c>
      <c r="IP26" s="166">
        <f t="shared" si="245"/>
        <v>0.47173122562886982</v>
      </c>
      <c r="IR26" s="167">
        <f t="shared" si="246"/>
        <v>0.38154583018529481</v>
      </c>
      <c r="IS26" s="167">
        <f t="shared" si="247"/>
        <v>0.47173122562886982</v>
      </c>
      <c r="IU26" s="169">
        <v>0.1</v>
      </c>
      <c r="IV26" s="169">
        <v>0.9</v>
      </c>
      <c r="IW26" s="169">
        <v>0</v>
      </c>
      <c r="IX26" s="169"/>
      <c r="IY26" s="167">
        <f t="shared" si="248"/>
        <v>1.0392304845413263</v>
      </c>
      <c r="IZ26" s="167">
        <f t="shared" si="249"/>
        <v>0</v>
      </c>
    </row>
    <row r="27" spans="1:260" ht="13.2">
      <c r="A27" s="139" t="s">
        <v>201</v>
      </c>
      <c r="B27" s="139" t="s">
        <v>202</v>
      </c>
      <c r="C27" s="78">
        <f t="shared" si="43"/>
        <v>1.9</v>
      </c>
      <c r="D27" s="133">
        <f t="shared" si="44"/>
        <v>-273.14999999999998</v>
      </c>
      <c r="E27" s="15">
        <f t="shared" si="45"/>
        <v>-9.8626095410433323E-2</v>
      </c>
      <c r="F27" s="123">
        <v>51.5</v>
      </c>
      <c r="G27" s="123">
        <v>1.19</v>
      </c>
      <c r="H27" s="123">
        <v>19.2</v>
      </c>
      <c r="I27" s="123">
        <v>8.6999999999999993</v>
      </c>
      <c r="J27" s="123">
        <v>0.19</v>
      </c>
      <c r="K27" s="132">
        <v>4.9800000000000004</v>
      </c>
      <c r="L27" s="123">
        <v>10</v>
      </c>
      <c r="M27" s="123">
        <v>3.72</v>
      </c>
      <c r="N27" s="123">
        <v>0.42</v>
      </c>
      <c r="O27" s="123">
        <v>0</v>
      </c>
      <c r="P27" s="123">
        <v>0.14000000000000001</v>
      </c>
      <c r="Q27" s="123">
        <v>1</v>
      </c>
      <c r="R27" s="119">
        <f t="shared" si="46"/>
        <v>1.6947067</v>
      </c>
      <c r="T27" s="123">
        <v>50.3</v>
      </c>
      <c r="U27" s="123">
        <v>0.73</v>
      </c>
      <c r="V27" s="123">
        <v>4.12</v>
      </c>
      <c r="W27" s="123">
        <v>5.83</v>
      </c>
      <c r="X27" s="123">
        <v>0</v>
      </c>
      <c r="Y27" s="123">
        <v>15</v>
      </c>
      <c r="Z27" s="123">
        <v>22.7</v>
      </c>
      <c r="AA27" s="123">
        <v>6</v>
      </c>
      <c r="AB27" s="123">
        <v>0</v>
      </c>
      <c r="AC27" s="123">
        <v>0.28000000000000003</v>
      </c>
      <c r="AE27" s="112">
        <v>1100</v>
      </c>
      <c r="AF27" s="165">
        <f t="shared" si="48"/>
        <v>826.85</v>
      </c>
      <c r="AG27" s="165">
        <v>5</v>
      </c>
      <c r="AH27" s="91">
        <f t="shared" si="50"/>
        <v>0</v>
      </c>
      <c r="AI27" s="91">
        <f t="shared" si="51"/>
        <v>0</v>
      </c>
      <c r="AJ27" s="91"/>
      <c r="AK27" s="91">
        <f t="shared" si="52"/>
        <v>0</v>
      </c>
      <c r="AL27" s="91">
        <f t="shared" si="53"/>
        <v>0</v>
      </c>
      <c r="AM27" s="91"/>
      <c r="AN27" s="91" t="e">
        <f t="shared" si="54"/>
        <v>#NUM!</v>
      </c>
      <c r="AO27" s="91" t="e">
        <f t="shared" si="55"/>
        <v>#NUM!</v>
      </c>
      <c r="AP27" s="91">
        <f t="shared" si="56"/>
        <v>0</v>
      </c>
      <c r="AQ27" s="91"/>
      <c r="AR27" s="91" t="e">
        <f t="shared" ca="1" si="57"/>
        <v>#NUM!</v>
      </c>
      <c r="AS27" s="91" t="e">
        <f t="shared" ca="1" si="58"/>
        <v>#NUM!</v>
      </c>
      <c r="AT27" s="40" t="e">
        <f t="shared" ca="1" si="59"/>
        <v>#NUM!</v>
      </c>
      <c r="AV27" s="40">
        <f t="shared" si="60"/>
        <v>0</v>
      </c>
      <c r="AW27" s="40">
        <f t="shared" si="61"/>
        <v>0</v>
      </c>
      <c r="AX27" s="40">
        <f t="shared" si="62"/>
        <v>0</v>
      </c>
      <c r="AY27" s="40">
        <f t="shared" si="63"/>
        <v>0</v>
      </c>
      <c r="AZ27" s="40">
        <f t="shared" si="64"/>
        <v>0</v>
      </c>
      <c r="BA27" s="40"/>
      <c r="BB27" s="40">
        <f t="shared" si="65"/>
        <v>0</v>
      </c>
      <c r="BC27" s="40">
        <f t="shared" si="66"/>
        <v>0</v>
      </c>
      <c r="BD27" s="40">
        <f t="shared" si="67"/>
        <v>-273.14999999999998</v>
      </c>
      <c r="BE27" s="40" t="e">
        <f t="shared" si="68"/>
        <v>#NUM!</v>
      </c>
      <c r="BF27" s="40" t="e">
        <f t="shared" si="69"/>
        <v>#NUM!</v>
      </c>
      <c r="BG27" s="40" t="e">
        <f t="shared" si="70"/>
        <v>#NUM!</v>
      </c>
      <c r="BH27" s="40">
        <f t="shared" si="71"/>
        <v>1107.9062390703916</v>
      </c>
      <c r="BI27" s="40">
        <f t="shared" si="72"/>
        <v>1107.9062390703916</v>
      </c>
      <c r="BJ27" s="40">
        <f t="shared" si="73"/>
        <v>1149.1081343868286</v>
      </c>
      <c r="BK27" s="70">
        <f t="shared" si="74"/>
        <v>2.9839555797113064</v>
      </c>
      <c r="BL27" s="70">
        <f t="shared" si="75"/>
        <v>0.67813822686328895</v>
      </c>
      <c r="BM27" s="70">
        <f t="shared" si="76"/>
        <v>0.27110446272262045</v>
      </c>
      <c r="BN27" s="180">
        <f t="shared" si="27"/>
        <v>9.9570648000091647E-3</v>
      </c>
      <c r="BO27" s="180">
        <f t="shared" si="28"/>
        <v>1.7433039439054488E-2</v>
      </c>
      <c r="BP27" s="180">
        <f t="shared" si="29"/>
        <v>6.4663578304539268E-2</v>
      </c>
      <c r="BQ27" s="70">
        <f t="shared" si="77"/>
        <v>0</v>
      </c>
      <c r="BR27" s="40">
        <f t="shared" si="78"/>
        <v>1.0412963721295123</v>
      </c>
      <c r="BS27" s="53"/>
      <c r="BT27" s="70">
        <f t="shared" si="79"/>
        <v>0.77676432227372227</v>
      </c>
      <c r="BU27" s="70">
        <f t="shared" si="80"/>
        <v>0.10181697608927326</v>
      </c>
      <c r="BV27" s="70">
        <f t="shared" si="81"/>
        <v>0</v>
      </c>
      <c r="BW27" s="70">
        <f t="shared" si="82"/>
        <v>0</v>
      </c>
      <c r="BX27" s="180">
        <f t="shared" si="83"/>
        <v>9.4723559244504485E-2</v>
      </c>
      <c r="BY27" s="70">
        <f t="shared" si="84"/>
        <v>3.9840412020888194E-3</v>
      </c>
      <c r="BZ27" s="70">
        <f t="shared" si="85"/>
        <v>0.9772888988095888</v>
      </c>
      <c r="CA27" s="70">
        <f t="shared" si="86"/>
        <v>0.22247816091954029</v>
      </c>
      <c r="CB27" s="53"/>
      <c r="CC27" s="40"/>
      <c r="CD27" s="40" t="e">
        <f t="shared" si="87"/>
        <v>#NUM!</v>
      </c>
      <c r="CE27" s="40" t="e">
        <f t="shared" si="88"/>
        <v>#NUM!</v>
      </c>
      <c r="CF27" s="40">
        <f t="shared" si="89"/>
        <v>-61.357109850758583</v>
      </c>
      <c r="CG27" s="40" t="e">
        <f t="shared" si="90"/>
        <v>#NUM!</v>
      </c>
      <c r="CH27" s="54" t="e">
        <f t="shared" si="91"/>
        <v>#DIV/0!</v>
      </c>
      <c r="CJ27" s="40">
        <f t="shared" si="92"/>
        <v>20.80291744952935</v>
      </c>
      <c r="CK27" s="40">
        <f t="shared" si="93"/>
        <v>26.571594303761596</v>
      </c>
      <c r="CL27" s="40" t="e">
        <f t="shared" si="94"/>
        <v>#NUM!</v>
      </c>
      <c r="CM27" s="2"/>
      <c r="CN27" s="1">
        <f t="shared" si="95"/>
        <v>0.85712906699420643</v>
      </c>
      <c r="CO27" s="1">
        <f t="shared" si="96"/>
        <v>1.4897569818274685E-2</v>
      </c>
      <c r="CP27" s="1">
        <f t="shared" si="97"/>
        <v>0.37661458793067937</v>
      </c>
      <c r="CQ27" s="1">
        <f t="shared" si="98"/>
        <v>0.12109166221272046</v>
      </c>
      <c r="CR27" s="1">
        <f t="shared" si="99"/>
        <v>2.6784140969162997E-3</v>
      </c>
      <c r="CS27" s="1">
        <f t="shared" si="100"/>
        <v>0.12355971060231638</v>
      </c>
      <c r="CT27" s="1">
        <f t="shared" si="101"/>
        <v>0.1783249580044724</v>
      </c>
      <c r="CU27" s="1">
        <f t="shared" si="102"/>
        <v>0.12004085261274401</v>
      </c>
      <c r="CV27" s="1">
        <f t="shared" si="103"/>
        <v>8.917576117881864E-3</v>
      </c>
      <c r="CW27" s="1">
        <f t="shared" si="104"/>
        <v>0</v>
      </c>
      <c r="CX27" s="1">
        <f t="shared" si="105"/>
        <v>1.9727062006383114E-3</v>
      </c>
      <c r="CY27" s="1">
        <f t="shared" si="106"/>
        <v>1.8052271045908503</v>
      </c>
      <c r="DA27" s="1">
        <f t="shared" si="107"/>
        <v>0.47480400932073991</v>
      </c>
      <c r="DB27" s="1">
        <f t="shared" si="108"/>
        <v>8.2524629618006863E-3</v>
      </c>
      <c r="DC27" s="1">
        <f t="shared" si="109"/>
        <v>0.20862449216107798</v>
      </c>
      <c r="DD27" s="1">
        <f t="shared" si="110"/>
        <v>6.7078353690111212E-2</v>
      </c>
      <c r="DE27" s="1">
        <f t="shared" si="111"/>
        <v>1.4836992476485969E-3</v>
      </c>
      <c r="DF27" s="1">
        <f t="shared" si="112"/>
        <v>6.8445521501473816E-2</v>
      </c>
      <c r="DG27" s="1">
        <f t="shared" si="113"/>
        <v>9.8782561790135129E-2</v>
      </c>
      <c r="DH27" s="1">
        <f t="shared" si="114"/>
        <v>6.6496260945489702E-2</v>
      </c>
      <c r="DI27" s="1">
        <f t="shared" si="115"/>
        <v>4.9398638515916853E-3</v>
      </c>
      <c r="DJ27" s="1">
        <f t="shared" si="116"/>
        <v>0</v>
      </c>
      <c r="DK27" s="1">
        <f t="shared" si="117"/>
        <v>1.0927745299311909E-3</v>
      </c>
      <c r="DL27" s="1">
        <f t="shared" si="118"/>
        <v>0.99999999999999989</v>
      </c>
      <c r="DM27" s="156">
        <f t="shared" si="119"/>
        <v>50.504401091479224</v>
      </c>
      <c r="DN27" s="1">
        <f t="shared" si="120"/>
        <v>0.83715712756909877</v>
      </c>
      <c r="DO27" s="1">
        <f t="shared" si="121"/>
        <v>9.1388453507063195E-3</v>
      </c>
      <c r="DP27" s="1">
        <f t="shared" si="122"/>
        <v>4.0407606830062476E-2</v>
      </c>
      <c r="DQ27" s="1">
        <f t="shared" si="123"/>
        <v>8.114533226438625E-2</v>
      </c>
      <c r="DR27" s="1">
        <f t="shared" si="124"/>
        <v>0</v>
      </c>
      <c r="DS27" s="1">
        <f t="shared" si="125"/>
        <v>0.37216780301902519</v>
      </c>
      <c r="DT27" s="1">
        <f t="shared" si="126"/>
        <v>0.40479765467015233</v>
      </c>
      <c r="DU27" s="1">
        <f t="shared" si="127"/>
        <v>9.6807139203825818E-2</v>
      </c>
      <c r="DV27" s="1">
        <f t="shared" si="128"/>
        <v>0</v>
      </c>
      <c r="DW27" s="1">
        <f t="shared" si="129"/>
        <v>1.8421270778206586E-3</v>
      </c>
      <c r="DX27" s="1">
        <f t="shared" si="130"/>
        <v>1.843463635985078</v>
      </c>
      <c r="DZ27" s="1">
        <f t="shared" si="131"/>
        <v>1.6743142551381975</v>
      </c>
      <c r="EA27" s="1">
        <f t="shared" si="132"/>
        <v>1.8277690701412639E-2</v>
      </c>
      <c r="EB27" s="1">
        <f t="shared" si="133"/>
        <v>0.12122282049018743</v>
      </c>
      <c r="EC27" s="1">
        <f t="shared" si="134"/>
        <v>8.114533226438625E-2</v>
      </c>
      <c r="ED27" s="1">
        <f t="shared" si="135"/>
        <v>0</v>
      </c>
      <c r="EE27" s="1">
        <f t="shared" si="136"/>
        <v>0.37216780301902519</v>
      </c>
      <c r="EF27" s="1">
        <f t="shared" si="137"/>
        <v>0.40479765467015233</v>
      </c>
      <c r="EG27" s="1">
        <f t="shared" si="138"/>
        <v>9.6807139203825818E-2</v>
      </c>
      <c r="EH27" s="1">
        <f t="shared" si="139"/>
        <v>0</v>
      </c>
      <c r="EI27" s="1">
        <f t="shared" si="140"/>
        <v>5.5263812334619758E-3</v>
      </c>
      <c r="EJ27" s="1">
        <f t="shared" si="141"/>
        <v>2.7742590767206492</v>
      </c>
      <c r="EK27" s="1">
        <f t="shared" si="142"/>
        <v>2.162739612297631</v>
      </c>
      <c r="EM27" s="1">
        <f t="shared" si="143"/>
        <v>1.810552881510991</v>
      </c>
      <c r="EN27" s="1">
        <f t="shared" si="144"/>
        <v>1.9764942850634595E-2</v>
      </c>
      <c r="EO27" s="1">
        <f t="shared" si="145"/>
        <v>0.18944711848900897</v>
      </c>
      <c r="EP27" s="1">
        <f t="shared" si="146"/>
        <v>0</v>
      </c>
      <c r="EQ27" s="1">
        <f t="shared" si="147"/>
        <v>0.17478226385904885</v>
      </c>
      <c r="ER27" s="1">
        <f t="shared" si="148"/>
        <v>0.17549622444124116</v>
      </c>
      <c r="ES27" s="1">
        <f t="shared" si="149"/>
        <v>0</v>
      </c>
      <c r="ET27" s="1">
        <f t="shared" si="150"/>
        <v>0.80490205001102766</v>
      </c>
      <c r="EU27" s="1">
        <f t="shared" si="151"/>
        <v>0.8754719227203156</v>
      </c>
      <c r="EV27" s="1">
        <f t="shared" si="152"/>
        <v>0.41873726941865008</v>
      </c>
      <c r="EW27" s="1">
        <f t="shared" si="153"/>
        <v>0</v>
      </c>
      <c r="EX27" s="1">
        <f t="shared" si="154"/>
        <v>7.9680824041776389E-3</v>
      </c>
      <c r="EY27" s="1">
        <f t="shared" si="155"/>
        <v>4.2876756372160862</v>
      </c>
      <c r="EZ27" s="1">
        <f t="shared" si="156"/>
        <v>0.56068641980221223</v>
      </c>
      <c r="FA27" s="1">
        <f t="shared" si="157"/>
        <v>0.80512332057712044</v>
      </c>
      <c r="FB27" s="1">
        <f t="shared" si="158"/>
        <v>0</v>
      </c>
      <c r="FC27" s="1">
        <f t="shared" si="159"/>
        <v>0</v>
      </c>
      <c r="FD27" s="1">
        <f t="shared" si="160"/>
        <v>9.4723559244504485E-2</v>
      </c>
      <c r="FE27" s="1">
        <f t="shared" si="161"/>
        <v>3.9840412020888194E-3</v>
      </c>
      <c r="FF27" s="2">
        <f t="shared" si="162"/>
        <v>0.77676432227372227</v>
      </c>
      <c r="FG27" s="1">
        <f t="shared" si="163"/>
        <v>0.10181697608927326</v>
      </c>
      <c r="FH27" s="1">
        <f t="shared" si="164"/>
        <v>0.97728889880958891</v>
      </c>
      <c r="FI27" s="1">
        <f t="shared" si="165"/>
        <v>0.77676432227372227</v>
      </c>
      <c r="FJ27" s="1" t="e">
        <f t="shared" si="166"/>
        <v>#NUM!</v>
      </c>
      <c r="FK27" s="1" t="e">
        <f t="shared" si="167"/>
        <v>#NUM!</v>
      </c>
      <c r="FL27" s="1" t="e">
        <f t="shared" si="168"/>
        <v>#NUM!</v>
      </c>
      <c r="FM27" s="1">
        <f t="shared" si="169"/>
        <v>0.50504401091479223</v>
      </c>
      <c r="FN27" s="67">
        <f t="shared" si="170"/>
        <v>0</v>
      </c>
      <c r="FO27" s="67">
        <f t="shared" si="171"/>
        <v>0</v>
      </c>
      <c r="FP27" s="1">
        <f t="shared" si="172"/>
        <v>0</v>
      </c>
      <c r="FQ27" s="2" t="e">
        <f t="shared" si="173"/>
        <v>#NUM!</v>
      </c>
      <c r="FR27" s="2">
        <f t="shared" si="174"/>
        <v>7.0102272419489795</v>
      </c>
      <c r="FS27" s="1" t="e">
        <f t="shared" si="175"/>
        <v>#NUM!</v>
      </c>
      <c r="FT27" s="1">
        <f t="shared" si="176"/>
        <v>-0.20572759939328689</v>
      </c>
      <c r="FU27" s="2">
        <f t="shared" si="177"/>
        <v>82.099496805082822</v>
      </c>
      <c r="FV27" s="2" t="e">
        <f t="shared" si="178"/>
        <v>#NUM!</v>
      </c>
      <c r="FW27" s="2" t="e">
        <f t="shared" si="179"/>
        <v>#DIV/0!</v>
      </c>
      <c r="FX27" s="2">
        <f t="shared" si="180"/>
        <v>0.22247816091954029</v>
      </c>
      <c r="FY27" s="1">
        <f t="shared" si="181"/>
        <v>1.2942091921389656</v>
      </c>
      <c r="FZ27" s="1">
        <f t="shared" si="182"/>
        <v>0.58841944505702448</v>
      </c>
      <c r="GA27" s="1">
        <f t="shared" si="183"/>
        <v>0.1624427388615155</v>
      </c>
      <c r="GB27" s="1">
        <f t="shared" si="184"/>
        <v>0.98023505714936543</v>
      </c>
      <c r="GC27" s="1">
        <f t="shared" si="185"/>
        <v>-0.56052320249930887</v>
      </c>
      <c r="GD27" s="1">
        <f t="shared" si="186"/>
        <v>-0.3851901953609711</v>
      </c>
      <c r="GE27" s="1">
        <f t="shared" si="187"/>
        <v>0.8375572611384845</v>
      </c>
      <c r="GF27" s="1">
        <f t="shared" si="188"/>
        <v>-0.50085674701160943</v>
      </c>
      <c r="GG27" s="1">
        <f t="shared" si="189"/>
        <v>-0.11332649619700164</v>
      </c>
      <c r="GH27" s="1">
        <f t="shared" si="190"/>
        <v>0.54228238521715</v>
      </c>
      <c r="GI27" s="1">
        <f t="shared" si="191"/>
        <v>0.54228238521715</v>
      </c>
      <c r="GJ27" s="1">
        <f t="shared" si="192"/>
        <v>-0.9274725805781211</v>
      </c>
      <c r="GK27" s="1">
        <f t="shared" si="193"/>
        <v>-0.83649157735611557</v>
      </c>
      <c r="GL27" s="1">
        <f t="shared" si="194"/>
        <v>1.6413936273671432</v>
      </c>
      <c r="GM27" s="1">
        <f t="shared" si="195"/>
        <v>0.58126273058134992</v>
      </c>
      <c r="GN27" s="1">
        <f t="shared" si="196"/>
        <v>0.41873726941865008</v>
      </c>
      <c r="GO27" s="1">
        <f t="shared" si="197"/>
        <v>404.88534282193893</v>
      </c>
      <c r="GP27" s="1">
        <f t="shared" si="198"/>
        <v>12.195627257856064</v>
      </c>
      <c r="GQ27" s="1">
        <f t="shared" si="199"/>
        <v>3.2128653715997526</v>
      </c>
      <c r="GR27" s="1">
        <f t="shared" si="200"/>
        <v>1.3212908840703982E-5</v>
      </c>
      <c r="GS27" s="1">
        <f t="shared" si="201"/>
        <v>2615.4449347895484</v>
      </c>
      <c r="GT27" s="1">
        <f t="shared" si="202"/>
        <v>-0.14328472474407664</v>
      </c>
      <c r="GU27" s="2">
        <f t="shared" si="203"/>
        <v>-47.898165644735492</v>
      </c>
      <c r="GV27" s="4">
        <f t="shared" ca="1" si="204"/>
        <v>56.754874755498676</v>
      </c>
      <c r="GW27" s="4">
        <f t="shared" ca="1" si="205"/>
        <v>67.847005889146786</v>
      </c>
      <c r="GX27" s="4">
        <f t="shared" si="206"/>
        <v>4.1400000000000006</v>
      </c>
      <c r="GY27" s="4">
        <f t="shared" si="207"/>
        <v>5.3077524999999994</v>
      </c>
      <c r="GZ27" s="4">
        <f t="shared" ca="1" si="208"/>
        <v>56.754874755498676</v>
      </c>
      <c r="HA27" s="1">
        <f t="shared" si="209"/>
        <v>404.88534282193893</v>
      </c>
      <c r="HB27" s="1">
        <f t="shared" si="210"/>
        <v>12.195627257856064</v>
      </c>
      <c r="HC27" s="4">
        <f t="shared" si="211"/>
        <v>39.90113517637505</v>
      </c>
      <c r="HD27" s="4"/>
      <c r="HE27" s="7">
        <f t="shared" si="212"/>
        <v>-0.3851901953609711</v>
      </c>
      <c r="HF27" s="7">
        <f t="shared" si="213"/>
        <v>0.80490205001102766</v>
      </c>
      <c r="HG27" s="7">
        <f t="shared" si="214"/>
        <v>0.41873726941865008</v>
      </c>
      <c r="HH27" s="7">
        <f t="shared" si="215"/>
        <v>0</v>
      </c>
      <c r="HI27" s="7">
        <f t="shared" si="216"/>
        <v>0.14194915038356215</v>
      </c>
      <c r="HJ27" s="7">
        <f t="shared" si="217"/>
        <v>0</v>
      </c>
      <c r="HK27" s="7">
        <f t="shared" si="218"/>
        <v>0</v>
      </c>
      <c r="HL27" s="7">
        <f t="shared" si="219"/>
        <v>0</v>
      </c>
      <c r="HM27" s="7">
        <f t="shared" si="220"/>
        <v>4.7497968105446826E-2</v>
      </c>
      <c r="HN27" s="7">
        <f t="shared" si="221"/>
        <v>-0.91774914406964125</v>
      </c>
      <c r="HO27" s="7">
        <f t="shared" si="222"/>
        <v>1.3156234811251315</v>
      </c>
      <c r="HP27" s="7">
        <f t="shared" si="223"/>
        <v>-0.62959867689382487</v>
      </c>
      <c r="HQ27" s="7">
        <f t="shared" si="224"/>
        <v>-0.56421942640192202</v>
      </c>
      <c r="HR27" s="7">
        <f t="shared" si="225"/>
        <v>0.27001023426295639</v>
      </c>
      <c r="HS27" s="7">
        <f t="shared" si="226"/>
        <v>0.41873726941865008</v>
      </c>
      <c r="HT27" s="7"/>
      <c r="HU27" s="16">
        <f t="shared" si="227"/>
        <v>-8.5927378760475597E-7</v>
      </c>
      <c r="HV27" s="16">
        <f t="shared" si="228"/>
        <v>2.4310569350850391E-12</v>
      </c>
      <c r="HW27" s="16">
        <f t="shared" si="229"/>
        <v>2.4423715902183648E-5</v>
      </c>
      <c r="HX27" s="16">
        <f t="shared" si="230"/>
        <v>5.5627438743621021E-9</v>
      </c>
      <c r="HY27" s="7">
        <f t="shared" si="231"/>
        <v>3.2128653715997526</v>
      </c>
      <c r="HZ27" s="7">
        <f t="shared" ca="1" si="232"/>
        <v>402.11746611050637</v>
      </c>
      <c r="IA27" s="7">
        <f t="shared" ca="1" si="233"/>
        <v>56.754874755498676</v>
      </c>
      <c r="IB27" s="7">
        <f t="shared" ca="1" si="234"/>
        <v>402.11360843680251</v>
      </c>
      <c r="IC27" s="7">
        <f t="shared" ca="1" si="235"/>
        <v>67.847005889146786</v>
      </c>
      <c r="ID27" s="7">
        <f t="shared" ca="1" si="236"/>
        <v>56.754874755498676</v>
      </c>
      <c r="IE27" s="7"/>
      <c r="IF27" s="2">
        <f t="shared" si="237"/>
        <v>-0.20572759939328689</v>
      </c>
      <c r="IG27" s="17">
        <f t="shared" si="238"/>
        <v>-298.14999999999998</v>
      </c>
      <c r="IH27" s="17"/>
      <c r="II27" s="7">
        <f t="shared" si="239"/>
        <v>2.0963770827125181</v>
      </c>
      <c r="IJ27" s="17">
        <f t="shared" si="240"/>
        <v>2615.4449347895484</v>
      </c>
      <c r="IK27" s="16">
        <f t="shared" si="241"/>
        <v>7.0577882123946898E-6</v>
      </c>
      <c r="IM27" s="1">
        <f t="shared" si="242"/>
        <v>1</v>
      </c>
      <c r="IN27" s="166">
        <f t="shared" si="243"/>
        <v>0.43370600553707622</v>
      </c>
      <c r="IO27" s="166">
        <f t="shared" si="244"/>
        <v>9.4562768834053915E-2</v>
      </c>
      <c r="IP27" s="166">
        <f t="shared" si="245"/>
        <v>0.47173122562886982</v>
      </c>
      <c r="IR27" s="167">
        <f t="shared" si="246"/>
        <v>0.38154583018529481</v>
      </c>
      <c r="IS27" s="167">
        <f t="shared" si="247"/>
        <v>0.47173122562886982</v>
      </c>
      <c r="IU27" s="169">
        <v>0.1</v>
      </c>
      <c r="IV27" s="169">
        <v>0.9</v>
      </c>
      <c r="IW27" s="169">
        <v>0</v>
      </c>
      <c r="IX27" s="169"/>
      <c r="IY27" s="167">
        <f t="shared" si="248"/>
        <v>1.0392304845413263</v>
      </c>
      <c r="IZ27" s="167">
        <f t="shared" si="249"/>
        <v>0</v>
      </c>
    </row>
    <row r="28" spans="1:260" ht="13.2">
      <c r="A28" s="139" t="s">
        <v>201</v>
      </c>
      <c r="B28" s="139" t="s">
        <v>202</v>
      </c>
      <c r="C28" s="78">
        <f t="shared" si="43"/>
        <v>1.9</v>
      </c>
      <c r="D28" s="133">
        <f t="shared" ca="1" si="44"/>
        <v>1251.1078250978767</v>
      </c>
      <c r="E28" s="15">
        <f t="shared" si="45"/>
        <v>0.22763597082269135</v>
      </c>
      <c r="F28" s="123">
        <v>51.5</v>
      </c>
      <c r="G28" s="123">
        <v>1.19</v>
      </c>
      <c r="H28" s="123">
        <v>19.2</v>
      </c>
      <c r="I28" s="123">
        <v>8.6999999999999993</v>
      </c>
      <c r="J28" s="123">
        <v>0.19</v>
      </c>
      <c r="K28" s="132">
        <v>4.9800000000000004</v>
      </c>
      <c r="L28" s="123">
        <v>10</v>
      </c>
      <c r="M28" s="123">
        <v>3.72</v>
      </c>
      <c r="N28" s="123">
        <v>0.42</v>
      </c>
      <c r="O28" s="123">
        <v>0</v>
      </c>
      <c r="P28" s="123">
        <v>0.14000000000000001</v>
      </c>
      <c r="Q28" s="123">
        <v>4</v>
      </c>
      <c r="R28" s="119">
        <f t="shared" ca="1" si="46"/>
        <v>8.4300000609368144</v>
      </c>
      <c r="T28" s="123">
        <v>50.3</v>
      </c>
      <c r="U28" s="123">
        <v>0.73</v>
      </c>
      <c r="V28" s="123">
        <v>4.12</v>
      </c>
      <c r="W28" s="123">
        <v>5.83</v>
      </c>
      <c r="X28" s="123">
        <v>0</v>
      </c>
      <c r="Y28" s="123">
        <v>15</v>
      </c>
      <c r="Z28" s="123">
        <v>10</v>
      </c>
      <c r="AA28" s="123">
        <v>0.24</v>
      </c>
      <c r="AB28" s="123">
        <v>0</v>
      </c>
      <c r="AC28" s="123">
        <v>0.28000000000000003</v>
      </c>
      <c r="AE28" s="112">
        <f t="shared" si="47"/>
        <v>1422.7041608431005</v>
      </c>
      <c r="AF28" s="165">
        <f t="shared" si="48"/>
        <v>1149.5541608431004</v>
      </c>
      <c r="AG28" s="165">
        <v>5</v>
      </c>
      <c r="AH28" s="91">
        <f t="shared" ca="1" si="50"/>
        <v>1470.1392988276255</v>
      </c>
      <c r="AI28" s="91">
        <f t="shared" ca="1" si="51"/>
        <v>4.3833061401523228</v>
      </c>
      <c r="AJ28" s="91"/>
      <c r="AK28" s="91">
        <f t="shared" ca="1" si="52"/>
        <v>1524.2578250978768</v>
      </c>
      <c r="AL28" s="91">
        <f t="shared" ca="1" si="53"/>
        <v>4.4650471199654049</v>
      </c>
      <c r="AM28" s="91"/>
      <c r="AN28" s="91">
        <f t="shared" ca="1" si="54"/>
        <v>1406.9156210445619</v>
      </c>
      <c r="AO28" s="91">
        <f t="shared" ca="1" si="55"/>
        <v>1133.7656210445621</v>
      </c>
      <c r="AP28" s="91">
        <f t="shared" ca="1" si="56"/>
        <v>2.0785695693223296</v>
      </c>
      <c r="AQ28" s="91"/>
      <c r="AR28" s="91">
        <f t="shared" ca="1" si="57"/>
        <v>1334.1748100467087</v>
      </c>
      <c r="AS28" s="91">
        <f t="shared" ca="1" si="58"/>
        <v>1061.0248100467088</v>
      </c>
      <c r="AT28" s="40">
        <f t="shared" ca="1" si="59"/>
        <v>-0.5731016585652533</v>
      </c>
      <c r="AV28" s="40">
        <f t="shared" si="60"/>
        <v>1482.6946532737527</v>
      </c>
      <c r="AW28" s="40">
        <f t="shared" si="61"/>
        <v>1209.5446532737528</v>
      </c>
      <c r="AX28" s="40">
        <f t="shared" ca="1" si="62"/>
        <v>1470.1392988276255</v>
      </c>
      <c r="AY28" s="40">
        <f t="shared" ca="1" si="63"/>
        <v>1196.9892988276256</v>
      </c>
      <c r="AZ28" s="40">
        <f t="shared" ca="1" si="64"/>
        <v>4.3833061401523228</v>
      </c>
      <c r="BA28" s="40"/>
      <c r="BB28" s="40">
        <f t="shared" ca="1" si="65"/>
        <v>1524.2578250978768</v>
      </c>
      <c r="BC28" s="40">
        <f t="shared" ca="1" si="66"/>
        <v>4.4650471199654049</v>
      </c>
      <c r="BD28" s="40">
        <f t="shared" ca="1" si="67"/>
        <v>1251.1078250978767</v>
      </c>
      <c r="BE28" s="40">
        <f t="shared" ca="1" si="68"/>
        <v>9.4295307269613584</v>
      </c>
      <c r="BF28" s="40">
        <f t="shared" ca="1" si="69"/>
        <v>10.101076149205703</v>
      </c>
      <c r="BG28" s="40">
        <f t="shared" ca="1" si="70"/>
        <v>1145.3093903745839</v>
      </c>
      <c r="BH28" s="40">
        <f t="shared" ca="1" si="71"/>
        <v>1102.0953842636904</v>
      </c>
      <c r="BI28" s="40">
        <f t="shared" ca="1" si="72"/>
        <v>1102.0953842636904</v>
      </c>
      <c r="BJ28" s="40">
        <f t="shared" ca="1" si="73"/>
        <v>1172.8921504284062</v>
      </c>
      <c r="BK28" s="70">
        <f t="shared" si="74"/>
        <v>0.40499559363154802</v>
      </c>
      <c r="BL28" s="70">
        <f t="shared" si="75"/>
        <v>0.43426085724947294</v>
      </c>
      <c r="BM28" s="70">
        <f t="shared" si="76"/>
        <v>0.66705382775021815</v>
      </c>
      <c r="BN28" s="180">
        <f t="shared" si="27"/>
        <v>9.2547336036212471E-2</v>
      </c>
      <c r="BO28" s="180">
        <f t="shared" si="28"/>
        <v>1.7428906004410934E-2</v>
      </c>
      <c r="BP28" s="180">
        <f t="shared" si="29"/>
        <v>2.2453636593588421E-2</v>
      </c>
      <c r="BQ28" s="70">
        <f t="shared" si="77"/>
        <v>0</v>
      </c>
      <c r="BR28" s="40">
        <f t="shared" si="78"/>
        <v>1.2337445636339028</v>
      </c>
      <c r="BS28" s="53"/>
      <c r="BT28" s="70">
        <f t="shared" si="79"/>
        <v>0.20662488642678159</v>
      </c>
      <c r="BU28" s="70">
        <f t="shared" si="80"/>
        <v>0.45066786525515173</v>
      </c>
      <c r="BV28" s="70">
        <f t="shared" si="81"/>
        <v>0.22472380173785136</v>
      </c>
      <c r="BW28" s="70">
        <f t="shared" si="82"/>
        <v>1.8928813542387572E-2</v>
      </c>
      <c r="BX28" s="180">
        <f t="shared" si="83"/>
        <v>0</v>
      </c>
      <c r="BY28" s="70">
        <f t="shared" si="84"/>
        <v>4.5024158683216846E-3</v>
      </c>
      <c r="BZ28" s="70">
        <f t="shared" si="85"/>
        <v>0.90544778283049399</v>
      </c>
      <c r="CA28" s="70">
        <f t="shared" si="86"/>
        <v>0.22247816091954029</v>
      </c>
      <c r="CB28" s="53"/>
      <c r="CC28" s="40"/>
      <c r="CD28" s="40">
        <f t="shared" ca="1" si="87"/>
        <v>3.5838301014741774</v>
      </c>
      <c r="CE28" s="40">
        <f t="shared" ca="1" si="88"/>
        <v>12.484198314209305</v>
      </c>
      <c r="CF28" s="40">
        <f t="shared" ca="1" si="89"/>
        <v>0.51623562820993563</v>
      </c>
      <c r="CG28" s="40">
        <f t="shared" ca="1" si="90"/>
        <v>1216.2497583733343</v>
      </c>
      <c r="CH28" s="54">
        <f t="shared" ca="1" si="91"/>
        <v>0.27907437569821181</v>
      </c>
      <c r="CJ28" s="40">
        <f t="shared" si="92"/>
        <v>16.494836766641853</v>
      </c>
      <c r="CK28" s="40">
        <f t="shared" si="93"/>
        <v>18.531011538215211</v>
      </c>
      <c r="CL28" s="40">
        <f t="shared" ca="1" si="94"/>
        <v>1309.1192996867844</v>
      </c>
      <c r="CM28" s="2"/>
      <c r="CN28" s="1">
        <f t="shared" si="95"/>
        <v>0.85712906699420643</v>
      </c>
      <c r="CO28" s="1">
        <f t="shared" si="96"/>
        <v>1.4897569818274685E-2</v>
      </c>
      <c r="CP28" s="1">
        <f t="shared" si="97"/>
        <v>0.37661458793067937</v>
      </c>
      <c r="CQ28" s="1">
        <f t="shared" si="98"/>
        <v>0.12109166221272046</v>
      </c>
      <c r="CR28" s="1">
        <f t="shared" si="99"/>
        <v>2.6784140969162997E-3</v>
      </c>
      <c r="CS28" s="1">
        <f t="shared" si="100"/>
        <v>0.12355971060231638</v>
      </c>
      <c r="CT28" s="1">
        <f t="shared" si="101"/>
        <v>0.1783249580044724</v>
      </c>
      <c r="CU28" s="1">
        <f t="shared" si="102"/>
        <v>0.12004085261274401</v>
      </c>
      <c r="CV28" s="1">
        <f t="shared" si="103"/>
        <v>8.917576117881864E-3</v>
      </c>
      <c r="CW28" s="1">
        <f t="shared" si="104"/>
        <v>0</v>
      </c>
      <c r="CX28" s="1">
        <f t="shared" si="105"/>
        <v>1.9727062006383114E-3</v>
      </c>
      <c r="CY28" s="1">
        <f t="shared" si="106"/>
        <v>1.8052271045908503</v>
      </c>
      <c r="DA28" s="1">
        <f t="shared" si="107"/>
        <v>0.47480400932073991</v>
      </c>
      <c r="DB28" s="1">
        <f t="shared" si="108"/>
        <v>8.2524629618006863E-3</v>
      </c>
      <c r="DC28" s="1">
        <f t="shared" si="109"/>
        <v>0.20862449216107798</v>
      </c>
      <c r="DD28" s="1">
        <f t="shared" si="110"/>
        <v>6.7078353690111212E-2</v>
      </c>
      <c r="DE28" s="1">
        <f t="shared" si="111"/>
        <v>1.4836992476485969E-3</v>
      </c>
      <c r="DF28" s="1">
        <f t="shared" si="112"/>
        <v>6.8445521501473816E-2</v>
      </c>
      <c r="DG28" s="1">
        <f t="shared" si="113"/>
        <v>9.8782561790135129E-2</v>
      </c>
      <c r="DH28" s="1">
        <f t="shared" si="114"/>
        <v>6.6496260945489702E-2</v>
      </c>
      <c r="DI28" s="1">
        <f t="shared" si="115"/>
        <v>4.9398638515916853E-3</v>
      </c>
      <c r="DJ28" s="1">
        <f t="shared" si="116"/>
        <v>0</v>
      </c>
      <c r="DK28" s="1">
        <f t="shared" si="117"/>
        <v>1.0927745299311909E-3</v>
      </c>
      <c r="DL28" s="1">
        <f t="shared" si="118"/>
        <v>0.99999999999999989</v>
      </c>
      <c r="DM28" s="156">
        <f t="shared" si="119"/>
        <v>50.504401091479224</v>
      </c>
      <c r="DN28" s="1">
        <f t="shared" si="120"/>
        <v>0.83715712756909877</v>
      </c>
      <c r="DO28" s="1">
        <f t="shared" si="121"/>
        <v>9.1388453507063195E-3</v>
      </c>
      <c r="DP28" s="1">
        <f t="shared" si="122"/>
        <v>4.0407606830062476E-2</v>
      </c>
      <c r="DQ28" s="1">
        <f t="shared" si="123"/>
        <v>8.114533226438625E-2</v>
      </c>
      <c r="DR28" s="1">
        <f t="shared" si="124"/>
        <v>0</v>
      </c>
      <c r="DS28" s="1">
        <f t="shared" si="125"/>
        <v>0.37216780301902519</v>
      </c>
      <c r="DT28" s="1">
        <f t="shared" si="126"/>
        <v>0.1783249580044724</v>
      </c>
      <c r="DU28" s="1">
        <f t="shared" si="127"/>
        <v>3.8722855681530325E-3</v>
      </c>
      <c r="DV28" s="1">
        <f t="shared" si="128"/>
        <v>0</v>
      </c>
      <c r="DW28" s="1">
        <f t="shared" si="129"/>
        <v>1.8421270778206586E-3</v>
      </c>
      <c r="DX28" s="1">
        <f t="shared" si="130"/>
        <v>1.5240560856837251</v>
      </c>
      <c r="DZ28" s="1">
        <f t="shared" si="131"/>
        <v>1.6743142551381975</v>
      </c>
      <c r="EA28" s="1">
        <f t="shared" si="132"/>
        <v>1.8277690701412639E-2</v>
      </c>
      <c r="EB28" s="1">
        <f t="shared" si="133"/>
        <v>0.12122282049018743</v>
      </c>
      <c r="EC28" s="1">
        <f t="shared" si="134"/>
        <v>8.114533226438625E-2</v>
      </c>
      <c r="ED28" s="1">
        <f t="shared" si="135"/>
        <v>0</v>
      </c>
      <c r="EE28" s="1">
        <f t="shared" si="136"/>
        <v>0.37216780301902519</v>
      </c>
      <c r="EF28" s="1">
        <f t="shared" si="137"/>
        <v>0.1783249580044724</v>
      </c>
      <c r="EG28" s="1">
        <f t="shared" si="138"/>
        <v>3.8722855681530325E-3</v>
      </c>
      <c r="EH28" s="1">
        <f t="shared" si="139"/>
        <v>0</v>
      </c>
      <c r="EI28" s="1">
        <f t="shared" si="140"/>
        <v>5.5263812334619758E-3</v>
      </c>
      <c r="EJ28" s="1">
        <f t="shared" si="141"/>
        <v>2.4548515264192967</v>
      </c>
      <c r="EK28" s="1">
        <f t="shared" si="142"/>
        <v>2.4441396701297609</v>
      </c>
      <c r="EM28" s="1">
        <f t="shared" si="143"/>
        <v>2.046128945623515</v>
      </c>
      <c r="EN28" s="1">
        <f t="shared" si="144"/>
        <v>2.2336614460842244E-2</v>
      </c>
      <c r="EO28" s="1">
        <f t="shared" si="145"/>
        <v>-4.6128945623514994E-2</v>
      </c>
      <c r="EP28" s="1">
        <f t="shared" si="146"/>
        <v>0.24365261528023893</v>
      </c>
      <c r="EQ28" s="1">
        <f t="shared" si="147"/>
        <v>0.19752366965672394</v>
      </c>
      <c r="ER28" s="1">
        <f t="shared" si="148"/>
        <v>0.19833052563324685</v>
      </c>
      <c r="ES28" s="1">
        <f t="shared" si="149"/>
        <v>0</v>
      </c>
      <c r="ET28" s="1">
        <f t="shared" si="150"/>
        <v>0.9096300913038381</v>
      </c>
      <c r="EU28" s="1">
        <f t="shared" si="151"/>
        <v>0.43585110403295463</v>
      </c>
      <c r="EV28" s="1">
        <f t="shared" si="152"/>
        <v>1.8928813542387572E-2</v>
      </c>
      <c r="EW28" s="1">
        <f t="shared" si="153"/>
        <v>0</v>
      </c>
      <c r="EX28" s="1">
        <f t="shared" si="154"/>
        <v>9.0048317366433692E-3</v>
      </c>
      <c r="EY28" s="1">
        <f t="shared" si="155"/>
        <v>3.8377345959901521</v>
      </c>
      <c r="EZ28" s="1">
        <f t="shared" si="156"/>
        <v>0</v>
      </c>
      <c r="FA28" s="1">
        <f t="shared" si="157"/>
        <v>-0.50737871507651633</v>
      </c>
      <c r="FB28" s="1">
        <f t="shared" si="158"/>
        <v>1.8928813542387572E-2</v>
      </c>
      <c r="FC28" s="1">
        <f t="shared" si="159"/>
        <v>0.22472380173785136</v>
      </c>
      <c r="FD28" s="1">
        <f t="shared" si="160"/>
        <v>0</v>
      </c>
      <c r="FE28" s="1">
        <f t="shared" si="161"/>
        <v>4.5024158683216846E-3</v>
      </c>
      <c r="FF28" s="2">
        <f t="shared" si="162"/>
        <v>0.20662488642678159</v>
      </c>
      <c r="FG28" s="1">
        <f t="shared" si="163"/>
        <v>0.45066786525515173</v>
      </c>
      <c r="FH28" s="1">
        <f t="shared" si="164"/>
        <v>0.90544778283049387</v>
      </c>
      <c r="FI28" s="1">
        <f t="shared" si="165"/>
        <v>0.20662488642678159</v>
      </c>
      <c r="FJ28" s="1">
        <f t="shared" si="166"/>
        <v>1.8004652428354744</v>
      </c>
      <c r="FK28" s="1">
        <f t="shared" si="167"/>
        <v>-2.4258324721820448</v>
      </c>
      <c r="FL28" s="1">
        <f t="shared" si="168"/>
        <v>-2.4258324721820448</v>
      </c>
      <c r="FM28" s="1">
        <f t="shared" si="169"/>
        <v>0.50504401091479223</v>
      </c>
      <c r="FN28" s="67">
        <f t="shared" ca="1" si="170"/>
        <v>1470.1392988276255</v>
      </c>
      <c r="FO28" s="67">
        <f t="shared" ca="1" si="171"/>
        <v>4.3833061401523228</v>
      </c>
      <c r="FP28" s="1">
        <f t="shared" ca="1" si="172"/>
        <v>0.14701392988276255</v>
      </c>
      <c r="FQ28" s="2">
        <f t="shared" ca="1" si="173"/>
        <v>1.6186403571176455</v>
      </c>
      <c r="FR28" s="2">
        <f t="shared" ca="1" si="174"/>
        <v>5.9082022641034797</v>
      </c>
      <c r="FS28" s="1">
        <f t="shared" ca="1" si="175"/>
        <v>14.86388099211881</v>
      </c>
      <c r="FT28" s="1">
        <f t="shared" si="176"/>
        <v>0.48375815450840054</v>
      </c>
      <c r="FU28" s="2">
        <f t="shared" si="177"/>
        <v>82.099496805082822</v>
      </c>
      <c r="FV28" s="2">
        <f t="shared" ca="1" si="178"/>
        <v>13.830853466100949</v>
      </c>
      <c r="FW28" s="2">
        <f t="shared" ca="1" si="179"/>
        <v>0.29090399946042123</v>
      </c>
      <c r="FX28" s="2">
        <f t="shared" si="180"/>
        <v>0.22247816091954029</v>
      </c>
      <c r="FY28" s="1">
        <f t="shared" si="181"/>
        <v>0.4547799175753422</v>
      </c>
      <c r="FZ28" s="1">
        <f t="shared" si="182"/>
        <v>0.27499406147772454</v>
      </c>
      <c r="GA28" s="1">
        <f t="shared" si="183"/>
        <v>0.11828952982603741</v>
      </c>
      <c r="GB28" s="1">
        <f t="shared" si="184"/>
        <v>0.73401077025891881</v>
      </c>
      <c r="GC28" s="1">
        <f t="shared" si="185"/>
        <v>0.37394984667816622</v>
      </c>
      <c r="GD28" s="1">
        <f t="shared" si="186"/>
        <v>0.19833052563324685</v>
      </c>
      <c r="GE28" s="1">
        <f t="shared" si="187"/>
        <v>0.88171047017396265</v>
      </c>
      <c r="GF28" s="1">
        <f t="shared" si="188"/>
        <v>0.78665649667212501</v>
      </c>
      <c r="GG28" s="1">
        <f t="shared" si="189"/>
        <v>-0.10813378553308456</v>
      </c>
      <c r="GH28" s="1">
        <f t="shared" si="190"/>
        <v>9.409750891620404E-2</v>
      </c>
      <c r="GI28" s="1">
        <f t="shared" si="191"/>
        <v>9.409750891620404E-2</v>
      </c>
      <c r="GJ28" s="1">
        <f t="shared" si="192"/>
        <v>0.10423301671704281</v>
      </c>
      <c r="GK28" s="1">
        <f t="shared" si="193"/>
        <v>0.45112257350845375</v>
      </c>
      <c r="GL28" s="1">
        <f t="shared" si="194"/>
        <v>0.45850751779538435</v>
      </c>
      <c r="GM28" s="1">
        <f t="shared" si="195"/>
        <v>0.43585110403295463</v>
      </c>
      <c r="GN28" s="1">
        <f t="shared" si="196"/>
        <v>1.8928813542387572E-2</v>
      </c>
      <c r="GO28" s="1">
        <f t="shared" si="197"/>
        <v>426.23258577884832</v>
      </c>
      <c r="GP28" s="1">
        <f t="shared" si="198"/>
        <v>11.699607838082395</v>
      </c>
      <c r="GQ28" s="1">
        <f t="shared" si="199"/>
        <v>1.9727998679188701</v>
      </c>
      <c r="GR28" s="1">
        <f t="shared" si="200"/>
        <v>8.1131394568163512E-6</v>
      </c>
      <c r="GS28" s="1">
        <f t="shared" si="201"/>
        <v>1671.5441796178725</v>
      </c>
      <c r="GT28" s="1">
        <f t="shared" ca="1" si="202"/>
        <v>0.35443717755536286</v>
      </c>
      <c r="GU28" s="2">
        <f t="shared" ca="1" si="203"/>
        <v>13.490860628209937</v>
      </c>
      <c r="GV28" s="4">
        <f t="shared" ca="1" si="204"/>
        <v>17.305827435209434</v>
      </c>
      <c r="GW28" s="4">
        <f t="shared" ca="1" si="205"/>
        <v>19.445629906189986</v>
      </c>
      <c r="GX28" s="4">
        <f t="shared" si="206"/>
        <v>4.1400000000000006</v>
      </c>
      <c r="GY28" s="4">
        <f t="shared" si="207"/>
        <v>5.3077524999999994</v>
      </c>
      <c r="GZ28" s="4">
        <f t="shared" ca="1" si="208"/>
        <v>17.305827435209434</v>
      </c>
      <c r="HA28" s="1">
        <f t="shared" si="209"/>
        <v>426.23258577884832</v>
      </c>
      <c r="HB28" s="1">
        <f t="shared" si="210"/>
        <v>11.699607838082395</v>
      </c>
      <c r="HC28" s="4">
        <f t="shared" si="211"/>
        <v>19.626788703628193</v>
      </c>
      <c r="HD28" s="4"/>
      <c r="HE28" s="7">
        <f t="shared" si="212"/>
        <v>0.19833052563324685</v>
      </c>
      <c r="HF28" s="7">
        <f t="shared" si="213"/>
        <v>0.9096300913038381</v>
      </c>
      <c r="HG28" s="7">
        <f t="shared" si="214"/>
        <v>0</v>
      </c>
      <c r="HH28" s="7">
        <f t="shared" si="215"/>
        <v>1.8928813542387572E-2</v>
      </c>
      <c r="HI28" s="7">
        <f t="shared" si="216"/>
        <v>0</v>
      </c>
      <c r="HJ28" s="7">
        <f t="shared" si="217"/>
        <v>1.8928813542387572E-2</v>
      </c>
      <c r="HK28" s="7">
        <f t="shared" si="218"/>
        <v>0</v>
      </c>
      <c r="HL28" s="7">
        <f t="shared" si="219"/>
        <v>0.22472380173785136</v>
      </c>
      <c r="HM28" s="7">
        <f t="shared" si="220"/>
        <v>0.27840186239617926</v>
      </c>
      <c r="HN28" s="7">
        <f t="shared" si="221"/>
        <v>0.17900503194917167</v>
      </c>
      <c r="HO28" s="7">
        <f t="shared" si="222"/>
        <v>0.12926503510721155</v>
      </c>
      <c r="HP28" s="7">
        <f t="shared" si="223"/>
        <v>2.8184206529563827E-2</v>
      </c>
      <c r="HQ28" s="7">
        <f t="shared" si="224"/>
        <v>0.44762294415090198</v>
      </c>
      <c r="HR28" s="7">
        <f t="shared" si="225"/>
        <v>9.7597138273755879E-2</v>
      </c>
      <c r="HS28" s="7">
        <f t="shared" si="226"/>
        <v>1.8928813542387572E-2</v>
      </c>
      <c r="HT28" s="7"/>
      <c r="HU28" s="16">
        <f t="shared" si="227"/>
        <v>-8.1937352309566785E-7</v>
      </c>
      <c r="HV28" s="16">
        <f t="shared" si="228"/>
        <v>1.1294555653189515E-12</v>
      </c>
      <c r="HW28" s="16">
        <f t="shared" si="229"/>
        <v>2.490107986236111E-5</v>
      </c>
      <c r="HX28" s="16">
        <f t="shared" si="230"/>
        <v>6.9072229550789412E-9</v>
      </c>
      <c r="HY28" s="7">
        <f t="shared" si="231"/>
        <v>1.9727998679188701</v>
      </c>
      <c r="HZ28" s="7">
        <f t="shared" ca="1" si="232"/>
        <v>443.66598333631373</v>
      </c>
      <c r="IA28" s="7">
        <f t="shared" ca="1" si="233"/>
        <v>17.305827435209434</v>
      </c>
      <c r="IB28" s="7">
        <f t="shared" ca="1" si="234"/>
        <v>443.6652360616477</v>
      </c>
      <c r="IC28" s="7">
        <f t="shared" ca="1" si="235"/>
        <v>19.445629906189986</v>
      </c>
      <c r="ID28" s="7">
        <f t="shared" ca="1" si="236"/>
        <v>17.305827435209434</v>
      </c>
      <c r="IE28" s="7"/>
      <c r="IF28" s="2">
        <f t="shared" si="237"/>
        <v>0.48375815450840054</v>
      </c>
      <c r="IG28" s="17">
        <f t="shared" ca="1" si="238"/>
        <v>1226.1078250978767</v>
      </c>
      <c r="IH28" s="17"/>
      <c r="II28" s="7">
        <f t="shared" si="239"/>
        <v>2.0685950350109952</v>
      </c>
      <c r="IJ28" s="17">
        <f t="shared" si="240"/>
        <v>1671.5441796178725</v>
      </c>
      <c r="IK28" s="16">
        <f t="shared" si="241"/>
        <v>1.3857480724244862E-5</v>
      </c>
      <c r="IM28" s="1">
        <f t="shared" si="242"/>
        <v>1</v>
      </c>
      <c r="IN28" s="166">
        <f t="shared" si="243"/>
        <v>0.58921050990096158</v>
      </c>
      <c r="IO28" s="166">
        <f t="shared" si="244"/>
        <v>0.12846807867777277</v>
      </c>
      <c r="IP28" s="166">
        <f t="shared" si="245"/>
        <v>0.2823214114212656</v>
      </c>
      <c r="IR28" s="167">
        <f t="shared" si="246"/>
        <v>0.311340502495835</v>
      </c>
      <c r="IS28" s="167">
        <f t="shared" si="247"/>
        <v>0.2823214114212656</v>
      </c>
      <c r="IU28" s="169">
        <v>0.1</v>
      </c>
      <c r="IV28" s="169">
        <v>0.9</v>
      </c>
      <c r="IW28" s="169">
        <v>0</v>
      </c>
      <c r="IX28" s="169"/>
      <c r="IY28" s="167">
        <f t="shared" si="248"/>
        <v>1.0392304845413263</v>
      </c>
      <c r="IZ28" s="167">
        <f t="shared" si="249"/>
        <v>0</v>
      </c>
    </row>
    <row r="29" spans="1:260" ht="13.2">
      <c r="A29" s="139" t="s">
        <v>201</v>
      </c>
      <c r="B29" s="139" t="s">
        <v>202</v>
      </c>
      <c r="C29" s="78">
        <f t="shared" si="43"/>
        <v>1.9</v>
      </c>
      <c r="D29" s="133">
        <f t="shared" ca="1" si="44"/>
        <v>1138.1213977189077</v>
      </c>
      <c r="E29" s="15">
        <f t="shared" ca="1" si="45"/>
        <v>9.2517256954637861E-2</v>
      </c>
      <c r="F29" s="123">
        <v>65</v>
      </c>
      <c r="G29" s="123">
        <v>1.19</v>
      </c>
      <c r="H29" s="123">
        <v>19.2</v>
      </c>
      <c r="I29" s="123">
        <v>8.6999999999999993</v>
      </c>
      <c r="J29" s="123">
        <v>0.19</v>
      </c>
      <c r="K29" s="132">
        <v>4.9800000000000004</v>
      </c>
      <c r="L29" s="123">
        <v>10</v>
      </c>
      <c r="M29" s="123">
        <v>3.72</v>
      </c>
      <c r="N29" s="123">
        <v>0.9</v>
      </c>
      <c r="O29" s="123">
        <v>0</v>
      </c>
      <c r="P29" s="123">
        <v>0.14000000000000001</v>
      </c>
      <c r="Q29" s="123">
        <v>6.2</v>
      </c>
      <c r="R29" s="119">
        <f t="shared" ca="1" si="46"/>
        <v>2.6149461071991684</v>
      </c>
      <c r="T29" s="123">
        <v>50.3</v>
      </c>
      <c r="U29" s="123">
        <v>0.73</v>
      </c>
      <c r="V29" s="123">
        <v>8</v>
      </c>
      <c r="W29" s="123">
        <v>5.83</v>
      </c>
      <c r="X29" s="123">
        <v>0</v>
      </c>
      <c r="Y29" s="123">
        <v>15</v>
      </c>
      <c r="Z29" s="123">
        <v>22.7</v>
      </c>
      <c r="AA29" s="123">
        <v>0.24</v>
      </c>
      <c r="AB29" s="123">
        <v>0</v>
      </c>
      <c r="AC29" s="123">
        <v>0.28000000000000003</v>
      </c>
      <c r="AE29" s="112">
        <f t="shared" ca="1" si="47"/>
        <v>1289.6946602093108</v>
      </c>
      <c r="AF29" s="165">
        <f t="shared" ca="1" si="48"/>
        <v>1016.5446602093108</v>
      </c>
      <c r="AG29" s="165">
        <f t="shared" ca="1" si="49"/>
        <v>7.23258433817493E-2</v>
      </c>
      <c r="AH29" s="91">
        <f t="shared" ca="1" si="50"/>
        <v>1415.6648965232575</v>
      </c>
      <c r="AI29" s="91">
        <f t="shared" ca="1" si="51"/>
        <v>0.74494039611960172</v>
      </c>
      <c r="AJ29" s="91"/>
      <c r="AK29" s="91">
        <f t="shared" ca="1" si="52"/>
        <v>1411.2713977189076</v>
      </c>
      <c r="AL29" s="91">
        <f t="shared" ca="1" si="53"/>
        <v>-0.22600730893899268</v>
      </c>
      <c r="AM29" s="91"/>
      <c r="AN29" s="91">
        <f t="shared" ca="1" si="54"/>
        <v>1269.3410630567557</v>
      </c>
      <c r="AO29" s="91">
        <f t="shared" ca="1" si="55"/>
        <v>996.19106305675575</v>
      </c>
      <c r="AP29" s="91">
        <f t="shared" ca="1" si="56"/>
        <v>-4.532489072142794</v>
      </c>
      <c r="AQ29" s="91"/>
      <c r="AR29" s="91">
        <f t="shared" ca="1" si="57"/>
        <v>1264.6230796992061</v>
      </c>
      <c r="AS29" s="91">
        <f t="shared" ca="1" si="58"/>
        <v>991.4730796992061</v>
      </c>
      <c r="AT29" s="40">
        <f t="shared" ca="1" si="59"/>
        <v>-4.7026515385847647</v>
      </c>
      <c r="AV29" s="40">
        <f t="shared" si="60"/>
        <v>1421.7323729880502</v>
      </c>
      <c r="AW29" s="40">
        <f t="shared" si="61"/>
        <v>1148.5823729880503</v>
      </c>
      <c r="AX29" s="40">
        <f t="shared" ca="1" si="62"/>
        <v>1415.6648965232575</v>
      </c>
      <c r="AY29" s="40">
        <f t="shared" ca="1" si="63"/>
        <v>1142.5148965232574</v>
      </c>
      <c r="AZ29" s="40">
        <f t="shared" ca="1" si="64"/>
        <v>0.74494039611960172</v>
      </c>
      <c r="BA29" s="40"/>
      <c r="BB29" s="40">
        <f t="shared" ca="1" si="65"/>
        <v>1411.2713977189076</v>
      </c>
      <c r="BC29" s="40">
        <f t="shared" ca="1" si="66"/>
        <v>-0.22600730893899268</v>
      </c>
      <c r="BD29" s="40">
        <f t="shared" ca="1" si="67"/>
        <v>1138.1213977189077</v>
      </c>
      <c r="BE29" s="40">
        <f t="shared" ca="1" si="68"/>
        <v>5.7745350940215916</v>
      </c>
      <c r="BF29" s="40">
        <f t="shared" ca="1" si="69"/>
        <v>9.009374713509235</v>
      </c>
      <c r="BG29" s="40">
        <f t="shared" ca="1" si="70"/>
        <v>1019.4479481829306</v>
      </c>
      <c r="BH29" s="40">
        <f t="shared" ca="1" si="71"/>
        <v>1033.6702103839825</v>
      </c>
      <c r="BI29" s="40">
        <f t="shared" ca="1" si="72"/>
        <v>1033.6702103839825</v>
      </c>
      <c r="BJ29" s="40">
        <f t="shared" ca="1" si="73"/>
        <v>1129.0896024196004</v>
      </c>
      <c r="BK29" s="70">
        <f t="shared" ca="1" si="74"/>
        <v>1.1086462084232191</v>
      </c>
      <c r="BL29" s="70">
        <f t="shared" ca="1" si="75"/>
        <v>0.79729595457897351</v>
      </c>
      <c r="BM29" s="70">
        <f t="shared" ca="1" si="76"/>
        <v>0.2275649027543579</v>
      </c>
      <c r="BN29" s="180">
        <f t="shared" ca="1" si="27"/>
        <v>1.6448111690338576E-2</v>
      </c>
      <c r="BO29" s="180">
        <f t="shared" ca="1" si="28"/>
        <v>1.4702048464235368E-2</v>
      </c>
      <c r="BP29" s="180">
        <f t="shared" ca="1" si="29"/>
        <v>2.9558171908128674E-2</v>
      </c>
      <c r="BQ29" s="70">
        <f t="shared" si="77"/>
        <v>0</v>
      </c>
      <c r="BR29" s="40">
        <f t="shared" ca="1" si="78"/>
        <v>1.0855691893960338</v>
      </c>
      <c r="BS29" s="53"/>
      <c r="BT29" s="70">
        <f t="shared" si="79"/>
        <v>0.70477869762433565</v>
      </c>
      <c r="BU29" s="70">
        <f t="shared" si="80"/>
        <v>0.13408764994016292</v>
      </c>
      <c r="BV29" s="70">
        <f t="shared" si="81"/>
        <v>0.11698889726837434</v>
      </c>
      <c r="BW29" s="70">
        <f t="shared" si="82"/>
        <v>1.6622309965311843E-2</v>
      </c>
      <c r="BX29" s="180">
        <f t="shared" si="83"/>
        <v>4.3102978827693657E-2</v>
      </c>
      <c r="BY29" s="70">
        <f t="shared" si="84"/>
        <v>3.9537899186544443E-3</v>
      </c>
      <c r="BZ29" s="70">
        <f t="shared" si="85"/>
        <v>1.0195343235445329</v>
      </c>
      <c r="CA29" s="70">
        <f t="shared" si="86"/>
        <v>0.22247816091954026</v>
      </c>
      <c r="CB29" s="53"/>
      <c r="CC29" s="40"/>
      <c r="CD29" s="40">
        <f t="shared" ca="1" si="87"/>
        <v>5.4726659969287539</v>
      </c>
      <c r="CE29" s="40">
        <f t="shared" ca="1" si="88"/>
        <v>5.7944684024252062</v>
      </c>
      <c r="CF29" s="40">
        <f t="shared" ca="1" si="89"/>
        <v>10.986693295195035</v>
      </c>
      <c r="CG29" s="40">
        <f t="shared" ca="1" si="90"/>
        <v>1151.8925621135531</v>
      </c>
      <c r="CH29" s="54">
        <f t="shared" ca="1" si="91"/>
        <v>0.26679614501628851</v>
      </c>
      <c r="CJ29" s="40">
        <f t="shared" si="92"/>
        <v>5.7651379965264642</v>
      </c>
      <c r="CK29" s="40">
        <f t="shared" si="93"/>
        <v>5.8191869559063427</v>
      </c>
      <c r="CL29" s="40">
        <f t="shared" ca="1" si="94"/>
        <v>919.49050627798317</v>
      </c>
      <c r="CM29" s="2"/>
      <c r="CN29" s="1">
        <f t="shared" si="95"/>
        <v>1.0818133855266683</v>
      </c>
      <c r="CO29" s="1">
        <f t="shared" si="96"/>
        <v>1.4897569818274685E-2</v>
      </c>
      <c r="CP29" s="1">
        <f t="shared" si="97"/>
        <v>0.37661458793067937</v>
      </c>
      <c r="CQ29" s="1">
        <f t="shared" si="98"/>
        <v>0.12109166221272046</v>
      </c>
      <c r="CR29" s="1">
        <f t="shared" si="99"/>
        <v>2.6784140969162997E-3</v>
      </c>
      <c r="CS29" s="1">
        <f t="shared" si="100"/>
        <v>0.12355971060231638</v>
      </c>
      <c r="CT29" s="1">
        <f t="shared" si="101"/>
        <v>0.1783249580044724</v>
      </c>
      <c r="CU29" s="1">
        <f t="shared" si="102"/>
        <v>0.12004085261274401</v>
      </c>
      <c r="CV29" s="1">
        <f t="shared" si="103"/>
        <v>1.9109091681175423E-2</v>
      </c>
      <c r="CW29" s="1">
        <f t="shared" si="104"/>
        <v>0</v>
      </c>
      <c r="CX29" s="1">
        <f t="shared" si="105"/>
        <v>1.9727062006383114E-3</v>
      </c>
      <c r="CY29" s="1">
        <f t="shared" si="106"/>
        <v>2.0401029386866054</v>
      </c>
      <c r="DA29" s="1">
        <f t="shared" si="107"/>
        <v>0.53027392148316166</v>
      </c>
      <c r="DB29" s="1">
        <f t="shared" si="108"/>
        <v>7.3023618248722133E-3</v>
      </c>
      <c r="DC29" s="1">
        <f t="shared" si="109"/>
        <v>0.18460567885517554</v>
      </c>
      <c r="DD29" s="1">
        <f t="shared" si="110"/>
        <v>5.9355662852325415E-2</v>
      </c>
      <c r="DE29" s="1">
        <f t="shared" si="111"/>
        <v>1.3128818385216539E-3</v>
      </c>
      <c r="DF29" s="1">
        <f t="shared" si="112"/>
        <v>6.0565429449291754E-2</v>
      </c>
      <c r="DG29" s="1">
        <f t="shared" si="113"/>
        <v>8.7409784390230783E-2</v>
      </c>
      <c r="DH29" s="1">
        <f t="shared" si="114"/>
        <v>5.8840586098084305E-2</v>
      </c>
      <c r="DI29" s="1">
        <f t="shared" si="115"/>
        <v>9.3667291580284834E-3</v>
      </c>
      <c r="DJ29" s="1">
        <f t="shared" si="116"/>
        <v>0</v>
      </c>
      <c r="DK29" s="1">
        <f t="shared" si="117"/>
        <v>9.6696405030832256E-4</v>
      </c>
      <c r="DL29" s="1">
        <f t="shared" si="118"/>
        <v>1.0000000000000002</v>
      </c>
      <c r="DM29" s="156">
        <f t="shared" si="119"/>
        <v>50.504401091479224</v>
      </c>
      <c r="DN29" s="1">
        <f t="shared" si="120"/>
        <v>0.83715712756909877</v>
      </c>
      <c r="DO29" s="1">
        <f t="shared" si="121"/>
        <v>9.1388453507063195E-3</v>
      </c>
      <c r="DP29" s="1">
        <f t="shared" si="122"/>
        <v>7.8461372485558206E-2</v>
      </c>
      <c r="DQ29" s="1">
        <f t="shared" si="123"/>
        <v>8.114533226438625E-2</v>
      </c>
      <c r="DR29" s="1">
        <f t="shared" si="124"/>
        <v>0</v>
      </c>
      <c r="DS29" s="1">
        <f t="shared" si="125"/>
        <v>0.37216780301902519</v>
      </c>
      <c r="DT29" s="1">
        <f t="shared" si="126"/>
        <v>0.40479765467015233</v>
      </c>
      <c r="DU29" s="1">
        <f t="shared" si="127"/>
        <v>3.8722855681530325E-3</v>
      </c>
      <c r="DV29" s="1">
        <f t="shared" si="128"/>
        <v>0</v>
      </c>
      <c r="DW29" s="1">
        <f t="shared" si="129"/>
        <v>1.8421270778206586E-3</v>
      </c>
      <c r="DX29" s="1">
        <f t="shared" si="130"/>
        <v>1.7885825480049007</v>
      </c>
      <c r="DZ29" s="1">
        <f t="shared" si="131"/>
        <v>1.6743142551381975</v>
      </c>
      <c r="EA29" s="1">
        <f t="shared" si="132"/>
        <v>1.8277690701412639E-2</v>
      </c>
      <c r="EB29" s="1">
        <f t="shared" si="133"/>
        <v>0.23538411745667462</v>
      </c>
      <c r="EC29" s="1">
        <f t="shared" si="134"/>
        <v>8.114533226438625E-2</v>
      </c>
      <c r="ED29" s="1">
        <f t="shared" si="135"/>
        <v>0</v>
      </c>
      <c r="EE29" s="1">
        <f t="shared" si="136"/>
        <v>0.37216780301902519</v>
      </c>
      <c r="EF29" s="1">
        <f t="shared" si="137"/>
        <v>0.40479765467015233</v>
      </c>
      <c r="EG29" s="1">
        <f t="shared" si="138"/>
        <v>3.8722855681530325E-3</v>
      </c>
      <c r="EH29" s="1">
        <f t="shared" si="139"/>
        <v>0</v>
      </c>
      <c r="EI29" s="1">
        <f t="shared" si="140"/>
        <v>5.5263812334619758E-3</v>
      </c>
      <c r="EJ29" s="1">
        <f t="shared" si="141"/>
        <v>2.795485520051463</v>
      </c>
      <c r="EK29" s="1">
        <f t="shared" si="142"/>
        <v>2.1463176814772211</v>
      </c>
      <c r="EM29" s="1">
        <f t="shared" si="143"/>
        <v>1.7968051450762383</v>
      </c>
      <c r="EN29" s="1">
        <f t="shared" si="144"/>
        <v>1.9614865364506868E-2</v>
      </c>
      <c r="EO29" s="1">
        <f t="shared" si="145"/>
        <v>0.20319485492376166</v>
      </c>
      <c r="EP29" s="1">
        <f t="shared" si="146"/>
        <v>0.13361120723368619</v>
      </c>
      <c r="EQ29" s="1">
        <f t="shared" si="147"/>
        <v>0.33680606215744785</v>
      </c>
      <c r="ER29" s="1">
        <f t="shared" si="148"/>
        <v>0.17416366140839623</v>
      </c>
      <c r="ES29" s="1">
        <f t="shared" si="149"/>
        <v>0</v>
      </c>
      <c r="ET29" s="1">
        <f t="shared" si="150"/>
        <v>0.79879033609626526</v>
      </c>
      <c r="EU29" s="1">
        <f t="shared" si="151"/>
        <v>0.86882436363905813</v>
      </c>
      <c r="EV29" s="1">
        <f t="shared" si="152"/>
        <v>1.6622309965311843E-2</v>
      </c>
      <c r="EW29" s="1">
        <f t="shared" si="153"/>
        <v>0</v>
      </c>
      <c r="EX29" s="1">
        <f t="shared" si="154"/>
        <v>7.9075798373088885E-3</v>
      </c>
      <c r="EY29" s="1">
        <f t="shared" si="155"/>
        <v>4.0195343235445335</v>
      </c>
      <c r="EZ29" s="1">
        <f t="shared" si="156"/>
        <v>3.9068647089064677E-2</v>
      </c>
      <c r="FA29" s="1">
        <f t="shared" si="157"/>
        <v>5.8318169137486109E-2</v>
      </c>
      <c r="FB29" s="1">
        <f t="shared" si="158"/>
        <v>1.6622309965311843E-2</v>
      </c>
      <c r="FC29" s="1">
        <f t="shared" si="159"/>
        <v>0.11698889726837434</v>
      </c>
      <c r="FD29" s="1">
        <f t="shared" si="160"/>
        <v>4.3102978827693657E-2</v>
      </c>
      <c r="FE29" s="1">
        <f t="shared" si="161"/>
        <v>3.9537899186544443E-3</v>
      </c>
      <c r="FF29" s="2">
        <f t="shared" si="162"/>
        <v>0.70477869762433565</v>
      </c>
      <c r="FG29" s="1">
        <f t="shared" si="163"/>
        <v>0.13408764994016292</v>
      </c>
      <c r="FH29" s="1">
        <f t="shared" si="164"/>
        <v>1.0195343235445329</v>
      </c>
      <c r="FI29" s="1">
        <f t="shared" si="165"/>
        <v>0.70477869762433565</v>
      </c>
      <c r="FJ29" s="1">
        <f t="shared" si="166"/>
        <v>1.6941702505695369</v>
      </c>
      <c r="FK29" s="1">
        <f t="shared" si="167"/>
        <v>-3.7827508355104862</v>
      </c>
      <c r="FL29" s="1">
        <f t="shared" si="168"/>
        <v>-3.7827508355104862</v>
      </c>
      <c r="FM29" s="1">
        <f t="shared" si="169"/>
        <v>0.50504401091479223</v>
      </c>
      <c r="FN29" s="67">
        <f t="shared" ca="1" si="170"/>
        <v>1415.6648965232575</v>
      </c>
      <c r="FO29" s="67">
        <f t="shared" ca="1" si="171"/>
        <v>0.74494039611960172</v>
      </c>
      <c r="FP29" s="1">
        <f t="shared" ca="1" si="172"/>
        <v>0.14156648965232577</v>
      </c>
      <c r="FQ29" s="2">
        <f t="shared" ca="1" si="173"/>
        <v>1.6153394039072955</v>
      </c>
      <c r="FR29" s="2">
        <f t="shared" ca="1" si="174"/>
        <v>5.9454066978796511</v>
      </c>
      <c r="FS29" s="1">
        <f t="shared" ca="1" si="175"/>
        <v>6.9126021448334889</v>
      </c>
      <c r="FT29" s="1">
        <f t="shared" si="176"/>
        <v>9.3857208773951317E-2</v>
      </c>
      <c r="FU29" s="2">
        <f t="shared" si="177"/>
        <v>82.099496805082822</v>
      </c>
      <c r="FV29" s="2">
        <f t="shared" ca="1" si="178"/>
        <v>11.346340302649466</v>
      </c>
      <c r="FW29" s="2">
        <f t="shared" ca="1" si="179"/>
        <v>0.26578950466820217</v>
      </c>
      <c r="FX29" s="2">
        <f t="shared" si="180"/>
        <v>0.22247816091954026</v>
      </c>
      <c r="FY29" s="1">
        <f t="shared" si="181"/>
        <v>0.88544667360437002</v>
      </c>
      <c r="FZ29" s="1">
        <f t="shared" si="182"/>
        <v>0.20020229952456664</v>
      </c>
      <c r="GA29" s="1">
        <f t="shared" si="183"/>
        <v>0.1316040133413002</v>
      </c>
      <c r="GB29" s="1">
        <f t="shared" si="184"/>
        <v>0.8467739274018069</v>
      </c>
      <c r="GC29" s="1">
        <f t="shared" si="185"/>
        <v>8.7111423013789935E-2</v>
      </c>
      <c r="GD29" s="1">
        <f t="shared" si="186"/>
        <v>0.13509501431933155</v>
      </c>
      <c r="GE29" s="1">
        <f t="shared" si="187"/>
        <v>0.86839598665869977</v>
      </c>
      <c r="GF29" s="1">
        <f t="shared" si="188"/>
        <v>0.33969667726821529</v>
      </c>
      <c r="GG29" s="1">
        <f t="shared" si="189"/>
        <v>-1.5475583269744693E-2</v>
      </c>
      <c r="GH29" s="1">
        <f t="shared" si="190"/>
        <v>3.1080454482431175E-2</v>
      </c>
      <c r="GI29" s="1">
        <f t="shared" si="191"/>
        <v>3.1080454482431175E-2</v>
      </c>
      <c r="GJ29" s="1">
        <f t="shared" si="192"/>
        <v>0.10401455983690037</v>
      </c>
      <c r="GK29" s="1">
        <f t="shared" si="193"/>
        <v>8.3472871913198812E-2</v>
      </c>
      <c r="GL29" s="1">
        <f t="shared" si="194"/>
        <v>0.71531746418306641</v>
      </c>
      <c r="GM29" s="1">
        <f t="shared" si="195"/>
        <v>0.86882436363905813</v>
      </c>
      <c r="GN29" s="1">
        <f t="shared" si="196"/>
        <v>1.6622309965311843E-2</v>
      </c>
      <c r="GO29" s="1">
        <f t="shared" si="197"/>
        <v>437.85608574184926</v>
      </c>
      <c r="GP29" s="1">
        <f t="shared" si="198"/>
        <v>11.57538583332181</v>
      </c>
      <c r="GQ29" s="1">
        <f t="shared" si="199"/>
        <v>2.2588858119781401</v>
      </c>
      <c r="GR29" s="1">
        <f t="shared" si="200"/>
        <v>9.2896679017600999E-6</v>
      </c>
      <c r="GS29" s="1">
        <f t="shared" si="201"/>
        <v>1933.3866417652009</v>
      </c>
      <c r="GT29" s="1">
        <f t="shared" ca="1" si="202"/>
        <v>0.36474428083692184</v>
      </c>
      <c r="GU29" s="2">
        <f t="shared" ca="1" si="203"/>
        <v>23.961318295195042</v>
      </c>
      <c r="GV29" s="4">
        <f t="shared" ca="1" si="204"/>
        <v>6.5744659746380272</v>
      </c>
      <c r="GW29" s="4">
        <f t="shared" ca="1" si="205"/>
        <v>6.3022362351383823</v>
      </c>
      <c r="GX29" s="4">
        <f t="shared" si="206"/>
        <v>4.62</v>
      </c>
      <c r="GY29" s="4">
        <f t="shared" si="207"/>
        <v>8.7460000000000022</v>
      </c>
      <c r="GZ29" s="4">
        <f t="shared" ca="1" si="208"/>
        <v>6.5744659746380272</v>
      </c>
      <c r="HA29" s="1">
        <f t="shared" si="209"/>
        <v>437.85608574184926</v>
      </c>
      <c r="HB29" s="1">
        <f t="shared" si="210"/>
        <v>11.57538583332181</v>
      </c>
      <c r="HC29" s="4">
        <f t="shared" si="211"/>
        <v>6.2444005370518596</v>
      </c>
      <c r="HD29" s="4"/>
      <c r="HE29" s="7">
        <f t="shared" si="212"/>
        <v>0.13509501431933155</v>
      </c>
      <c r="HF29" s="7">
        <f t="shared" si="213"/>
        <v>0.79879033609626526</v>
      </c>
      <c r="HG29" s="7">
        <f t="shared" si="214"/>
        <v>1.6622309965311843E-2</v>
      </c>
      <c r="HH29" s="7">
        <f t="shared" si="215"/>
        <v>0</v>
      </c>
      <c r="HI29" s="7">
        <f t="shared" si="216"/>
        <v>2.2446337123752835E-2</v>
      </c>
      <c r="HJ29" s="7">
        <f t="shared" si="217"/>
        <v>0</v>
      </c>
      <c r="HK29" s="7">
        <f t="shared" si="218"/>
        <v>0</v>
      </c>
      <c r="HL29" s="7">
        <f t="shared" si="219"/>
        <v>0.13361120723368619</v>
      </c>
      <c r="HM29" s="7">
        <f t="shared" si="220"/>
        <v>0.18074851780000881</v>
      </c>
      <c r="HN29" s="7">
        <f t="shared" si="221"/>
        <v>0.14465910002679847</v>
      </c>
      <c r="HO29" s="7">
        <f t="shared" si="222"/>
        <v>0.56934014303326164</v>
      </c>
      <c r="HP29" s="7">
        <f t="shared" si="223"/>
        <v>9.6289365682034792E-2</v>
      </c>
      <c r="HQ29" s="7">
        <f t="shared" si="224"/>
        <v>9.798214529416209E-2</v>
      </c>
      <c r="HR29" s="7">
        <f t="shared" si="225"/>
        <v>1.6571181101467936E-2</v>
      </c>
      <c r="HS29" s="7">
        <f t="shared" si="226"/>
        <v>1.6622309965311843E-2</v>
      </c>
      <c r="HT29" s="7"/>
      <c r="HU29" s="16">
        <f t="shared" si="227"/>
        <v>-8.709602095847101E-7</v>
      </c>
      <c r="HV29" s="16">
        <f t="shared" si="228"/>
        <v>1.6390679502246866E-12</v>
      </c>
      <c r="HW29" s="16">
        <f t="shared" si="229"/>
        <v>2.6634548409481902E-5</v>
      </c>
      <c r="HX29" s="16">
        <f t="shared" si="230"/>
        <v>7.5092211325938598E-9</v>
      </c>
      <c r="HY29" s="7">
        <f t="shared" si="231"/>
        <v>2.2588858119781401</v>
      </c>
      <c r="HZ29" s="7">
        <f t="shared" ca="1" si="232"/>
        <v>454.9088202258348</v>
      </c>
      <c r="IA29" s="7">
        <f t="shared" ca="1" si="233"/>
        <v>6.5744659746380272</v>
      </c>
      <c r="IB29" s="7">
        <f t="shared" ca="1" si="234"/>
        <v>454.90892403955388</v>
      </c>
      <c r="IC29" s="7">
        <f t="shared" ca="1" si="235"/>
        <v>6.3022362351383823</v>
      </c>
      <c r="ID29" s="7">
        <f t="shared" ca="1" si="236"/>
        <v>6.5744659746380272</v>
      </c>
      <c r="IE29" s="7"/>
      <c r="IF29" s="2">
        <f t="shared" si="237"/>
        <v>9.3857208773951317E-2</v>
      </c>
      <c r="IG29" s="17">
        <f t="shared" ca="1" si="238"/>
        <v>1113.1213977189077</v>
      </c>
      <c r="IH29" s="17"/>
      <c r="II29" s="7">
        <f t="shared" si="239"/>
        <v>2.0616373605243545</v>
      </c>
      <c r="IJ29" s="17">
        <f t="shared" si="240"/>
        <v>1933.3866417652009</v>
      </c>
      <c r="IK29" s="16">
        <f t="shared" si="241"/>
        <v>1.2288776130986533E-5</v>
      </c>
      <c r="IM29" s="1">
        <f t="shared" si="242"/>
        <v>1</v>
      </c>
      <c r="IN29" s="166">
        <f t="shared" si="243"/>
        <v>0.43370600553707628</v>
      </c>
      <c r="IO29" s="166">
        <f t="shared" si="244"/>
        <v>9.4562768834053929E-2</v>
      </c>
      <c r="IP29" s="166">
        <f t="shared" si="245"/>
        <v>0.47173122562886988</v>
      </c>
      <c r="IR29" s="167">
        <f t="shared" si="246"/>
        <v>0.38154583018529487</v>
      </c>
      <c r="IS29" s="167">
        <f t="shared" si="247"/>
        <v>0.47173122562886988</v>
      </c>
      <c r="IU29" s="169">
        <v>0.1</v>
      </c>
      <c r="IV29" s="169">
        <v>0.9</v>
      </c>
      <c r="IW29" s="169">
        <v>0</v>
      </c>
      <c r="IX29" s="169"/>
      <c r="IY29" s="167">
        <f t="shared" si="248"/>
        <v>1.0392304845413263</v>
      </c>
      <c r="IZ29" s="167">
        <f t="shared" si="249"/>
        <v>0</v>
      </c>
    </row>
    <row r="30" spans="1:260" ht="13.2">
      <c r="A30" s="139" t="s">
        <v>201</v>
      </c>
      <c r="B30" s="139" t="s">
        <v>202</v>
      </c>
      <c r="C30" s="78">
        <f t="shared" si="43"/>
        <v>1.9</v>
      </c>
      <c r="D30" s="133">
        <f t="shared" ca="1" si="44"/>
        <v>1115.2314457049829</v>
      </c>
      <c r="E30" s="15">
        <f t="shared" ca="1" si="45"/>
        <v>-9.0214601716548382E-3</v>
      </c>
      <c r="F30" s="123">
        <v>51.5</v>
      </c>
      <c r="G30" s="123">
        <v>1.19</v>
      </c>
      <c r="H30" s="123">
        <v>19.2</v>
      </c>
      <c r="I30" s="123">
        <v>8.6999999999999993</v>
      </c>
      <c r="J30" s="123">
        <v>0.19</v>
      </c>
      <c r="K30" s="132">
        <v>4.9800000000000004</v>
      </c>
      <c r="L30" s="123">
        <v>10</v>
      </c>
      <c r="M30" s="123">
        <v>3.72</v>
      </c>
      <c r="N30" s="123">
        <v>0.42</v>
      </c>
      <c r="O30" s="123">
        <v>0</v>
      </c>
      <c r="P30" s="123">
        <v>0.14000000000000001</v>
      </c>
      <c r="Q30" s="123">
        <v>6</v>
      </c>
      <c r="R30" s="119">
        <f t="shared" ca="1" si="46"/>
        <v>4.8457944469974388</v>
      </c>
      <c r="T30" s="123">
        <v>50.3</v>
      </c>
      <c r="U30" s="123">
        <v>0.73</v>
      </c>
      <c r="V30" s="123">
        <v>4.12</v>
      </c>
      <c r="W30" s="123">
        <v>5.83</v>
      </c>
      <c r="X30" s="123">
        <v>0</v>
      </c>
      <c r="Y30" s="123">
        <v>15</v>
      </c>
      <c r="Z30" s="123">
        <v>22.7</v>
      </c>
      <c r="AA30" s="123">
        <v>0.24</v>
      </c>
      <c r="AB30" s="123">
        <v>0</v>
      </c>
      <c r="AC30" s="123">
        <v>0.28000000000000003</v>
      </c>
      <c r="AE30" s="112">
        <f t="shared" ca="1" si="47"/>
        <v>1291.6446664619009</v>
      </c>
      <c r="AF30" s="165">
        <f t="shared" ca="1" si="48"/>
        <v>1018.4946664619009</v>
      </c>
      <c r="AG30" s="165">
        <f t="shared" ca="1" si="49"/>
        <v>1.5998490483689536</v>
      </c>
      <c r="AH30" s="91">
        <f t="shared" ca="1" si="50"/>
        <v>1410.5962433643192</v>
      </c>
      <c r="AI30" s="91">
        <f t="shared" ca="1" si="51"/>
        <v>1.7596442345133916</v>
      </c>
      <c r="AJ30" s="91"/>
      <c r="AK30" s="91">
        <f t="shared" ca="1" si="52"/>
        <v>1388.3814457049828</v>
      </c>
      <c r="AL30" s="91">
        <f t="shared" ca="1" si="53"/>
        <v>0.45396961058632002</v>
      </c>
      <c r="AM30" s="91"/>
      <c r="AN30" s="91">
        <f t="shared" ca="1" si="54"/>
        <v>1269.8278366785567</v>
      </c>
      <c r="AO30" s="91">
        <f t="shared" ca="1" si="55"/>
        <v>996.67783667855667</v>
      </c>
      <c r="AP30" s="91">
        <f t="shared" ca="1" si="56"/>
        <v>-3.3266678957812026</v>
      </c>
      <c r="AQ30" s="91"/>
      <c r="AR30" s="91">
        <f t="shared" ca="1" si="57"/>
        <v>1292.3558792750805</v>
      </c>
      <c r="AS30" s="91">
        <f t="shared" ca="1" si="58"/>
        <v>1019.2058792750805</v>
      </c>
      <c r="AT30" s="40">
        <f t="shared" ca="1" si="59"/>
        <v>-2.5126737686310729</v>
      </c>
      <c r="AV30" s="40">
        <f t="shared" si="60"/>
        <v>1403.3541688642288</v>
      </c>
      <c r="AW30" s="40">
        <f t="shared" si="61"/>
        <v>1130.2041688642289</v>
      </c>
      <c r="AX30" s="40">
        <f t="shared" ca="1" si="62"/>
        <v>1410.5962433643192</v>
      </c>
      <c r="AY30" s="40">
        <f t="shared" ca="1" si="63"/>
        <v>1137.4462433643193</v>
      </c>
      <c r="AZ30" s="40">
        <f t="shared" ca="1" si="64"/>
        <v>1.7596442345133916</v>
      </c>
      <c r="BA30" s="40"/>
      <c r="BB30" s="40">
        <f t="shared" ca="1" si="65"/>
        <v>1388.3814457049828</v>
      </c>
      <c r="BC30" s="40">
        <f t="shared" ca="1" si="66"/>
        <v>0.45396961058632002</v>
      </c>
      <c r="BD30" s="40">
        <f t="shared" ca="1" si="67"/>
        <v>1115.2314457049829</v>
      </c>
      <c r="BE30" s="40">
        <f t="shared" ca="1" si="68"/>
        <v>5.561356340321491</v>
      </c>
      <c r="BF30" s="40">
        <f t="shared" ca="1" si="69"/>
        <v>7.1544104799515775</v>
      </c>
      <c r="BG30" s="40">
        <f t="shared" ca="1" si="70"/>
        <v>1018.9210404869917</v>
      </c>
      <c r="BH30" s="40">
        <f t="shared" ca="1" si="71"/>
        <v>1053.0092878966793</v>
      </c>
      <c r="BI30" s="40">
        <f t="shared" ca="1" si="72"/>
        <v>1053.0092878966793</v>
      </c>
      <c r="BJ30" s="40">
        <f t="shared" ca="1" si="73"/>
        <v>1151.4905101457266</v>
      </c>
      <c r="BK30" s="70">
        <f t="shared" ca="1" si="74"/>
        <v>1.1410384220760126</v>
      </c>
      <c r="BL30" s="70">
        <f t="shared" ca="1" si="75"/>
        <v>0.81091714294626349</v>
      </c>
      <c r="BM30" s="70">
        <f t="shared" ca="1" si="76"/>
        <v>9.3993475235263219E-2</v>
      </c>
      <c r="BN30" s="180">
        <f t="shared" ca="1" si="27"/>
        <v>1.1227222293330731E-2</v>
      </c>
      <c r="BO30" s="180">
        <f t="shared" ca="1" si="28"/>
        <v>1.7419785591721627E-2</v>
      </c>
      <c r="BP30" s="180">
        <f t="shared" ca="1" si="29"/>
        <v>6.1071884705477149E-2</v>
      </c>
      <c r="BQ30" s="70">
        <f t="shared" si="77"/>
        <v>0</v>
      </c>
      <c r="BR30" s="40">
        <f t="shared" ca="1" si="78"/>
        <v>0.9946295107720563</v>
      </c>
      <c r="BS30" s="53"/>
      <c r="BT30" s="70">
        <f t="shared" si="79"/>
        <v>0.81993860311791833</v>
      </c>
      <c r="BU30" s="70">
        <f t="shared" si="80"/>
        <v>9.7220166294938348E-2</v>
      </c>
      <c r="BV30" s="70">
        <f t="shared" si="81"/>
        <v>3.6816947960874952E-2</v>
      </c>
      <c r="BW30" s="70">
        <f t="shared" si="82"/>
        <v>1.7330029101953831E-2</v>
      </c>
      <c r="BX30" s="180">
        <f t="shared" si="83"/>
        <v>4.4938151136855245E-2</v>
      </c>
      <c r="BY30" s="70">
        <f t="shared" si="84"/>
        <v>4.1221283020399834E-3</v>
      </c>
      <c r="BZ30" s="70">
        <f t="shared" si="85"/>
        <v>1.0203660259145808</v>
      </c>
      <c r="CA30" s="70">
        <f t="shared" si="86"/>
        <v>0.22247816091954029</v>
      </c>
      <c r="CB30" s="53"/>
      <c r="CC30" s="40"/>
      <c r="CD30" s="40">
        <f t="shared" ca="1" si="87"/>
        <v>1.5605645660134542</v>
      </c>
      <c r="CE30" s="40">
        <f t="shared" ca="1" si="88"/>
        <v>3.626017917069408</v>
      </c>
      <c r="CF30" s="40">
        <f t="shared" ca="1" si="89"/>
        <v>7.4401126487404925</v>
      </c>
      <c r="CG30" s="40">
        <f t="shared" ca="1" si="90"/>
        <v>1141.4464928566354</v>
      </c>
      <c r="CH30" s="54">
        <f t="shared" ca="1" si="91"/>
        <v>0.26563459557023961</v>
      </c>
      <c r="CJ30" s="40">
        <f t="shared" si="92"/>
        <v>0.19493110653448706</v>
      </c>
      <c r="CK30" s="40">
        <f t="shared" si="93"/>
        <v>-7.9605295924928446E-2</v>
      </c>
      <c r="CL30" s="40">
        <f t="shared" ca="1" si="94"/>
        <v>817.96807994744438</v>
      </c>
      <c r="CM30" s="2"/>
      <c r="CN30" s="1">
        <f t="shared" si="95"/>
        <v>0.85712906699420643</v>
      </c>
      <c r="CO30" s="1">
        <f t="shared" si="96"/>
        <v>1.4897569818274685E-2</v>
      </c>
      <c r="CP30" s="1">
        <f t="shared" si="97"/>
        <v>0.37661458793067937</v>
      </c>
      <c r="CQ30" s="1">
        <f t="shared" si="98"/>
        <v>0.12109166221272046</v>
      </c>
      <c r="CR30" s="1">
        <f t="shared" si="99"/>
        <v>2.6784140969162997E-3</v>
      </c>
      <c r="CS30" s="1">
        <f t="shared" si="100"/>
        <v>0.12355971060231638</v>
      </c>
      <c r="CT30" s="1">
        <f t="shared" si="101"/>
        <v>0.1783249580044724</v>
      </c>
      <c r="CU30" s="1">
        <f t="shared" si="102"/>
        <v>0.12004085261274401</v>
      </c>
      <c r="CV30" s="1">
        <f t="shared" si="103"/>
        <v>8.917576117881864E-3</v>
      </c>
      <c r="CW30" s="1">
        <f t="shared" si="104"/>
        <v>0</v>
      </c>
      <c r="CX30" s="1">
        <f t="shared" si="105"/>
        <v>1.9727062006383114E-3</v>
      </c>
      <c r="CY30" s="1">
        <f t="shared" si="106"/>
        <v>1.8052271045908503</v>
      </c>
      <c r="DA30" s="1">
        <f t="shared" si="107"/>
        <v>0.47480400932073991</v>
      </c>
      <c r="DB30" s="1">
        <f t="shared" si="108"/>
        <v>8.2524629618006863E-3</v>
      </c>
      <c r="DC30" s="1">
        <f t="shared" si="109"/>
        <v>0.20862449216107798</v>
      </c>
      <c r="DD30" s="1">
        <f t="shared" si="110"/>
        <v>6.7078353690111212E-2</v>
      </c>
      <c r="DE30" s="1">
        <f t="shared" si="111"/>
        <v>1.4836992476485969E-3</v>
      </c>
      <c r="DF30" s="1">
        <f t="shared" si="112"/>
        <v>6.8445521501473816E-2</v>
      </c>
      <c r="DG30" s="1">
        <f t="shared" si="113"/>
        <v>9.8782561790135129E-2</v>
      </c>
      <c r="DH30" s="1">
        <f t="shared" si="114"/>
        <v>6.6496260945489702E-2</v>
      </c>
      <c r="DI30" s="1">
        <f t="shared" si="115"/>
        <v>4.9398638515916853E-3</v>
      </c>
      <c r="DJ30" s="1">
        <f t="shared" si="116"/>
        <v>0</v>
      </c>
      <c r="DK30" s="1">
        <f t="shared" si="117"/>
        <v>1.0927745299311909E-3</v>
      </c>
      <c r="DL30" s="1">
        <f t="shared" si="118"/>
        <v>0.99999999999999989</v>
      </c>
      <c r="DM30" s="156">
        <f t="shared" si="119"/>
        <v>50.504401091479224</v>
      </c>
      <c r="DN30" s="1">
        <f t="shared" si="120"/>
        <v>0.83715712756909877</v>
      </c>
      <c r="DO30" s="1">
        <f t="shared" si="121"/>
        <v>9.1388453507063195E-3</v>
      </c>
      <c r="DP30" s="1">
        <f t="shared" si="122"/>
        <v>4.0407606830062476E-2</v>
      </c>
      <c r="DQ30" s="1">
        <f t="shared" si="123"/>
        <v>8.114533226438625E-2</v>
      </c>
      <c r="DR30" s="1">
        <f t="shared" si="124"/>
        <v>0</v>
      </c>
      <c r="DS30" s="1">
        <f t="shared" si="125"/>
        <v>0.37216780301902519</v>
      </c>
      <c r="DT30" s="1">
        <f t="shared" si="126"/>
        <v>0.40479765467015233</v>
      </c>
      <c r="DU30" s="1">
        <f t="shared" si="127"/>
        <v>3.8722855681530325E-3</v>
      </c>
      <c r="DV30" s="1">
        <f t="shared" si="128"/>
        <v>0</v>
      </c>
      <c r="DW30" s="1">
        <f t="shared" si="129"/>
        <v>1.8421270778206586E-3</v>
      </c>
      <c r="DX30" s="1">
        <f t="shared" si="130"/>
        <v>1.7505287823494051</v>
      </c>
      <c r="DZ30" s="1">
        <f t="shared" si="131"/>
        <v>1.6743142551381975</v>
      </c>
      <c r="EA30" s="1">
        <f t="shared" si="132"/>
        <v>1.8277690701412639E-2</v>
      </c>
      <c r="EB30" s="1">
        <f t="shared" si="133"/>
        <v>0.12122282049018743</v>
      </c>
      <c r="EC30" s="1">
        <f t="shared" si="134"/>
        <v>8.114533226438625E-2</v>
      </c>
      <c r="ED30" s="1">
        <f t="shared" si="135"/>
        <v>0</v>
      </c>
      <c r="EE30" s="1">
        <f t="shared" si="136"/>
        <v>0.37216780301902519</v>
      </c>
      <c r="EF30" s="1">
        <f t="shared" si="137"/>
        <v>0.40479765467015233</v>
      </c>
      <c r="EG30" s="1">
        <f t="shared" si="138"/>
        <v>3.8722855681530325E-3</v>
      </c>
      <c r="EH30" s="1">
        <f t="shared" si="139"/>
        <v>0</v>
      </c>
      <c r="EI30" s="1">
        <f t="shared" si="140"/>
        <v>5.5263812334619758E-3</v>
      </c>
      <c r="EJ30" s="1">
        <f t="shared" si="141"/>
        <v>2.6813242230849763</v>
      </c>
      <c r="EK30" s="1">
        <f t="shared" si="142"/>
        <v>2.2377002931397634</v>
      </c>
      <c r="EM30" s="1">
        <f t="shared" si="143"/>
        <v>1.8733067497654146</v>
      </c>
      <c r="EN30" s="1">
        <f t="shared" si="144"/>
        <v>2.0449996920234494E-2</v>
      </c>
      <c r="EO30" s="1">
        <f t="shared" si="145"/>
        <v>0.12669325023458544</v>
      </c>
      <c r="EP30" s="1">
        <f t="shared" si="146"/>
        <v>5.4146977062828783E-2</v>
      </c>
      <c r="EQ30" s="1">
        <f t="shared" si="147"/>
        <v>0.18084022729741422</v>
      </c>
      <c r="ER30" s="1">
        <f t="shared" si="148"/>
        <v>0.18157893379494061</v>
      </c>
      <c r="ES30" s="1">
        <f t="shared" si="149"/>
        <v>0</v>
      </c>
      <c r="ET30" s="1">
        <f t="shared" si="150"/>
        <v>0.83280000191285442</v>
      </c>
      <c r="EU30" s="1">
        <f t="shared" si="151"/>
        <v>0.90581583051768855</v>
      </c>
      <c r="EV30" s="1">
        <f t="shared" si="152"/>
        <v>1.7330029101953831E-2</v>
      </c>
      <c r="EW30" s="1">
        <f t="shared" si="153"/>
        <v>0</v>
      </c>
      <c r="EX30" s="1">
        <f t="shared" si="154"/>
        <v>8.2442566040799668E-3</v>
      </c>
      <c r="EY30" s="1">
        <f t="shared" si="155"/>
        <v>4.0203660259145799</v>
      </c>
      <c r="EZ30" s="1">
        <f t="shared" si="156"/>
        <v>4.0732051829161536E-2</v>
      </c>
      <c r="FA30" s="1">
        <f t="shared" si="157"/>
        <v>6.0788572333875024E-2</v>
      </c>
      <c r="FB30" s="1">
        <f t="shared" si="158"/>
        <v>1.7330029101953831E-2</v>
      </c>
      <c r="FC30" s="1">
        <f t="shared" si="159"/>
        <v>3.6816947960874952E-2</v>
      </c>
      <c r="FD30" s="1">
        <f t="shared" si="160"/>
        <v>4.4938151136855245E-2</v>
      </c>
      <c r="FE30" s="1">
        <f t="shared" si="161"/>
        <v>4.1221283020399834E-3</v>
      </c>
      <c r="FF30" s="2">
        <f t="shared" si="162"/>
        <v>0.81993860311791833</v>
      </c>
      <c r="FG30" s="1">
        <f t="shared" si="163"/>
        <v>9.7220166294938348E-2</v>
      </c>
      <c r="FH30" s="1">
        <f t="shared" si="164"/>
        <v>1.0203660259145808</v>
      </c>
      <c r="FI30" s="1">
        <f t="shared" si="165"/>
        <v>0.81993860311791833</v>
      </c>
      <c r="FJ30" s="1">
        <f t="shared" si="166"/>
        <v>1.7122207386356436</v>
      </c>
      <c r="FK30" s="1">
        <f t="shared" si="167"/>
        <v>-3.8924014331081289</v>
      </c>
      <c r="FL30" s="1">
        <f t="shared" si="168"/>
        <v>-3.8924014331081289</v>
      </c>
      <c r="FM30" s="1">
        <f t="shared" si="169"/>
        <v>0.50504401091479223</v>
      </c>
      <c r="FN30" s="67">
        <f t="shared" ca="1" si="170"/>
        <v>1410.5962433643192</v>
      </c>
      <c r="FO30" s="67">
        <f t="shared" ca="1" si="171"/>
        <v>1.7596442345133916</v>
      </c>
      <c r="FP30" s="1">
        <f t="shared" ca="1" si="172"/>
        <v>0.14105962433643193</v>
      </c>
      <c r="FQ30" s="2">
        <f t="shared" ca="1" si="173"/>
        <v>1.3354515194233176</v>
      </c>
      <c r="FR30" s="2">
        <f t="shared" ca="1" si="174"/>
        <v>5.8793785646352505</v>
      </c>
      <c r="FS30" s="1">
        <f t="shared" ca="1" si="175"/>
        <v>3.5037858900549192</v>
      </c>
      <c r="FT30" s="1">
        <f t="shared" si="176"/>
        <v>6.8922235400902546E-2</v>
      </c>
      <c r="FU30" s="2">
        <f t="shared" si="177"/>
        <v>82.099496805082822</v>
      </c>
      <c r="FV30" s="2">
        <f t="shared" ca="1" si="178"/>
        <v>8.2947585411526408</v>
      </c>
      <c r="FW30" s="2">
        <f t="shared" ca="1" si="179"/>
        <v>0.26050522434662443</v>
      </c>
      <c r="FX30" s="2">
        <f t="shared" si="180"/>
        <v>0.22247816091954029</v>
      </c>
      <c r="FY30" s="1">
        <f t="shared" si="181"/>
        <v>0.92314585961964235</v>
      </c>
      <c r="FZ30" s="1">
        <f t="shared" si="182"/>
        <v>0.12357328241630479</v>
      </c>
      <c r="GA30" s="1">
        <f t="shared" si="183"/>
        <v>0.13064123128324104</v>
      </c>
      <c r="GB30" s="1">
        <f t="shared" si="184"/>
        <v>0.92540302601693669</v>
      </c>
      <c r="GC30" s="1">
        <f t="shared" si="185"/>
        <v>4.8243857861696826E-2</v>
      </c>
      <c r="GD30" s="1">
        <f t="shared" si="186"/>
        <v>0.14084688196577907</v>
      </c>
      <c r="GE30" s="1">
        <f t="shared" si="187"/>
        <v>0.86935876871675899</v>
      </c>
      <c r="GF30" s="1">
        <f t="shared" si="188"/>
        <v>0.31645872048021251</v>
      </c>
      <c r="GG30" s="1">
        <f t="shared" si="189"/>
        <v>-1.0824666038733648E-2</v>
      </c>
      <c r="GH30" s="1">
        <f t="shared" si="190"/>
        <v>2.3794176797551657E-2</v>
      </c>
      <c r="GI30" s="1">
        <f t="shared" si="191"/>
        <v>2.3794176797551657E-2</v>
      </c>
      <c r="GJ30" s="1">
        <f t="shared" si="192"/>
        <v>0.11705270516822741</v>
      </c>
      <c r="GK30" s="1">
        <f t="shared" si="193"/>
        <v>5.3059963582805993E-2</v>
      </c>
      <c r="GL30" s="1">
        <f t="shared" si="194"/>
        <v>0.77974003833004846</v>
      </c>
      <c r="GM30" s="1">
        <f t="shared" si="195"/>
        <v>0.90581583051768855</v>
      </c>
      <c r="GN30" s="1">
        <f t="shared" si="196"/>
        <v>1.7330029101953831E-2</v>
      </c>
      <c r="GO30" s="1">
        <f t="shared" si="197"/>
        <v>439.91002708917955</v>
      </c>
      <c r="GP30" s="1">
        <f t="shared" si="198"/>
        <v>11.788859467150782</v>
      </c>
      <c r="GQ30" s="1">
        <f t="shared" si="199"/>
        <v>2.1847553311657006</v>
      </c>
      <c r="GR30" s="1">
        <f t="shared" si="200"/>
        <v>8.9848062994189425E-6</v>
      </c>
      <c r="GS30" s="1">
        <f t="shared" si="201"/>
        <v>1837.7772740133462</v>
      </c>
      <c r="GT30" s="1">
        <f t="shared" ca="1" si="202"/>
        <v>0.3516001263441631</v>
      </c>
      <c r="GU30" s="2">
        <f t="shared" ca="1" si="203"/>
        <v>20.414737648740491</v>
      </c>
      <c r="GV30" s="4">
        <f t="shared" ca="1" si="204"/>
        <v>3.2160428276957553</v>
      </c>
      <c r="GW30" s="4">
        <f t="shared" ca="1" si="205"/>
        <v>2.7374071329311978</v>
      </c>
      <c r="GX30" s="4">
        <f t="shared" si="206"/>
        <v>4.1400000000000006</v>
      </c>
      <c r="GY30" s="4">
        <f t="shared" si="207"/>
        <v>5.3077524999999994</v>
      </c>
      <c r="GZ30" s="4">
        <f t="shared" ca="1" si="208"/>
        <v>3.2160428276957553</v>
      </c>
      <c r="HA30" s="1">
        <f t="shared" si="209"/>
        <v>439.91002708917955</v>
      </c>
      <c r="HB30" s="1">
        <f t="shared" si="210"/>
        <v>11.788859467150782</v>
      </c>
      <c r="HC30" s="4">
        <f t="shared" si="211"/>
        <v>9.7795680705360155E-2</v>
      </c>
      <c r="HD30" s="4"/>
      <c r="HE30" s="7">
        <f t="shared" si="212"/>
        <v>0.14084688196577907</v>
      </c>
      <c r="HF30" s="7">
        <f t="shared" si="213"/>
        <v>0.83280000191285442</v>
      </c>
      <c r="HG30" s="7">
        <f t="shared" si="214"/>
        <v>1.7330029101953831E-2</v>
      </c>
      <c r="HH30" s="7">
        <f t="shared" si="215"/>
        <v>0</v>
      </c>
      <c r="HI30" s="7">
        <f t="shared" si="216"/>
        <v>2.3402022727207705E-2</v>
      </c>
      <c r="HJ30" s="7">
        <f t="shared" si="217"/>
        <v>0</v>
      </c>
      <c r="HK30" s="7">
        <f t="shared" si="218"/>
        <v>0</v>
      </c>
      <c r="HL30" s="7">
        <f t="shared" si="219"/>
        <v>5.4146977062828783E-2</v>
      </c>
      <c r="HM30" s="7">
        <f t="shared" si="220"/>
        <v>0.10329122750737774</v>
      </c>
      <c r="HN30" s="7">
        <f t="shared" si="221"/>
        <v>0.14465910002679763</v>
      </c>
      <c r="HO30" s="7">
        <f t="shared" si="222"/>
        <v>0.66641540900879304</v>
      </c>
      <c r="HP30" s="7">
        <f t="shared" si="223"/>
        <v>0.11270717127431008</v>
      </c>
      <c r="HQ30" s="7">
        <f t="shared" si="224"/>
        <v>6.5736489599601933E-2</v>
      </c>
      <c r="HR30" s="7">
        <f t="shared" si="225"/>
        <v>1.1117650780755703E-2</v>
      </c>
      <c r="HS30" s="7">
        <f t="shared" si="226"/>
        <v>1.7330029101953831E-2</v>
      </c>
      <c r="HT30" s="7"/>
      <c r="HU30" s="16">
        <f t="shared" si="227"/>
        <v>-8.770683973521862E-7</v>
      </c>
      <c r="HV30" s="16">
        <f t="shared" si="228"/>
        <v>1.6489344763633537E-12</v>
      </c>
      <c r="HW30" s="16">
        <f t="shared" si="229"/>
        <v>2.7212985798354358E-5</v>
      </c>
      <c r="HX30" s="16">
        <f t="shared" si="230"/>
        <v>7.7687057609839341E-9</v>
      </c>
      <c r="HY30" s="7">
        <f t="shared" si="231"/>
        <v>2.1847553311657006</v>
      </c>
      <c r="HZ30" s="7">
        <f t="shared" ca="1" si="232"/>
        <v>457.0223302820911</v>
      </c>
      <c r="IA30" s="7">
        <f t="shared" ca="1" si="233"/>
        <v>3.2160428276957553</v>
      </c>
      <c r="IB30" s="7">
        <f t="shared" ca="1" si="234"/>
        <v>457.02251495260089</v>
      </c>
      <c r="IC30" s="7">
        <f t="shared" ca="1" si="235"/>
        <v>2.7374071329311978</v>
      </c>
      <c r="ID30" s="7">
        <f t="shared" ca="1" si="236"/>
        <v>3.2160428276957553</v>
      </c>
      <c r="IE30" s="7"/>
      <c r="IF30" s="2">
        <f t="shared" si="237"/>
        <v>6.8922235400902546E-2</v>
      </c>
      <c r="IG30" s="17">
        <f t="shared" ca="1" si="238"/>
        <v>1090.2314457049829</v>
      </c>
      <c r="IH30" s="17"/>
      <c r="II30" s="7">
        <f t="shared" si="239"/>
        <v>2.0735940187551152</v>
      </c>
      <c r="IJ30" s="17">
        <f t="shared" si="240"/>
        <v>1837.7772740133462</v>
      </c>
      <c r="IK30" s="16">
        <f t="shared" si="241"/>
        <v>1.2695258267441407E-5</v>
      </c>
      <c r="IM30" s="1">
        <f t="shared" si="242"/>
        <v>1</v>
      </c>
      <c r="IN30" s="166">
        <f t="shared" si="243"/>
        <v>0.43370600553707628</v>
      </c>
      <c r="IO30" s="166">
        <f t="shared" si="244"/>
        <v>9.4562768834053929E-2</v>
      </c>
      <c r="IP30" s="166">
        <f t="shared" si="245"/>
        <v>0.47173122562886988</v>
      </c>
      <c r="IR30" s="167">
        <f t="shared" si="246"/>
        <v>0.38154583018529487</v>
      </c>
      <c r="IS30" s="167">
        <f t="shared" si="247"/>
        <v>0.47173122562886988</v>
      </c>
      <c r="IU30" s="169">
        <v>0.1</v>
      </c>
      <c r="IV30" s="169">
        <v>0.9</v>
      </c>
      <c r="IW30" s="169">
        <v>0</v>
      </c>
      <c r="IX30" s="169"/>
      <c r="IY30" s="167">
        <f t="shared" si="248"/>
        <v>1.0392304845413263</v>
      </c>
      <c r="IZ30" s="167">
        <f t="shared" si="249"/>
        <v>0</v>
      </c>
    </row>
    <row r="31" spans="1:260" ht="13.2">
      <c r="A31" s="139" t="s">
        <v>201</v>
      </c>
      <c r="B31" s="139" t="s">
        <v>202</v>
      </c>
      <c r="C31" s="78">
        <f t="shared" si="43"/>
        <v>1.9</v>
      </c>
      <c r="D31" s="133">
        <f t="shared" ca="1" si="44"/>
        <v>1106.3389890886847</v>
      </c>
      <c r="E31" s="15">
        <f t="shared" ca="1" si="45"/>
        <v>6.6330419229931326E-2</v>
      </c>
      <c r="F31" s="123">
        <v>51.5</v>
      </c>
      <c r="G31" s="123">
        <v>1.19</v>
      </c>
      <c r="H31" s="123">
        <v>19.2</v>
      </c>
      <c r="I31" s="123">
        <v>8.6999999999999993</v>
      </c>
      <c r="J31" s="123">
        <v>0.19</v>
      </c>
      <c r="K31" s="132">
        <v>4.9800000000000004</v>
      </c>
      <c r="L31" s="123">
        <v>10</v>
      </c>
      <c r="M31" s="123">
        <v>5</v>
      </c>
      <c r="N31" s="123">
        <v>0.42</v>
      </c>
      <c r="O31" s="123">
        <v>0</v>
      </c>
      <c r="P31" s="123">
        <v>0.14000000000000001</v>
      </c>
      <c r="Q31" s="123">
        <v>6.2</v>
      </c>
      <c r="R31" s="119">
        <f t="shared" ca="1" si="46"/>
        <v>4.982364365879703</v>
      </c>
      <c r="T31" s="123">
        <v>50.3</v>
      </c>
      <c r="U31" s="123">
        <v>2</v>
      </c>
      <c r="V31" s="123">
        <v>5</v>
      </c>
      <c r="W31" s="123">
        <v>5.83</v>
      </c>
      <c r="X31" s="123">
        <v>0</v>
      </c>
      <c r="Y31" s="123">
        <v>15</v>
      </c>
      <c r="Z31" s="123">
        <v>22.7</v>
      </c>
      <c r="AA31" s="123">
        <v>0.24</v>
      </c>
      <c r="AB31" s="123">
        <v>0</v>
      </c>
      <c r="AC31" s="123">
        <v>0.28000000000000003</v>
      </c>
      <c r="AE31" s="112">
        <f t="shared" ca="1" si="47"/>
        <v>1292.3435086666891</v>
      </c>
      <c r="AF31" s="165">
        <f t="shared" ca="1" si="48"/>
        <v>1019.1935086666891</v>
      </c>
      <c r="AG31" s="165">
        <f t="shared" ca="1" si="49"/>
        <v>1.6209717079519859</v>
      </c>
      <c r="AH31" s="91">
        <f t="shared" ca="1" si="50"/>
        <v>1403.1013405358306</v>
      </c>
      <c r="AI31" s="91">
        <f t="shared" ca="1" si="51"/>
        <v>1.7811014473960203</v>
      </c>
      <c r="AJ31" s="91"/>
      <c r="AK31" s="91">
        <f t="shared" ca="1" si="52"/>
        <v>1379.4889890886848</v>
      </c>
      <c r="AL31" s="91">
        <f t="shared" ca="1" si="53"/>
        <v>0.19025736377150526</v>
      </c>
      <c r="AM31" s="91"/>
      <c r="AN31" s="91">
        <f t="shared" ca="1" si="54"/>
        <v>1272.5928020817776</v>
      </c>
      <c r="AO31" s="91">
        <f t="shared" ca="1" si="55"/>
        <v>999.44280208177759</v>
      </c>
      <c r="AP31" s="91">
        <f t="shared" ca="1" si="56"/>
        <v>-2.8268917310644683</v>
      </c>
      <c r="AQ31" s="91"/>
      <c r="AR31" s="91">
        <f t="shared" ca="1" si="57"/>
        <v>1288.3510973227233</v>
      </c>
      <c r="AS31" s="91">
        <f t="shared" ca="1" si="58"/>
        <v>1015.2010973227233</v>
      </c>
      <c r="AT31" s="40">
        <f t="shared" ca="1" si="59"/>
        <v>-2.2704981200823893</v>
      </c>
      <c r="AV31" s="40">
        <f t="shared" si="60"/>
        <v>1391.844720873539</v>
      </c>
      <c r="AW31" s="40">
        <f t="shared" si="61"/>
        <v>1118.6947208735392</v>
      </c>
      <c r="AX31" s="40">
        <f t="shared" ca="1" si="62"/>
        <v>1403.1013405358306</v>
      </c>
      <c r="AY31" s="40">
        <f t="shared" ca="1" si="63"/>
        <v>1129.9513405358307</v>
      </c>
      <c r="AZ31" s="40">
        <f t="shared" ca="1" si="64"/>
        <v>1.7811014473960203</v>
      </c>
      <c r="BA31" s="40"/>
      <c r="BB31" s="40">
        <f t="shared" ca="1" si="65"/>
        <v>1379.4889890886848</v>
      </c>
      <c r="BC31" s="40">
        <f t="shared" ca="1" si="66"/>
        <v>0.19025736377150526</v>
      </c>
      <c r="BD31" s="40">
        <f t="shared" ca="1" si="67"/>
        <v>1106.3389890886847</v>
      </c>
      <c r="BE31" s="40">
        <f t="shared" ca="1" si="68"/>
        <v>5.8230025975905919</v>
      </c>
      <c r="BF31" s="40">
        <f t="shared" ca="1" si="69"/>
        <v>6.1925345192885848</v>
      </c>
      <c r="BG31" s="40">
        <f t="shared" ca="1" si="70"/>
        <v>1019.6182678609081</v>
      </c>
      <c r="BH31" s="40">
        <f t="shared" ca="1" si="71"/>
        <v>1046.973380234358</v>
      </c>
      <c r="BI31" s="40">
        <f t="shared" ca="1" si="72"/>
        <v>1046.973380234358</v>
      </c>
      <c r="BJ31" s="40">
        <f t="shared" ca="1" si="73"/>
        <v>1138.2898634514368</v>
      </c>
      <c r="BK31" s="70">
        <f t="shared" ca="1" si="74"/>
        <v>1.1076740067058228</v>
      </c>
      <c r="BL31" s="70">
        <f t="shared" ca="1" si="75"/>
        <v>0.85009283245930523</v>
      </c>
      <c r="BM31" s="70">
        <f t="shared" ca="1" si="76"/>
        <v>0.10664943059265029</v>
      </c>
      <c r="BN31" s="180">
        <f t="shared" ca="1" si="27"/>
        <v>1.2705136182045849E-2</v>
      </c>
      <c r="BO31" s="180">
        <f t="shared" ca="1" si="28"/>
        <v>2.2984185373579807E-2</v>
      </c>
      <c r="BP31" s="180">
        <f t="shared" ca="1" si="29"/>
        <v>7.1016607680193994E-2</v>
      </c>
      <c r="BQ31" s="70">
        <f t="shared" si="77"/>
        <v>0</v>
      </c>
      <c r="BR31" s="40">
        <f t="shared" ca="1" si="78"/>
        <v>1.0634481922877752</v>
      </c>
      <c r="BS31" s="53"/>
      <c r="BT31" s="70">
        <f t="shared" si="79"/>
        <v>0.7837624132293739</v>
      </c>
      <c r="BU31" s="70">
        <f t="shared" si="80"/>
        <v>0.10462559583395364</v>
      </c>
      <c r="BV31" s="70">
        <f t="shared" si="81"/>
        <v>3.1729049624654289E-2</v>
      </c>
      <c r="BW31" s="70">
        <f t="shared" si="82"/>
        <v>1.6965015800035531E-2</v>
      </c>
      <c r="BX31" s="180">
        <f t="shared" si="83"/>
        <v>6.7210338446257012E-2</v>
      </c>
      <c r="BY31" s="70">
        <f t="shared" si="84"/>
        <v>4.0353060783953126E-3</v>
      </c>
      <c r="BZ31" s="70">
        <f t="shared" si="85"/>
        <v>1.0083277190126696</v>
      </c>
      <c r="CA31" s="70">
        <f t="shared" si="86"/>
        <v>0.22247816091954029</v>
      </c>
      <c r="CB31" s="53"/>
      <c r="CC31" s="40"/>
      <c r="CD31" s="40">
        <f t="shared" ca="1" si="87"/>
        <v>1.7922757357400769</v>
      </c>
      <c r="CE31" s="40">
        <f t="shared" ca="1" si="88"/>
        <v>2.8521494828313827</v>
      </c>
      <c r="CF31" s="40">
        <f t="shared" ca="1" si="89"/>
        <v>9.1245047311573515</v>
      </c>
      <c r="CG31" s="40">
        <f t="shared" ca="1" si="90"/>
        <v>1125.5324101493284</v>
      </c>
      <c r="CH31" s="54">
        <f t="shared" ca="1" si="91"/>
        <v>0.26391105307672674</v>
      </c>
      <c r="CJ31" s="40">
        <f t="shared" si="92"/>
        <v>0.21925323264889304</v>
      </c>
      <c r="CK31" s="40">
        <f t="shared" si="93"/>
        <v>-9.9952108957407845E-2</v>
      </c>
      <c r="CL31" s="40">
        <f t="shared" ca="1" si="94"/>
        <v>849.95774146634346</v>
      </c>
      <c r="CM31" s="2"/>
      <c r="CN31" s="1">
        <f t="shared" si="95"/>
        <v>0.85712906699420643</v>
      </c>
      <c r="CO31" s="1">
        <f t="shared" si="96"/>
        <v>1.4897569818274685E-2</v>
      </c>
      <c r="CP31" s="1">
        <f t="shared" si="97"/>
        <v>0.37661458793067937</v>
      </c>
      <c r="CQ31" s="1">
        <f t="shared" si="98"/>
        <v>0.12109166221272046</v>
      </c>
      <c r="CR31" s="1">
        <f t="shared" si="99"/>
        <v>2.6784140969162997E-3</v>
      </c>
      <c r="CS31" s="1">
        <f t="shared" si="100"/>
        <v>0.12355971060231638</v>
      </c>
      <c r="CT31" s="1">
        <f t="shared" si="101"/>
        <v>0.1783249580044724</v>
      </c>
      <c r="CU31" s="1">
        <f t="shared" si="102"/>
        <v>0.16134523200637635</v>
      </c>
      <c r="CV31" s="1">
        <f t="shared" si="103"/>
        <v>8.917576117881864E-3</v>
      </c>
      <c r="CW31" s="1">
        <f t="shared" si="104"/>
        <v>0</v>
      </c>
      <c r="CX31" s="1">
        <f t="shared" si="105"/>
        <v>1.9727062006383114E-3</v>
      </c>
      <c r="CY31" s="1">
        <f t="shared" si="106"/>
        <v>1.8465314839844826</v>
      </c>
      <c r="DA31" s="1">
        <f t="shared" si="107"/>
        <v>0.46418329415357495</v>
      </c>
      <c r="DB31" s="1">
        <f t="shared" si="108"/>
        <v>8.0678666719120381E-3</v>
      </c>
      <c r="DC31" s="1">
        <f t="shared" si="109"/>
        <v>0.20395784810449744</v>
      </c>
      <c r="DD31" s="1">
        <f t="shared" si="110"/>
        <v>6.557790282103744E-2</v>
      </c>
      <c r="DE31" s="1">
        <f t="shared" si="111"/>
        <v>1.4505109282711844E-3</v>
      </c>
      <c r="DF31" s="1">
        <f t="shared" si="112"/>
        <v>6.6914488961594507E-2</v>
      </c>
      <c r="DG31" s="1">
        <f t="shared" si="113"/>
        <v>9.6572931223289638E-2</v>
      </c>
      <c r="DH31" s="1">
        <f t="shared" si="114"/>
        <v>8.7377460609673649E-2</v>
      </c>
      <c r="DI31" s="1">
        <f t="shared" si="115"/>
        <v>4.8293658652596274E-3</v>
      </c>
      <c r="DJ31" s="1">
        <f t="shared" si="116"/>
        <v>0</v>
      </c>
      <c r="DK31" s="1">
        <f t="shared" si="117"/>
        <v>1.0683306608894457E-3</v>
      </c>
      <c r="DL31" s="1">
        <f t="shared" si="118"/>
        <v>0.99999999999999989</v>
      </c>
      <c r="DM31" s="156">
        <f t="shared" si="119"/>
        <v>50.504401091479231</v>
      </c>
      <c r="DN31" s="1">
        <f t="shared" si="120"/>
        <v>0.83715712756909877</v>
      </c>
      <c r="DO31" s="1">
        <f t="shared" si="121"/>
        <v>2.503793246768855E-2</v>
      </c>
      <c r="DP31" s="1">
        <f t="shared" si="122"/>
        <v>4.9038357803473875E-2</v>
      </c>
      <c r="DQ31" s="1">
        <f t="shared" si="123"/>
        <v>8.114533226438625E-2</v>
      </c>
      <c r="DR31" s="1">
        <f t="shared" si="124"/>
        <v>0</v>
      </c>
      <c r="DS31" s="1">
        <f t="shared" si="125"/>
        <v>0.37216780301902519</v>
      </c>
      <c r="DT31" s="1">
        <f t="shared" si="126"/>
        <v>0.40479765467015233</v>
      </c>
      <c r="DU31" s="1">
        <f t="shared" si="127"/>
        <v>3.8722855681530325E-3</v>
      </c>
      <c r="DV31" s="1">
        <f t="shared" si="128"/>
        <v>0</v>
      </c>
      <c r="DW31" s="1">
        <f t="shared" si="129"/>
        <v>1.8421270778206586E-3</v>
      </c>
      <c r="DX31" s="1">
        <f t="shared" si="130"/>
        <v>1.7750586204397987</v>
      </c>
      <c r="DZ31" s="1">
        <f t="shared" si="131"/>
        <v>1.6743142551381975</v>
      </c>
      <c r="EA31" s="1">
        <f t="shared" si="132"/>
        <v>5.00758649353771E-2</v>
      </c>
      <c r="EB31" s="1">
        <f t="shared" si="133"/>
        <v>0.14711507341042163</v>
      </c>
      <c r="EC31" s="1">
        <f t="shared" si="134"/>
        <v>8.114533226438625E-2</v>
      </c>
      <c r="ED31" s="1">
        <f t="shared" si="135"/>
        <v>0</v>
      </c>
      <c r="EE31" s="1">
        <f t="shared" si="136"/>
        <v>0.37216780301902519</v>
      </c>
      <c r="EF31" s="1">
        <f t="shared" si="137"/>
        <v>0.40479765467015233</v>
      </c>
      <c r="EG31" s="1">
        <f t="shared" si="138"/>
        <v>3.8722855681530325E-3</v>
      </c>
      <c r="EH31" s="1">
        <f t="shared" si="139"/>
        <v>0</v>
      </c>
      <c r="EI31" s="1">
        <f t="shared" si="140"/>
        <v>5.5263812334619758E-3</v>
      </c>
      <c r="EJ31" s="1">
        <f t="shared" si="141"/>
        <v>2.7390146502391746</v>
      </c>
      <c r="EK31" s="1">
        <f t="shared" si="142"/>
        <v>2.1905687870183796</v>
      </c>
      <c r="EM31" s="1">
        <f t="shared" si="143"/>
        <v>1.8338502734828317</v>
      </c>
      <c r="EN31" s="1">
        <f t="shared" si="144"/>
        <v>5.4847313355192613E-2</v>
      </c>
      <c r="EO31" s="1">
        <f t="shared" si="145"/>
        <v>0.16614972651716831</v>
      </c>
      <c r="EP31" s="1">
        <f t="shared" si="146"/>
        <v>4.869406542468982E-2</v>
      </c>
      <c r="EQ31" s="1">
        <f t="shared" si="147"/>
        <v>0.21484379194185813</v>
      </c>
      <c r="ER31" s="1">
        <f t="shared" si="148"/>
        <v>0.17775443207059996</v>
      </c>
      <c r="ES31" s="1">
        <f t="shared" si="149"/>
        <v>0</v>
      </c>
      <c r="ET31" s="1">
        <f t="shared" si="150"/>
        <v>0.81525917282668126</v>
      </c>
      <c r="EU31" s="1">
        <f t="shared" si="151"/>
        <v>0.8867371073786805</v>
      </c>
      <c r="EV31" s="1">
        <f t="shared" si="152"/>
        <v>1.6965015800035531E-2</v>
      </c>
      <c r="EW31" s="1">
        <f t="shared" si="153"/>
        <v>0</v>
      </c>
      <c r="EX31" s="1">
        <f t="shared" si="154"/>
        <v>8.0706121567906252E-3</v>
      </c>
      <c r="EY31" s="1">
        <f t="shared" si="155"/>
        <v>4.0083277190126712</v>
      </c>
      <c r="EZ31" s="1">
        <f t="shared" si="156"/>
        <v>1.6655438025338171E-2</v>
      </c>
      <c r="FA31" s="1">
        <f t="shared" si="157"/>
        <v>2.4931251922851061E-2</v>
      </c>
      <c r="FB31" s="1">
        <f t="shared" si="158"/>
        <v>1.6965015800035531E-2</v>
      </c>
      <c r="FC31" s="1">
        <f t="shared" si="159"/>
        <v>3.1729049624654289E-2</v>
      </c>
      <c r="FD31" s="1">
        <f t="shared" si="160"/>
        <v>6.7210338446257012E-2</v>
      </c>
      <c r="FE31" s="1">
        <f t="shared" si="161"/>
        <v>4.0353060783953126E-3</v>
      </c>
      <c r="FF31" s="2">
        <f t="shared" si="162"/>
        <v>0.7837624132293739</v>
      </c>
      <c r="FG31" s="1">
        <f t="shared" si="163"/>
        <v>0.10462559583395364</v>
      </c>
      <c r="FH31" s="1">
        <f t="shared" si="164"/>
        <v>1.0083277190126696</v>
      </c>
      <c r="FI31" s="1">
        <f t="shared" si="165"/>
        <v>0.7837624132293739</v>
      </c>
      <c r="FJ31" s="1">
        <f t="shared" si="166"/>
        <v>1.4857094498654448</v>
      </c>
      <c r="FK31" s="1">
        <f t="shared" si="167"/>
        <v>-4.1642795975622917</v>
      </c>
      <c r="FL31" s="1">
        <f t="shared" si="168"/>
        <v>-4.1642795975622917</v>
      </c>
      <c r="FM31" s="1">
        <f t="shared" si="169"/>
        <v>0.50504401091479234</v>
      </c>
      <c r="FN31" s="67">
        <f t="shared" ca="1" si="170"/>
        <v>1403.1013405358306</v>
      </c>
      <c r="FO31" s="67">
        <f t="shared" ca="1" si="171"/>
        <v>1.7811014473960203</v>
      </c>
      <c r="FP31" s="1">
        <f t="shared" ca="1" si="172"/>
        <v>0.14031013405358306</v>
      </c>
      <c r="FQ31" s="2">
        <f t="shared" ca="1" si="173"/>
        <v>1.3967151630155294</v>
      </c>
      <c r="FR31" s="2">
        <f t="shared" ca="1" si="174"/>
        <v>5.8752901053183706</v>
      </c>
      <c r="FS31" s="1">
        <f t="shared" ca="1" si="175"/>
        <v>2.8531063841676332</v>
      </c>
      <c r="FT31" s="1">
        <f t="shared" si="176"/>
        <v>8.4747937406601692E-2</v>
      </c>
      <c r="FU31" s="2">
        <f t="shared" si="177"/>
        <v>82.099496805082822</v>
      </c>
      <c r="FV31" s="2">
        <f t="shared" ca="1" si="178"/>
        <v>7.464199430744813</v>
      </c>
      <c r="FW31" s="2">
        <f t="shared" ca="1" si="179"/>
        <v>0.25843434366301782</v>
      </c>
      <c r="FX31" s="2">
        <f t="shared" si="180"/>
        <v>0.22247816091954029</v>
      </c>
      <c r="FY31" s="1">
        <f t="shared" si="181"/>
        <v>0.90370212317871601</v>
      </c>
      <c r="FZ31" s="1">
        <f t="shared" si="182"/>
        <v>0.12826742896201121</v>
      </c>
      <c r="GA31" s="1">
        <f t="shared" si="183"/>
        <v>0.13005440210822244</v>
      </c>
      <c r="GB31" s="1">
        <f t="shared" si="184"/>
        <v>0.89645862122011755</v>
      </c>
      <c r="GC31" s="1">
        <f t="shared" si="185"/>
        <v>7.9899545651825443E-2</v>
      </c>
      <c r="GD31" s="1">
        <f t="shared" si="186"/>
        <v>0.16109899404526179</v>
      </c>
      <c r="GE31" s="1">
        <f t="shared" si="187"/>
        <v>0.86994559789177761</v>
      </c>
      <c r="GF31" s="1">
        <f t="shared" si="188"/>
        <v>0.35090095235748042</v>
      </c>
      <c r="GG31" s="1">
        <f t="shared" si="189"/>
        <v>-1.5513491084603382E-2</v>
      </c>
      <c r="GH31" s="1">
        <f t="shared" si="190"/>
        <v>3.0426103043058629E-2</v>
      </c>
      <c r="GI31" s="1">
        <f t="shared" si="191"/>
        <v>3.0426103043058629E-2</v>
      </c>
      <c r="GJ31" s="1">
        <f t="shared" si="192"/>
        <v>0.13067289100220317</v>
      </c>
      <c r="GK31" s="1">
        <f t="shared" si="193"/>
        <v>6.5871773778225368E-2</v>
      </c>
      <c r="GL31" s="1">
        <f t="shared" si="194"/>
        <v>0.74938739904845586</v>
      </c>
      <c r="GM31" s="1">
        <f t="shared" si="195"/>
        <v>0.8867371073786805</v>
      </c>
      <c r="GN31" s="1">
        <f t="shared" si="196"/>
        <v>1.6965015800035531E-2</v>
      </c>
      <c r="GO31" s="1">
        <f t="shared" si="197"/>
        <v>440.16281632267857</v>
      </c>
      <c r="GP31" s="1">
        <f t="shared" si="198"/>
        <v>11.769273014015184</v>
      </c>
      <c r="GQ31" s="1">
        <f t="shared" si="199"/>
        <v>2.1997701803425445</v>
      </c>
      <c r="GR31" s="1">
        <f t="shared" si="200"/>
        <v>9.0465548666587124E-6</v>
      </c>
      <c r="GS31" s="1">
        <f t="shared" si="201"/>
        <v>1853.3474884709633</v>
      </c>
      <c r="GT31" s="1">
        <f t="shared" ca="1" si="202"/>
        <v>0.35053860328779407</v>
      </c>
      <c r="GU31" s="2">
        <f t="shared" ca="1" si="203"/>
        <v>22.09912973115734</v>
      </c>
      <c r="GV31" s="4">
        <f t="shared" ca="1" si="204"/>
        <v>3.420619788025359</v>
      </c>
      <c r="GW31" s="4">
        <f t="shared" ca="1" si="205"/>
        <v>2.9402503605687693</v>
      </c>
      <c r="GX31" s="4">
        <f t="shared" si="206"/>
        <v>5.42</v>
      </c>
      <c r="GY31" s="4">
        <f t="shared" si="207"/>
        <v>5.3077524999999994</v>
      </c>
      <c r="GZ31" s="4">
        <f t="shared" ca="1" si="208"/>
        <v>2.9402503605687693</v>
      </c>
      <c r="HA31" s="1">
        <f t="shared" si="209"/>
        <v>440.16281632267857</v>
      </c>
      <c r="HB31" s="1">
        <f t="shared" si="210"/>
        <v>11.769273014015184</v>
      </c>
      <c r="HC31" s="4">
        <f t="shared" si="211"/>
        <v>7.7992307956435525E-2</v>
      </c>
      <c r="HD31" s="4"/>
      <c r="HE31" s="7">
        <f t="shared" si="212"/>
        <v>0.16109899404526179</v>
      </c>
      <c r="HF31" s="7">
        <f t="shared" si="213"/>
        <v>0.81525917282668126</v>
      </c>
      <c r="HG31" s="7">
        <f t="shared" si="214"/>
        <v>1.6655438025338171E-2</v>
      </c>
      <c r="HH31" s="7">
        <f t="shared" si="215"/>
        <v>3.095777746973602E-4</v>
      </c>
      <c r="HI31" s="7">
        <f t="shared" si="216"/>
        <v>0</v>
      </c>
      <c r="HJ31" s="7">
        <f t="shared" si="217"/>
        <v>3.095777746973602E-4</v>
      </c>
      <c r="HK31" s="7">
        <f t="shared" si="218"/>
        <v>0</v>
      </c>
      <c r="HL31" s="7">
        <f t="shared" si="219"/>
        <v>4.8384487649992459E-2</v>
      </c>
      <c r="HM31" s="7">
        <f t="shared" si="220"/>
        <v>0.16614972651716831</v>
      </c>
      <c r="HN31" s="7">
        <f t="shared" si="221"/>
        <v>0.16499989400548659</v>
      </c>
      <c r="HO31" s="7">
        <f t="shared" si="222"/>
        <v>0.60169053939767148</v>
      </c>
      <c r="HP31" s="7">
        <f t="shared" si="223"/>
        <v>0.11889684146384071</v>
      </c>
      <c r="HQ31" s="7">
        <f t="shared" si="224"/>
        <v>8.040873735281874E-2</v>
      </c>
      <c r="HR31" s="7">
        <f t="shared" si="225"/>
        <v>1.5889139468465263E-2</v>
      </c>
      <c r="HS31" s="7">
        <f t="shared" si="226"/>
        <v>1.6965015800035531E-2</v>
      </c>
      <c r="HT31" s="7"/>
      <c r="HU31" s="16">
        <f t="shared" si="227"/>
        <v>-8.7592858520115655E-7</v>
      </c>
      <c r="HV31" s="16">
        <f t="shared" si="228"/>
        <v>1.6401320185543938E-12</v>
      </c>
      <c r="HW31" s="16">
        <f t="shared" si="229"/>
        <v>2.6974070020037453E-5</v>
      </c>
      <c r="HX31" s="16">
        <f t="shared" si="230"/>
        <v>7.6358542893012472E-9</v>
      </c>
      <c r="HY31" s="7">
        <f t="shared" si="231"/>
        <v>2.1997701803425445</v>
      </c>
      <c r="HZ31" s="7">
        <f t="shared" ca="1" si="232"/>
        <v>456.93023645751242</v>
      </c>
      <c r="IA31" s="7">
        <f t="shared" ca="1" si="233"/>
        <v>3.420619788025359</v>
      </c>
      <c r="IB31" s="7">
        <f t="shared" ca="1" si="234"/>
        <v>456.93042166231305</v>
      </c>
      <c r="IC31" s="7">
        <f t="shared" ca="1" si="235"/>
        <v>2.9402503605687693</v>
      </c>
      <c r="ID31" s="7">
        <f t="shared" ca="1" si="236"/>
        <v>2.9402503605687693</v>
      </c>
      <c r="IE31" s="7"/>
      <c r="IF31" s="2">
        <f t="shared" si="237"/>
        <v>8.4747937406601692E-2</v>
      </c>
      <c r="IG31" s="17">
        <f t="shared" ca="1" si="238"/>
        <v>1081.3389890886847</v>
      </c>
      <c r="IH31" s="17"/>
      <c r="II31" s="7">
        <f t="shared" si="239"/>
        <v>2.0724969815149903</v>
      </c>
      <c r="IJ31" s="17">
        <f t="shared" si="240"/>
        <v>1853.3474884709633</v>
      </c>
      <c r="IK31" s="16">
        <f t="shared" si="241"/>
        <v>1.2612926844455047E-5</v>
      </c>
      <c r="IM31" s="1">
        <f t="shared" si="242"/>
        <v>1</v>
      </c>
      <c r="IN31" s="166">
        <f t="shared" si="243"/>
        <v>0.43370600553707622</v>
      </c>
      <c r="IO31" s="166">
        <f t="shared" si="244"/>
        <v>9.4562768834053915E-2</v>
      </c>
      <c r="IP31" s="166">
        <f t="shared" si="245"/>
        <v>0.47173122562886982</v>
      </c>
      <c r="IR31" s="167">
        <f t="shared" si="246"/>
        <v>0.38154583018529481</v>
      </c>
      <c r="IS31" s="167">
        <f t="shared" si="247"/>
        <v>0.47173122562886982</v>
      </c>
      <c r="IU31" s="169">
        <v>0.1</v>
      </c>
      <c r="IV31" s="169">
        <v>0.9</v>
      </c>
      <c r="IW31" s="169">
        <v>0</v>
      </c>
      <c r="IX31" s="169"/>
      <c r="IY31" s="167">
        <f t="shared" si="248"/>
        <v>1.0392304845413263</v>
      </c>
      <c r="IZ31" s="167">
        <f t="shared" si="249"/>
        <v>0</v>
      </c>
    </row>
    <row r="32" spans="1:260" ht="13.2">
      <c r="A32" s="139" t="s">
        <v>201</v>
      </c>
      <c r="B32" s="139" t="s">
        <v>202</v>
      </c>
      <c r="C32" s="78">
        <f t="shared" si="43"/>
        <v>1.9</v>
      </c>
      <c r="D32" s="133">
        <f t="shared" ca="1" si="44"/>
        <v>1240.9855723051951</v>
      </c>
      <c r="E32" s="15">
        <f t="shared" ca="1" si="45"/>
        <v>0.15033619297104037</v>
      </c>
      <c r="F32" s="123">
        <v>51.5</v>
      </c>
      <c r="G32" s="123">
        <v>1.19</v>
      </c>
      <c r="H32" s="123">
        <v>19.2</v>
      </c>
      <c r="I32" s="123">
        <v>8.6999999999999993</v>
      </c>
      <c r="J32" s="123">
        <v>0.19</v>
      </c>
      <c r="K32" s="132">
        <v>4.9800000000000004</v>
      </c>
      <c r="L32" s="123">
        <v>10</v>
      </c>
      <c r="M32" s="123">
        <v>3.72</v>
      </c>
      <c r="N32" s="123">
        <v>0.42</v>
      </c>
      <c r="O32" s="123">
        <v>0.3</v>
      </c>
      <c r="P32" s="123">
        <v>0.14000000000000001</v>
      </c>
      <c r="Q32" s="123">
        <v>8</v>
      </c>
      <c r="R32" s="119">
        <f t="shared" ca="1" si="46"/>
        <v>8.4641259084890077</v>
      </c>
      <c r="T32" s="123">
        <v>49</v>
      </c>
      <c r="U32" s="123">
        <v>0.73</v>
      </c>
      <c r="V32" s="123">
        <v>4.12</v>
      </c>
      <c r="W32" s="123">
        <v>5.83</v>
      </c>
      <c r="X32" s="123">
        <v>0</v>
      </c>
      <c r="Y32" s="123">
        <v>15</v>
      </c>
      <c r="Z32" s="123">
        <v>10</v>
      </c>
      <c r="AA32" s="123">
        <v>0.24</v>
      </c>
      <c r="AB32" s="123">
        <v>0</v>
      </c>
      <c r="AC32" s="123">
        <v>0.28000000000000003</v>
      </c>
      <c r="AE32" s="112">
        <f t="shared" ca="1" si="47"/>
        <v>1381.4302210358153</v>
      </c>
      <c r="AF32" s="165">
        <f t="shared" ca="1" si="48"/>
        <v>1108.2802210358154</v>
      </c>
      <c r="AG32" s="165">
        <f t="shared" ca="1" si="49"/>
        <v>8.1701532334176132</v>
      </c>
      <c r="AH32" s="91">
        <f t="shared" ca="1" si="50"/>
        <v>1467.5262216546303</v>
      </c>
      <c r="AI32" s="91">
        <f t="shared" ca="1" si="51"/>
        <v>4.4075300129942274</v>
      </c>
      <c r="AJ32" s="91"/>
      <c r="AK32" s="91">
        <f t="shared" ca="1" si="52"/>
        <v>1514.135572305195</v>
      </c>
      <c r="AL32" s="91">
        <f t="shared" ca="1" si="53"/>
        <v>4.3877851960722944</v>
      </c>
      <c r="AM32" s="91"/>
      <c r="AN32" s="91">
        <f t="shared" ca="1" si="54"/>
        <v>1339.2086514035752</v>
      </c>
      <c r="AO32" s="91">
        <f t="shared" ca="1" si="55"/>
        <v>1066.0586514035754</v>
      </c>
      <c r="AP32" s="91">
        <f t="shared" ca="1" si="56"/>
        <v>-0.28250698671874019</v>
      </c>
      <c r="AQ32" s="91"/>
      <c r="AR32" s="91">
        <f t="shared" ca="1" si="57"/>
        <v>1262.9223030833264</v>
      </c>
      <c r="AS32" s="91">
        <f t="shared" ca="1" si="58"/>
        <v>989.77230308332639</v>
      </c>
      <c r="AT32" s="40">
        <f t="shared" ca="1" si="59"/>
        <v>-3.0707907384679753</v>
      </c>
      <c r="AV32" s="40">
        <f t="shared" si="60"/>
        <v>1478.2782227026121</v>
      </c>
      <c r="AW32" s="40">
        <f t="shared" si="61"/>
        <v>1205.1282227026122</v>
      </c>
      <c r="AX32" s="40">
        <f t="shared" ca="1" si="62"/>
        <v>1467.5262216546303</v>
      </c>
      <c r="AY32" s="40">
        <f t="shared" ca="1" si="63"/>
        <v>1194.3762216546302</v>
      </c>
      <c r="AZ32" s="40">
        <f t="shared" ca="1" si="64"/>
        <v>4.4075300129942274</v>
      </c>
      <c r="BA32" s="40"/>
      <c r="BB32" s="40">
        <f t="shared" ca="1" si="65"/>
        <v>1514.135572305195</v>
      </c>
      <c r="BC32" s="40">
        <f t="shared" ca="1" si="66"/>
        <v>4.3877851960722944</v>
      </c>
      <c r="BD32" s="40">
        <f t="shared" ca="1" si="67"/>
        <v>1240.9855723051951</v>
      </c>
      <c r="BE32" s="40">
        <f t="shared" ca="1" si="68"/>
        <v>12.289962083507925</v>
      </c>
      <c r="BF32" s="40">
        <f t="shared" ca="1" si="69"/>
        <v>11.423134227634105</v>
      </c>
      <c r="BG32" s="40">
        <f t="shared" ca="1" si="70"/>
        <v>1088.3439557592274</v>
      </c>
      <c r="BH32" s="40">
        <f t="shared" ca="1" si="71"/>
        <v>1046.7485314591258</v>
      </c>
      <c r="BI32" s="40">
        <f t="shared" ca="1" si="72"/>
        <v>1046.7485314591258</v>
      </c>
      <c r="BJ32" s="40">
        <f t="shared" ca="1" si="73"/>
        <v>1171.2879753728498</v>
      </c>
      <c r="BK32" s="70">
        <f t="shared" ca="1" si="74"/>
        <v>0.44468985955358936</v>
      </c>
      <c r="BL32" s="70">
        <f t="shared" ca="1" si="75"/>
        <v>0.37861233707287301</v>
      </c>
      <c r="BM32" s="70">
        <f t="shared" ca="1" si="76"/>
        <v>0.73915274199725201</v>
      </c>
      <c r="BN32" s="180">
        <f t="shared" ca="1" si="27"/>
        <v>8.894588014868357E-2</v>
      </c>
      <c r="BO32" s="180">
        <f t="shared" ca="1" si="28"/>
        <v>1.7397439212128468E-2</v>
      </c>
      <c r="BP32" s="180">
        <f t="shared" ca="1" si="29"/>
        <v>2.2921029375436754E-2</v>
      </c>
      <c r="BQ32" s="70">
        <f t="shared" si="77"/>
        <v>8.0525138893461967E-2</v>
      </c>
      <c r="BR32" s="40">
        <f t="shared" ca="1" si="78"/>
        <v>1.3275545666998358</v>
      </c>
      <c r="BS32" s="53"/>
      <c r="BT32" s="70">
        <f t="shared" si="79"/>
        <v>0.22827614410183264</v>
      </c>
      <c r="BU32" s="70">
        <f t="shared" si="80"/>
        <v>0.44978266657158761</v>
      </c>
      <c r="BV32" s="70">
        <f t="shared" si="81"/>
        <v>0.21081251503497597</v>
      </c>
      <c r="BW32" s="70">
        <f t="shared" si="82"/>
        <v>1.9268465595067254E-2</v>
      </c>
      <c r="BX32" s="180">
        <f t="shared" si="83"/>
        <v>0</v>
      </c>
      <c r="BY32" s="70">
        <f t="shared" si="84"/>
        <v>4.5832056541298943E-3</v>
      </c>
      <c r="BZ32" s="70">
        <f t="shared" si="85"/>
        <v>0.91272299695759329</v>
      </c>
      <c r="CA32" s="70">
        <f t="shared" si="86"/>
        <v>0.22247816091954029</v>
      </c>
      <c r="CB32" s="53"/>
      <c r="CC32" s="40"/>
      <c r="CD32" s="40">
        <f t="shared" ca="1" si="87"/>
        <v>4.2617533208845089</v>
      </c>
      <c r="CE32" s="40">
        <f t="shared" ca="1" si="88"/>
        <v>13.959021605633742</v>
      </c>
      <c r="CF32" s="40">
        <f t="shared" ca="1" si="89"/>
        <v>3.9044792434609947</v>
      </c>
      <c r="CG32" s="40">
        <f t="shared" ca="1" si="90"/>
        <v>1215.0545684655308</v>
      </c>
      <c r="CH32" s="54">
        <f t="shared" ca="1" si="91"/>
        <v>0.27849394323742649</v>
      </c>
      <c r="CJ32" s="40">
        <f t="shared" si="92"/>
        <v>15.67918649583352</v>
      </c>
      <c r="CK32" s="40">
        <f t="shared" si="93"/>
        <v>17.619776746423668</v>
      </c>
      <c r="CL32" s="40">
        <f t="shared" ca="1" si="94"/>
        <v>1304.5876661799657</v>
      </c>
      <c r="CM32" s="2"/>
      <c r="CN32" s="1">
        <f t="shared" si="95"/>
        <v>0.85712906699420643</v>
      </c>
      <c r="CO32" s="1">
        <f t="shared" si="96"/>
        <v>1.4897569818274685E-2</v>
      </c>
      <c r="CP32" s="1">
        <f t="shared" si="97"/>
        <v>0.37661458793067937</v>
      </c>
      <c r="CQ32" s="1">
        <f t="shared" si="98"/>
        <v>0.12109166221272046</v>
      </c>
      <c r="CR32" s="1">
        <f t="shared" si="99"/>
        <v>2.6784140969162997E-3</v>
      </c>
      <c r="CS32" s="1">
        <f t="shared" si="100"/>
        <v>0.12355971060231638</v>
      </c>
      <c r="CT32" s="1">
        <f t="shared" si="101"/>
        <v>0.1783249580044724</v>
      </c>
      <c r="CU32" s="1">
        <f t="shared" si="102"/>
        <v>0.12004085261274401</v>
      </c>
      <c r="CV32" s="1">
        <f t="shared" si="103"/>
        <v>8.917576117881864E-3</v>
      </c>
      <c r="CW32" s="1">
        <f t="shared" si="104"/>
        <v>3.9474151667585533E-3</v>
      </c>
      <c r="CX32" s="1">
        <f t="shared" si="105"/>
        <v>1.9727062006383114E-3</v>
      </c>
      <c r="CY32" s="1">
        <f t="shared" si="106"/>
        <v>1.8091745197576088</v>
      </c>
      <c r="DA32" s="1">
        <f t="shared" si="107"/>
        <v>0.47376804041494219</v>
      </c>
      <c r="DB32" s="1">
        <f t="shared" si="108"/>
        <v>8.2344570164909498E-3</v>
      </c>
      <c r="DC32" s="1">
        <f t="shared" si="109"/>
        <v>0.20816929700134057</v>
      </c>
      <c r="DD32" s="1">
        <f t="shared" si="110"/>
        <v>6.6931996272501224E-2</v>
      </c>
      <c r="DE32" s="1">
        <f t="shared" si="111"/>
        <v>1.4804619828910428E-3</v>
      </c>
      <c r="DF32" s="1">
        <f t="shared" si="112"/>
        <v>6.8296181077583812E-2</v>
      </c>
      <c r="DG32" s="1">
        <f t="shared" si="113"/>
        <v>9.8567029358983108E-2</v>
      </c>
      <c r="DH32" s="1">
        <f t="shared" si="114"/>
        <v>6.6351173588729828E-2</v>
      </c>
      <c r="DI32" s="1">
        <f t="shared" si="115"/>
        <v>4.9290856246840308E-3</v>
      </c>
      <c r="DJ32" s="1">
        <f t="shared" si="116"/>
        <v>2.1818874429468658E-3</v>
      </c>
      <c r="DK32" s="1">
        <f t="shared" si="117"/>
        <v>1.0903902189063619E-3</v>
      </c>
      <c r="DL32" s="1">
        <f t="shared" si="118"/>
        <v>1.0000000000000002</v>
      </c>
      <c r="DM32" s="156">
        <f t="shared" si="119"/>
        <v>50.504401091479231</v>
      </c>
      <c r="DN32" s="1">
        <f t="shared" si="120"/>
        <v>0.81552085985856537</v>
      </c>
      <c r="DO32" s="1">
        <f t="shared" si="121"/>
        <v>9.1388453507063195E-3</v>
      </c>
      <c r="DP32" s="1">
        <f t="shared" si="122"/>
        <v>4.0407606830062476E-2</v>
      </c>
      <c r="DQ32" s="1">
        <f t="shared" si="123"/>
        <v>8.114533226438625E-2</v>
      </c>
      <c r="DR32" s="1">
        <f t="shared" si="124"/>
        <v>0</v>
      </c>
      <c r="DS32" s="1">
        <f t="shared" si="125"/>
        <v>0.37216780301902519</v>
      </c>
      <c r="DT32" s="1">
        <f t="shared" si="126"/>
        <v>0.1783249580044724</v>
      </c>
      <c r="DU32" s="1">
        <f t="shared" si="127"/>
        <v>3.8722855681530325E-3</v>
      </c>
      <c r="DV32" s="1">
        <f t="shared" si="128"/>
        <v>0</v>
      </c>
      <c r="DW32" s="1">
        <f t="shared" si="129"/>
        <v>1.8421270778206586E-3</v>
      </c>
      <c r="DX32" s="1">
        <f t="shared" si="130"/>
        <v>1.5024198179731916</v>
      </c>
      <c r="DZ32" s="1">
        <f t="shared" si="131"/>
        <v>1.6310417197171307</v>
      </c>
      <c r="EA32" s="1">
        <f t="shared" si="132"/>
        <v>1.8277690701412639E-2</v>
      </c>
      <c r="EB32" s="1">
        <f t="shared" si="133"/>
        <v>0.12122282049018743</v>
      </c>
      <c r="EC32" s="1">
        <f t="shared" si="134"/>
        <v>8.114533226438625E-2</v>
      </c>
      <c r="ED32" s="1">
        <f t="shared" si="135"/>
        <v>0</v>
      </c>
      <c r="EE32" s="1">
        <f t="shared" si="136"/>
        <v>0.37216780301902519</v>
      </c>
      <c r="EF32" s="1">
        <f t="shared" si="137"/>
        <v>0.1783249580044724</v>
      </c>
      <c r="EG32" s="1">
        <f t="shared" si="138"/>
        <v>3.8722855681530325E-3</v>
      </c>
      <c r="EH32" s="1">
        <f t="shared" si="139"/>
        <v>0</v>
      </c>
      <c r="EI32" s="1">
        <f t="shared" si="140"/>
        <v>5.5263812334619758E-3</v>
      </c>
      <c r="EJ32" s="1">
        <f t="shared" si="141"/>
        <v>2.4115789909982297</v>
      </c>
      <c r="EK32" s="1">
        <f t="shared" si="142"/>
        <v>2.4879964630627374</v>
      </c>
      <c r="EM32" s="1">
        <f t="shared" si="143"/>
        <v>2.0290130148819929</v>
      </c>
      <c r="EN32" s="1">
        <f t="shared" si="144"/>
        <v>2.2737414909034664E-2</v>
      </c>
      <c r="EO32" s="1">
        <f t="shared" si="145"/>
        <v>-2.9013014881992927E-2</v>
      </c>
      <c r="EP32" s="1">
        <f t="shared" si="146"/>
        <v>0.23008098063004323</v>
      </c>
      <c r="EQ32" s="1">
        <f t="shared" si="147"/>
        <v>0.2010679657480503</v>
      </c>
      <c r="ER32" s="1">
        <f t="shared" si="148"/>
        <v>0.20188929966784361</v>
      </c>
      <c r="ES32" s="1">
        <f t="shared" si="149"/>
        <v>0</v>
      </c>
      <c r="ET32" s="1">
        <f t="shared" si="150"/>
        <v>0.92595217757716419</v>
      </c>
      <c r="EU32" s="1">
        <f t="shared" si="151"/>
        <v>0.44367186479093851</v>
      </c>
      <c r="EV32" s="1">
        <f t="shared" si="152"/>
        <v>1.9268465595067254E-2</v>
      </c>
      <c r="EW32" s="1">
        <f t="shared" si="153"/>
        <v>0</v>
      </c>
      <c r="EX32" s="1">
        <f t="shared" si="154"/>
        <v>9.1664113082597885E-3</v>
      </c>
      <c r="EY32" s="1">
        <f t="shared" si="155"/>
        <v>3.8527666144783508</v>
      </c>
      <c r="EZ32" s="1">
        <f t="shared" si="156"/>
        <v>0</v>
      </c>
      <c r="FA32" s="1">
        <f t="shared" si="157"/>
        <v>-0.45857971765544114</v>
      </c>
      <c r="FB32" s="1">
        <f t="shared" si="158"/>
        <v>1.9268465595067254E-2</v>
      </c>
      <c r="FC32" s="1">
        <f t="shared" si="159"/>
        <v>0.21081251503497597</v>
      </c>
      <c r="FD32" s="1">
        <f t="shared" si="160"/>
        <v>0</v>
      </c>
      <c r="FE32" s="1">
        <f t="shared" si="161"/>
        <v>4.5832056541298943E-3</v>
      </c>
      <c r="FF32" s="2">
        <f t="shared" si="162"/>
        <v>0.22827614410183264</v>
      </c>
      <c r="FG32" s="1">
        <f t="shared" si="163"/>
        <v>0.44978266657158761</v>
      </c>
      <c r="FH32" s="1">
        <f t="shared" si="164"/>
        <v>0.9127229969575934</v>
      </c>
      <c r="FI32" s="1">
        <f t="shared" si="165"/>
        <v>0.22827614410183264</v>
      </c>
      <c r="FJ32" s="1">
        <f t="shared" si="166"/>
        <v>1.8269868931751019</v>
      </c>
      <c r="FK32" s="1">
        <f t="shared" si="167"/>
        <v>-2.5076989547049289</v>
      </c>
      <c r="FL32" s="1">
        <f t="shared" si="168"/>
        <v>-2.5076989547049289</v>
      </c>
      <c r="FM32" s="1">
        <f t="shared" si="169"/>
        <v>0.50504401091479234</v>
      </c>
      <c r="FN32" s="67">
        <f t="shared" ca="1" si="170"/>
        <v>1467.5262216546303</v>
      </c>
      <c r="FO32" s="67">
        <f t="shared" ca="1" si="171"/>
        <v>4.4075300129942274</v>
      </c>
      <c r="FP32" s="1">
        <f t="shared" ca="1" si="172"/>
        <v>0.14675262216546303</v>
      </c>
      <c r="FQ32" s="2">
        <f t="shared" ca="1" si="173"/>
        <v>2.0646364946408209</v>
      </c>
      <c r="FR32" s="2">
        <f t="shared" ca="1" si="174"/>
        <v>6.0421046424217826</v>
      </c>
      <c r="FS32" s="1">
        <f t="shared" ca="1" si="175"/>
        <v>16.040343631828289</v>
      </c>
      <c r="FT32" s="1">
        <f t="shared" si="176"/>
        <v>0.47543130918908355</v>
      </c>
      <c r="FU32" s="2">
        <f t="shared" si="177"/>
        <v>82.099496805082822</v>
      </c>
      <c r="FV32" s="2">
        <f t="shared" ca="1" si="178"/>
        <v>13.670109076416033</v>
      </c>
      <c r="FW32" s="2">
        <f t="shared" ca="1" si="179"/>
        <v>0.2887190396813698</v>
      </c>
      <c r="FX32" s="2">
        <f t="shared" si="180"/>
        <v>0.22247816091954029</v>
      </c>
      <c r="FY32" s="1">
        <f t="shared" si="181"/>
        <v>0.46294033038600574</v>
      </c>
      <c r="FZ32" s="1">
        <f t="shared" si="182"/>
        <v>0.26198480684733771</v>
      </c>
      <c r="GA32" s="1">
        <f t="shared" si="183"/>
        <v>0.11820228288027006</v>
      </c>
      <c r="GB32" s="1">
        <f t="shared" si="184"/>
        <v>0.74718160446092208</v>
      </c>
      <c r="GC32" s="1">
        <f t="shared" si="185"/>
        <v>0.38065987278408575</v>
      </c>
      <c r="GD32" s="1">
        <f t="shared" si="186"/>
        <v>0.20188929966784361</v>
      </c>
      <c r="GE32" s="1">
        <f t="shared" si="187"/>
        <v>0.88179771711972998</v>
      </c>
      <c r="GF32" s="1">
        <f t="shared" si="188"/>
        <v>0.78491695151811813</v>
      </c>
      <c r="GG32" s="1">
        <f t="shared" si="189"/>
        <v>-0.10842660057821275</v>
      </c>
      <c r="GH32" s="1">
        <f t="shared" si="190"/>
        <v>9.4507000332015881E-2</v>
      </c>
      <c r="GI32" s="1">
        <f t="shared" si="191"/>
        <v>9.4507000332015881E-2</v>
      </c>
      <c r="GJ32" s="1">
        <f t="shared" si="192"/>
        <v>0.10738229933582773</v>
      </c>
      <c r="GK32" s="1">
        <f t="shared" si="193"/>
        <v>0.44255266928197834</v>
      </c>
      <c r="GL32" s="1">
        <f t="shared" si="194"/>
        <v>0.48339950829518585</v>
      </c>
      <c r="GM32" s="1">
        <f t="shared" si="195"/>
        <v>0.44367186479093851</v>
      </c>
      <c r="GN32" s="1">
        <f t="shared" si="196"/>
        <v>1.9268465595067254E-2</v>
      </c>
      <c r="GO32" s="1">
        <f t="shared" si="197"/>
        <v>426.80304275830679</v>
      </c>
      <c r="GP32" s="1">
        <f t="shared" si="198"/>
        <v>11.711561047614502</v>
      </c>
      <c r="GQ32" s="1">
        <f t="shared" si="199"/>
        <v>1.9902554507130752</v>
      </c>
      <c r="GR32" s="1">
        <f t="shared" si="200"/>
        <v>8.1849255410575216E-6</v>
      </c>
      <c r="GS32" s="1">
        <f t="shared" si="201"/>
        <v>1684.6979307559711</v>
      </c>
      <c r="GT32" s="1">
        <f t="shared" ca="1" si="202"/>
        <v>0.35498640283519273</v>
      </c>
      <c r="GU32" s="2">
        <f t="shared" ca="1" si="203"/>
        <v>16.879104243460997</v>
      </c>
      <c r="GV32" s="4">
        <f t="shared" ca="1" si="204"/>
        <v>16.734357297350169</v>
      </c>
      <c r="GW32" s="4">
        <f t="shared" ca="1" si="205"/>
        <v>18.786069286627288</v>
      </c>
      <c r="GX32" s="4">
        <f t="shared" si="206"/>
        <v>4.1400000000000006</v>
      </c>
      <c r="GY32" s="4">
        <f t="shared" si="207"/>
        <v>5.3077524999999994</v>
      </c>
      <c r="GZ32" s="4">
        <f t="shared" ca="1" si="208"/>
        <v>16.734357297350169</v>
      </c>
      <c r="HA32" s="1">
        <f t="shared" si="209"/>
        <v>426.80304275830679</v>
      </c>
      <c r="HB32" s="1">
        <f t="shared" si="210"/>
        <v>11.711561047614502</v>
      </c>
      <c r="HC32" s="4">
        <f t="shared" si="211"/>
        <v>18.680057761880846</v>
      </c>
      <c r="HD32" s="4"/>
      <c r="HE32" s="7">
        <f t="shared" si="212"/>
        <v>0.20188929966784361</v>
      </c>
      <c r="HF32" s="7">
        <f t="shared" si="213"/>
        <v>0.92595217757716419</v>
      </c>
      <c r="HG32" s="7">
        <f t="shared" si="214"/>
        <v>0</v>
      </c>
      <c r="HH32" s="7">
        <f t="shared" si="215"/>
        <v>1.9268465595067254E-2</v>
      </c>
      <c r="HI32" s="7">
        <f t="shared" si="216"/>
        <v>0</v>
      </c>
      <c r="HJ32" s="7">
        <f t="shared" si="217"/>
        <v>1.9268465595067254E-2</v>
      </c>
      <c r="HK32" s="7">
        <f t="shared" si="218"/>
        <v>0</v>
      </c>
      <c r="HL32" s="7">
        <f t="shared" si="219"/>
        <v>0.21081251503497597</v>
      </c>
      <c r="HM32" s="7">
        <f t="shared" si="220"/>
        <v>0.26545375616130507</v>
      </c>
      <c r="HN32" s="7">
        <f t="shared" si="221"/>
        <v>0.17900503194917167</v>
      </c>
      <c r="HO32" s="7">
        <f t="shared" si="222"/>
        <v>0.14631617040046496</v>
      </c>
      <c r="HP32" s="7">
        <f t="shared" si="223"/>
        <v>3.1901938229168481E-2</v>
      </c>
      <c r="HQ32" s="7">
        <f t="shared" si="224"/>
        <v>0.44092328629612965</v>
      </c>
      <c r="HR32" s="7">
        <f t="shared" si="225"/>
        <v>9.6136383317864615E-2</v>
      </c>
      <c r="HS32" s="7">
        <f t="shared" si="226"/>
        <v>1.9268465595067254E-2</v>
      </c>
      <c r="HT32" s="7"/>
      <c r="HU32" s="16">
        <f t="shared" si="227"/>
        <v>-8.2067216844520643E-7</v>
      </c>
      <c r="HV32" s="16">
        <f t="shared" si="228"/>
        <v>1.1333754560724706E-12</v>
      </c>
      <c r="HW32" s="16">
        <f t="shared" si="229"/>
        <v>2.5004975043431293E-5</v>
      </c>
      <c r="HX32" s="16">
        <f t="shared" si="230"/>
        <v>6.9514024338280786E-9</v>
      </c>
      <c r="HY32" s="7">
        <f t="shared" si="231"/>
        <v>1.9902554507130752</v>
      </c>
      <c r="HZ32" s="7">
        <f t="shared" ca="1" si="232"/>
        <v>444.16131269591307</v>
      </c>
      <c r="IA32" s="7">
        <f t="shared" ca="1" si="233"/>
        <v>16.734357297350169</v>
      </c>
      <c r="IB32" s="7">
        <f t="shared" ca="1" si="234"/>
        <v>444.16059408748737</v>
      </c>
      <c r="IC32" s="7">
        <f t="shared" ca="1" si="235"/>
        <v>18.786069286627288</v>
      </c>
      <c r="ID32" s="7">
        <f t="shared" ca="1" si="236"/>
        <v>16.734357297350169</v>
      </c>
      <c r="IE32" s="7"/>
      <c r="IF32" s="2">
        <f t="shared" si="237"/>
        <v>0.47543130918908355</v>
      </c>
      <c r="IG32" s="17">
        <f t="shared" ca="1" si="238"/>
        <v>1215.9855723051951</v>
      </c>
      <c r="IH32" s="17"/>
      <c r="II32" s="7">
        <f t="shared" si="239"/>
        <v>2.0692645342768881</v>
      </c>
      <c r="IJ32" s="17">
        <f t="shared" si="240"/>
        <v>1684.6979307559711</v>
      </c>
      <c r="IK32" s="16">
        <f t="shared" si="241"/>
        <v>1.3761765945256638E-5</v>
      </c>
      <c r="IM32" s="1">
        <f t="shared" si="242"/>
        <v>1</v>
      </c>
      <c r="IN32" s="166">
        <f t="shared" si="243"/>
        <v>0.58921050990096158</v>
      </c>
      <c r="IO32" s="166">
        <f t="shared" si="244"/>
        <v>0.12846807867777277</v>
      </c>
      <c r="IP32" s="166">
        <f t="shared" si="245"/>
        <v>0.2823214114212656</v>
      </c>
      <c r="IR32" s="167">
        <f t="shared" si="246"/>
        <v>0.311340502495835</v>
      </c>
      <c r="IS32" s="167">
        <f t="shared" si="247"/>
        <v>0.2823214114212656</v>
      </c>
      <c r="IU32" s="169">
        <v>0.1</v>
      </c>
      <c r="IV32" s="169">
        <v>0.9</v>
      </c>
      <c r="IW32" s="169">
        <v>0</v>
      </c>
      <c r="IX32" s="169"/>
      <c r="IY32" s="167">
        <f t="shared" si="248"/>
        <v>1.0392304845413263</v>
      </c>
      <c r="IZ32" s="167">
        <f t="shared" si="249"/>
        <v>0</v>
      </c>
    </row>
    <row r="33" spans="1:260" ht="13.2">
      <c r="A33" s="139" t="s">
        <v>201</v>
      </c>
      <c r="B33" s="139" t="s">
        <v>202</v>
      </c>
      <c r="C33" s="78">
        <f t="shared" si="43"/>
        <v>1.9</v>
      </c>
      <c r="D33" s="133">
        <f t="shared" si="44"/>
        <v>-273.14999999999998</v>
      </c>
      <c r="E33" s="15">
        <f t="shared" si="45"/>
        <v>-1.612782401689361E-2</v>
      </c>
      <c r="F33" s="123">
        <v>53</v>
      </c>
      <c r="G33" s="123">
        <v>1.19</v>
      </c>
      <c r="H33" s="123">
        <v>19.2</v>
      </c>
      <c r="I33" s="123">
        <v>8.6999999999999993</v>
      </c>
      <c r="J33" s="123">
        <v>0.19</v>
      </c>
      <c r="K33" s="132">
        <v>4.9800000000000004</v>
      </c>
      <c r="L33" s="123">
        <v>10</v>
      </c>
      <c r="M33" s="123">
        <v>7</v>
      </c>
      <c r="N33" s="123">
        <v>0.42</v>
      </c>
      <c r="O33" s="123">
        <v>0</v>
      </c>
      <c r="P33" s="123">
        <v>0.14000000000000001</v>
      </c>
      <c r="Q33" s="123">
        <v>6.2</v>
      </c>
      <c r="R33" s="119">
        <f t="shared" si="46"/>
        <v>1.8996411</v>
      </c>
      <c r="T33" s="123">
        <v>50.3</v>
      </c>
      <c r="U33" s="123">
        <v>0.73</v>
      </c>
      <c r="V33" s="123">
        <v>4.12</v>
      </c>
      <c r="W33" s="123">
        <v>5.83</v>
      </c>
      <c r="X33" s="123">
        <v>0</v>
      </c>
      <c r="Y33" s="123">
        <v>15</v>
      </c>
      <c r="Z33" s="123">
        <v>22.7</v>
      </c>
      <c r="AA33" s="123">
        <v>6.5</v>
      </c>
      <c r="AB33" s="123">
        <v>0</v>
      </c>
      <c r="AC33" s="123">
        <v>0.28000000000000003</v>
      </c>
      <c r="AE33" s="112">
        <v>1400</v>
      </c>
      <c r="AF33" s="165">
        <f t="shared" si="48"/>
        <v>1126.8499999999999</v>
      </c>
      <c r="AG33" s="165">
        <v>8</v>
      </c>
      <c r="AH33" s="91">
        <f t="shared" si="50"/>
        <v>0</v>
      </c>
      <c r="AI33" s="91">
        <f t="shared" si="51"/>
        <v>0</v>
      </c>
      <c r="AJ33" s="91"/>
      <c r="AK33" s="91">
        <f t="shared" si="52"/>
        <v>0</v>
      </c>
      <c r="AL33" s="91">
        <f t="shared" si="53"/>
        <v>0</v>
      </c>
      <c r="AM33" s="91"/>
      <c r="AN33" s="91" t="e">
        <f t="shared" si="54"/>
        <v>#NUM!</v>
      </c>
      <c r="AO33" s="91" t="e">
        <f t="shared" si="55"/>
        <v>#NUM!</v>
      </c>
      <c r="AP33" s="91">
        <f t="shared" si="56"/>
        <v>0</v>
      </c>
      <c r="AQ33" s="91"/>
      <c r="AR33" s="91" t="e">
        <f t="shared" ca="1" si="57"/>
        <v>#NUM!</v>
      </c>
      <c r="AS33" s="91" t="e">
        <f t="shared" ca="1" si="58"/>
        <v>#NUM!</v>
      </c>
      <c r="AT33" s="40" t="e">
        <f t="shared" ca="1" si="59"/>
        <v>#NUM!</v>
      </c>
      <c r="AV33" s="40">
        <f t="shared" si="60"/>
        <v>0</v>
      </c>
      <c r="AW33" s="40">
        <f t="shared" si="61"/>
        <v>0</v>
      </c>
      <c r="AX33" s="40">
        <f t="shared" si="62"/>
        <v>0</v>
      </c>
      <c r="AY33" s="40">
        <f t="shared" si="63"/>
        <v>0</v>
      </c>
      <c r="AZ33" s="40">
        <f t="shared" si="64"/>
        <v>0</v>
      </c>
      <c r="BA33" s="40"/>
      <c r="BB33" s="40">
        <f t="shared" si="65"/>
        <v>0</v>
      </c>
      <c r="BC33" s="40">
        <f t="shared" si="66"/>
        <v>0</v>
      </c>
      <c r="BD33" s="40">
        <f t="shared" si="67"/>
        <v>-273.14999999999998</v>
      </c>
      <c r="BE33" s="40" t="e">
        <f t="shared" si="68"/>
        <v>#NUM!</v>
      </c>
      <c r="BF33" s="40" t="e">
        <f t="shared" si="69"/>
        <v>#NUM!</v>
      </c>
      <c r="BG33" s="40" t="e">
        <f t="shared" si="70"/>
        <v>#NUM!</v>
      </c>
      <c r="BH33" s="40">
        <f t="shared" si="71"/>
        <v>1027.1669720485534</v>
      </c>
      <c r="BI33" s="40">
        <f t="shared" si="72"/>
        <v>1027.1669720485534</v>
      </c>
      <c r="BJ33" s="40">
        <f t="shared" si="73"/>
        <v>1118.5619739366116</v>
      </c>
      <c r="BK33" s="70">
        <f t="shared" si="74"/>
        <v>0.76042715033821651</v>
      </c>
      <c r="BL33" s="70">
        <f t="shared" si="75"/>
        <v>0.75548482988763754</v>
      </c>
      <c r="BM33" s="70">
        <f t="shared" si="76"/>
        <v>7.7249968366672167E-2</v>
      </c>
      <c r="BN33" s="180">
        <f t="shared" si="27"/>
        <v>1.3908078085523225E-2</v>
      </c>
      <c r="BO33" s="180">
        <f t="shared" si="28"/>
        <v>3.0671098569858942E-2</v>
      </c>
      <c r="BP33" s="180">
        <f t="shared" si="29"/>
        <v>8.4160505492455392E-2</v>
      </c>
      <c r="BQ33" s="70">
        <f t="shared" si="77"/>
        <v>0</v>
      </c>
      <c r="BR33" s="40">
        <f t="shared" si="78"/>
        <v>0.96147448040214722</v>
      </c>
      <c r="BS33" s="53"/>
      <c r="BT33" s="70">
        <f t="shared" si="79"/>
        <v>0.77161265390453115</v>
      </c>
      <c r="BU33" s="70">
        <f t="shared" si="80"/>
        <v>0.10297149436933684</v>
      </c>
      <c r="BV33" s="70">
        <f t="shared" si="81"/>
        <v>0</v>
      </c>
      <c r="BW33" s="70">
        <f t="shared" si="82"/>
        <v>0</v>
      </c>
      <c r="BX33" s="180">
        <f t="shared" si="83"/>
        <v>9.7348377824408083E-2</v>
      </c>
      <c r="BY33" s="70">
        <f t="shared" si="84"/>
        <v>3.9724896086754113E-3</v>
      </c>
      <c r="BZ33" s="70">
        <f t="shared" si="85"/>
        <v>0.97590501570695154</v>
      </c>
      <c r="CA33" s="70">
        <f t="shared" si="86"/>
        <v>0.22247816091954031</v>
      </c>
      <c r="CB33" s="53"/>
      <c r="CC33" s="40"/>
      <c r="CD33" s="40" t="e">
        <f t="shared" si="87"/>
        <v>#NUM!</v>
      </c>
      <c r="CE33" s="40" t="e">
        <f t="shared" si="88"/>
        <v>#NUM!</v>
      </c>
      <c r="CF33" s="40">
        <f t="shared" si="89"/>
        <v>-56.533575179333432</v>
      </c>
      <c r="CG33" s="40" t="e">
        <f t="shared" si="90"/>
        <v>#NUM!</v>
      </c>
      <c r="CH33" s="54" t="e">
        <f t="shared" si="91"/>
        <v>#DIV/0!</v>
      </c>
      <c r="CJ33" s="40">
        <f t="shared" si="92"/>
        <v>22.153018326323217</v>
      </c>
      <c r="CK33" s="40">
        <f t="shared" si="93"/>
        <v>29.10266490677132</v>
      </c>
      <c r="CL33" s="40" t="e">
        <f t="shared" si="94"/>
        <v>#NUM!</v>
      </c>
      <c r="CM33" s="2"/>
      <c r="CN33" s="1">
        <f t="shared" si="95"/>
        <v>0.88209399127559118</v>
      </c>
      <c r="CO33" s="1">
        <f t="shared" si="96"/>
        <v>1.4897569818274685E-2</v>
      </c>
      <c r="CP33" s="1">
        <f t="shared" si="97"/>
        <v>0.37661458793067937</v>
      </c>
      <c r="CQ33" s="1">
        <f t="shared" si="98"/>
        <v>0.12109166221272046</v>
      </c>
      <c r="CR33" s="1">
        <f t="shared" si="99"/>
        <v>2.6784140969162997E-3</v>
      </c>
      <c r="CS33" s="1">
        <f t="shared" si="100"/>
        <v>0.12355971060231638</v>
      </c>
      <c r="CT33" s="1">
        <f t="shared" si="101"/>
        <v>0.1783249580044724</v>
      </c>
      <c r="CU33" s="1">
        <f t="shared" si="102"/>
        <v>0.22588332480892689</v>
      </c>
      <c r="CV33" s="1">
        <f t="shared" si="103"/>
        <v>8.917576117881864E-3</v>
      </c>
      <c r="CW33" s="1">
        <f t="shared" si="104"/>
        <v>0</v>
      </c>
      <c r="CX33" s="1">
        <f t="shared" si="105"/>
        <v>1.9727062006383114E-3</v>
      </c>
      <c r="CY33" s="1">
        <f t="shared" si="106"/>
        <v>1.9360345010684177</v>
      </c>
      <c r="DA33" s="1">
        <f t="shared" si="107"/>
        <v>0.45561894211533932</v>
      </c>
      <c r="DB33" s="1">
        <f t="shared" si="108"/>
        <v>7.6948886035105935E-3</v>
      </c>
      <c r="DC33" s="1">
        <f t="shared" si="109"/>
        <v>0.19452886181668833</v>
      </c>
      <c r="DD33" s="1">
        <f t="shared" si="110"/>
        <v>6.2546231560385399E-2</v>
      </c>
      <c r="DE33" s="1">
        <f t="shared" si="111"/>
        <v>1.383453701593744E-3</v>
      </c>
      <c r="DF33" s="1">
        <f t="shared" si="112"/>
        <v>6.3821027225562807E-2</v>
      </c>
      <c r="DG33" s="1">
        <f t="shared" si="113"/>
        <v>9.2108357524652684E-2</v>
      </c>
      <c r="DH33" s="1">
        <f t="shared" si="114"/>
        <v>0.11667319186939654</v>
      </c>
      <c r="DI33" s="1">
        <f t="shared" si="115"/>
        <v>4.6061039268466657E-3</v>
      </c>
      <c r="DJ33" s="1">
        <f t="shared" si="116"/>
        <v>0</v>
      </c>
      <c r="DK33" s="1">
        <f t="shared" si="117"/>
        <v>1.0189416560240307E-3</v>
      </c>
      <c r="DL33" s="1">
        <f t="shared" si="118"/>
        <v>1.0000000000000002</v>
      </c>
      <c r="DM33" s="156">
        <f t="shared" si="119"/>
        <v>50.504401091479224</v>
      </c>
      <c r="DN33" s="1">
        <f t="shared" si="120"/>
        <v>0.83715712756909877</v>
      </c>
      <c r="DO33" s="1">
        <f t="shared" si="121"/>
        <v>9.1388453507063195E-3</v>
      </c>
      <c r="DP33" s="1">
        <f t="shared" si="122"/>
        <v>4.0407606830062476E-2</v>
      </c>
      <c r="DQ33" s="1">
        <f t="shared" si="123"/>
        <v>8.114533226438625E-2</v>
      </c>
      <c r="DR33" s="1">
        <f t="shared" si="124"/>
        <v>0</v>
      </c>
      <c r="DS33" s="1">
        <f t="shared" si="125"/>
        <v>0.37216780301902519</v>
      </c>
      <c r="DT33" s="1">
        <f t="shared" si="126"/>
        <v>0.40479765467015233</v>
      </c>
      <c r="DU33" s="1">
        <f t="shared" si="127"/>
        <v>0.10487440080414463</v>
      </c>
      <c r="DV33" s="1">
        <f t="shared" si="128"/>
        <v>0</v>
      </c>
      <c r="DW33" s="1">
        <f t="shared" si="129"/>
        <v>1.8421270778206586E-3</v>
      </c>
      <c r="DX33" s="1">
        <f t="shared" si="130"/>
        <v>1.8515308975853968</v>
      </c>
      <c r="DZ33" s="1">
        <f t="shared" si="131"/>
        <v>1.6743142551381975</v>
      </c>
      <c r="EA33" s="1">
        <f t="shared" si="132"/>
        <v>1.8277690701412639E-2</v>
      </c>
      <c r="EB33" s="1">
        <f t="shared" si="133"/>
        <v>0.12122282049018743</v>
      </c>
      <c r="EC33" s="1">
        <f t="shared" si="134"/>
        <v>8.114533226438625E-2</v>
      </c>
      <c r="ED33" s="1">
        <f t="shared" si="135"/>
        <v>0</v>
      </c>
      <c r="EE33" s="1">
        <f t="shared" si="136"/>
        <v>0.37216780301902519</v>
      </c>
      <c r="EF33" s="1">
        <f t="shared" si="137"/>
        <v>0.40479765467015233</v>
      </c>
      <c r="EG33" s="1">
        <f t="shared" si="138"/>
        <v>0.10487440080414463</v>
      </c>
      <c r="EH33" s="1">
        <f t="shared" si="139"/>
        <v>0</v>
      </c>
      <c r="EI33" s="1">
        <f t="shared" si="140"/>
        <v>5.5263812334619758E-3</v>
      </c>
      <c r="EJ33" s="1">
        <f t="shared" si="141"/>
        <v>2.782326338320968</v>
      </c>
      <c r="EK33" s="1">
        <f t="shared" si="142"/>
        <v>2.1564688215620245</v>
      </c>
      <c r="EM33" s="1">
        <f t="shared" si="143"/>
        <v>1.8053032443511838</v>
      </c>
      <c r="EN33" s="1">
        <f t="shared" si="144"/>
        <v>1.9707635063875243E-2</v>
      </c>
      <c r="EO33" s="1">
        <f t="shared" si="145"/>
        <v>0.19469675564881617</v>
      </c>
      <c r="EP33" s="1">
        <f t="shared" si="146"/>
        <v>0</v>
      </c>
      <c r="EQ33" s="1">
        <f t="shared" si="147"/>
        <v>0.17427548856593286</v>
      </c>
      <c r="ER33" s="1">
        <f t="shared" si="148"/>
        <v>0.17498737904343994</v>
      </c>
      <c r="ES33" s="1">
        <f t="shared" si="149"/>
        <v>0</v>
      </c>
      <c r="ET33" s="1">
        <f t="shared" si="150"/>
        <v>0.80256826359976485</v>
      </c>
      <c r="EU33" s="1">
        <f t="shared" si="151"/>
        <v>0.8729335213376147</v>
      </c>
      <c r="EV33" s="1">
        <f t="shared" si="152"/>
        <v>0.4523167510282744</v>
      </c>
      <c r="EW33" s="1">
        <f t="shared" si="153"/>
        <v>0</v>
      </c>
      <c r="EX33" s="1">
        <f t="shared" si="154"/>
        <v>7.9449792173508227E-3</v>
      </c>
      <c r="EY33" s="1">
        <f t="shared" si="155"/>
        <v>4.3100372622074357</v>
      </c>
      <c r="EZ33" s="1">
        <f t="shared" si="156"/>
        <v>0.59965325733198926</v>
      </c>
      <c r="FA33" s="1">
        <f t="shared" si="157"/>
        <v>0.86320533214688666</v>
      </c>
      <c r="FB33" s="1">
        <f t="shared" si="158"/>
        <v>0</v>
      </c>
      <c r="FC33" s="1">
        <f t="shared" si="159"/>
        <v>0</v>
      </c>
      <c r="FD33" s="1">
        <f t="shared" si="160"/>
        <v>9.7348377824408083E-2</v>
      </c>
      <c r="FE33" s="1">
        <f t="shared" si="161"/>
        <v>3.9724896086754113E-3</v>
      </c>
      <c r="FF33" s="2">
        <f t="shared" si="162"/>
        <v>0.77161265390453115</v>
      </c>
      <c r="FG33" s="1">
        <f t="shared" si="163"/>
        <v>0.10297149436933684</v>
      </c>
      <c r="FH33" s="1">
        <f t="shared" si="164"/>
        <v>0.97590501570695143</v>
      </c>
      <c r="FI33" s="1">
        <f t="shared" si="165"/>
        <v>0.77161265390453115</v>
      </c>
      <c r="FJ33" s="1" t="e">
        <f t="shared" si="166"/>
        <v>#NUM!</v>
      </c>
      <c r="FK33" s="1" t="e">
        <f t="shared" si="167"/>
        <v>#NUM!</v>
      </c>
      <c r="FL33" s="1" t="e">
        <f t="shared" si="168"/>
        <v>#NUM!</v>
      </c>
      <c r="FM33" s="1">
        <f t="shared" si="169"/>
        <v>0.50504401091479234</v>
      </c>
      <c r="FN33" s="67">
        <f t="shared" si="170"/>
        <v>0</v>
      </c>
      <c r="FO33" s="67">
        <f t="shared" si="171"/>
        <v>0</v>
      </c>
      <c r="FP33" s="1">
        <f t="shared" si="172"/>
        <v>0</v>
      </c>
      <c r="FQ33" s="2" t="e">
        <f t="shared" si="173"/>
        <v>#NUM!</v>
      </c>
      <c r="FR33" s="2">
        <f t="shared" si="174"/>
        <v>6.9345597790392421</v>
      </c>
      <c r="FS33" s="1" t="e">
        <f t="shared" si="175"/>
        <v>#NUM!</v>
      </c>
      <c r="FT33" s="1">
        <f t="shared" si="176"/>
        <v>-0.22205857074351257</v>
      </c>
      <c r="FU33" s="2">
        <f t="shared" si="177"/>
        <v>82.099496805082822</v>
      </c>
      <c r="FV33" s="2" t="e">
        <f t="shared" si="178"/>
        <v>#NUM!</v>
      </c>
      <c r="FW33" s="2" t="e">
        <f t="shared" si="179"/>
        <v>#DIV/0!</v>
      </c>
      <c r="FX33" s="2">
        <f t="shared" si="180"/>
        <v>0.22247816091954031</v>
      </c>
      <c r="FY33" s="1">
        <f t="shared" si="181"/>
        <v>1.325250272365889</v>
      </c>
      <c r="FZ33" s="1">
        <f t="shared" si="182"/>
        <v>0.62730587161321538</v>
      </c>
      <c r="GA33" s="1">
        <f t="shared" si="183"/>
        <v>0.16543053938885172</v>
      </c>
      <c r="GB33" s="1">
        <f t="shared" si="184"/>
        <v>0.9802923649361247</v>
      </c>
      <c r="GC33" s="1">
        <f t="shared" si="185"/>
        <v>-0.60238997962490914</v>
      </c>
      <c r="GD33" s="1">
        <f t="shared" si="186"/>
        <v>-0.42466587828854929</v>
      </c>
      <c r="GE33" s="1">
        <f t="shared" si="187"/>
        <v>0.83456946061114823</v>
      </c>
      <c r="GF33" s="1">
        <f t="shared" si="188"/>
        <v>-0.5633405219168951</v>
      </c>
      <c r="GG33" s="1">
        <f t="shared" si="189"/>
        <v>-0.13812269257785012</v>
      </c>
      <c r="GH33" s="1">
        <f t="shared" si="190"/>
        <v>0.60324162906770684</v>
      </c>
      <c r="GI33" s="1">
        <f t="shared" si="191"/>
        <v>0.60324162906770684</v>
      </c>
      <c r="GJ33" s="1">
        <f t="shared" si="192"/>
        <v>-1.027907507356256</v>
      </c>
      <c r="GK33" s="1">
        <f t="shared" si="193"/>
        <v>-0.92849190143359583</v>
      </c>
      <c r="GL33" s="1">
        <f t="shared" si="194"/>
        <v>1.7310601650333606</v>
      </c>
      <c r="GM33" s="1">
        <f t="shared" si="195"/>
        <v>0.5476832489717256</v>
      </c>
      <c r="GN33" s="1">
        <f t="shared" si="196"/>
        <v>0.4523167510282744</v>
      </c>
      <c r="GO33" s="1">
        <f t="shared" si="197"/>
        <v>398.13178726081736</v>
      </c>
      <c r="GP33" s="1">
        <f t="shared" si="198"/>
        <v>12.397172551827207</v>
      </c>
      <c r="GQ33" s="1">
        <f t="shared" si="199"/>
        <v>3.3079305652577307</v>
      </c>
      <c r="GR33" s="1">
        <f t="shared" si="200"/>
        <v>1.3603864449622417E-5</v>
      </c>
      <c r="GS33" s="1">
        <f t="shared" si="201"/>
        <v>2649.7963958472019</v>
      </c>
      <c r="GT33" s="1">
        <f t="shared" si="202"/>
        <v>-0.14993629432608185</v>
      </c>
      <c r="GU33" s="2">
        <f t="shared" si="203"/>
        <v>-42.835651184587583</v>
      </c>
      <c r="GV33" s="4">
        <f t="shared" ca="1" si="204"/>
        <v>62.417270084151511</v>
      </c>
      <c r="GW33" s="4">
        <f t="shared" ca="1" si="205"/>
        <v>75.077686218671616</v>
      </c>
      <c r="GX33" s="4">
        <f t="shared" si="206"/>
        <v>7.42</v>
      </c>
      <c r="GY33" s="4">
        <f t="shared" si="207"/>
        <v>5.8055199999999942</v>
      </c>
      <c r="GZ33" s="4">
        <f t="shared" ca="1" si="208"/>
        <v>75.077686218671616</v>
      </c>
      <c r="HA33" s="1">
        <f t="shared" si="209"/>
        <v>398.13178726081736</v>
      </c>
      <c r="HB33" s="1">
        <f t="shared" si="210"/>
        <v>12.397172551827207</v>
      </c>
      <c r="HC33" s="4">
        <f t="shared" si="211"/>
        <v>45.598465581386392</v>
      </c>
      <c r="HD33" s="4"/>
      <c r="HE33" s="7">
        <f t="shared" si="212"/>
        <v>-0.42466587828854918</v>
      </c>
      <c r="HF33" s="7">
        <f t="shared" si="213"/>
        <v>0.80256826359976474</v>
      </c>
      <c r="HG33" s="7">
        <f t="shared" si="214"/>
        <v>0.4523167510282744</v>
      </c>
      <c r="HH33" s="7">
        <f t="shared" si="215"/>
        <v>0</v>
      </c>
      <c r="HI33" s="7">
        <f t="shared" si="216"/>
        <v>0.14733650630371486</v>
      </c>
      <c r="HJ33" s="7">
        <f t="shared" si="217"/>
        <v>0</v>
      </c>
      <c r="HK33" s="7">
        <f t="shared" si="218"/>
        <v>0</v>
      </c>
      <c r="HL33" s="7">
        <f t="shared" si="219"/>
        <v>0</v>
      </c>
      <c r="HM33" s="7">
        <f t="shared" si="220"/>
        <v>4.7360249345101309E-2</v>
      </c>
      <c r="HN33" s="7">
        <f t="shared" si="221"/>
        <v>-1.1237449002573039</v>
      </c>
      <c r="HO33" s="7">
        <f t="shared" si="222"/>
        <v>1.4404018722985936</v>
      </c>
      <c r="HP33" s="7">
        <f t="shared" si="223"/>
        <v>-0.76216510660979531</v>
      </c>
      <c r="HQ33" s="7">
        <f t="shared" si="224"/>
        <v>-0.69074860724435549</v>
      </c>
      <c r="HR33" s="7">
        <f t="shared" si="225"/>
        <v>0.36549833487846672</v>
      </c>
      <c r="HS33" s="7">
        <f t="shared" si="226"/>
        <v>0.4523167510282744</v>
      </c>
      <c r="HT33" s="7"/>
      <c r="HU33" s="16">
        <f t="shared" si="227"/>
        <v>-8.5819190959787649E-7</v>
      </c>
      <c r="HV33" s="16">
        <f t="shared" si="228"/>
        <v>2.49573366523852E-12</v>
      </c>
      <c r="HW33" s="16">
        <f t="shared" si="229"/>
        <v>2.420240127461337E-5</v>
      </c>
      <c r="HX33" s="16">
        <f t="shared" si="230"/>
        <v>5.3784037753201771E-9</v>
      </c>
      <c r="HY33" s="7">
        <f t="shared" si="231"/>
        <v>3.3079305652577307</v>
      </c>
      <c r="HZ33" s="7">
        <f t="shared" ca="1" si="232"/>
        <v>395.42791638012631</v>
      </c>
      <c r="IA33" s="7">
        <f t="shared" ca="1" si="233"/>
        <v>62.417270084151511</v>
      </c>
      <c r="IB33" s="7">
        <f t="shared" ca="1" si="234"/>
        <v>395.42359238133406</v>
      </c>
      <c r="IC33" s="7">
        <f t="shared" ca="1" si="235"/>
        <v>75.077686218671616</v>
      </c>
      <c r="ID33" s="7">
        <f t="shared" ca="1" si="236"/>
        <v>75.077686218671616</v>
      </c>
      <c r="IE33" s="7"/>
      <c r="IF33" s="2">
        <f t="shared" si="237"/>
        <v>-0.22205857074351257</v>
      </c>
      <c r="IG33" s="17">
        <f t="shared" si="238"/>
        <v>-298.14999999999998</v>
      </c>
      <c r="IH33" s="17"/>
      <c r="II33" s="7">
        <f t="shared" si="239"/>
        <v>2.1076656346278417</v>
      </c>
      <c r="IJ33" s="17">
        <f t="shared" si="240"/>
        <v>2649.7963958472019</v>
      </c>
      <c r="IK33" s="16">
        <f t="shared" si="241"/>
        <v>6.5365140671701091E-6</v>
      </c>
      <c r="IM33" s="1">
        <f t="shared" si="242"/>
        <v>0.99999999999999989</v>
      </c>
      <c r="IN33" s="166">
        <f t="shared" si="243"/>
        <v>0.43370600553707617</v>
      </c>
      <c r="IO33" s="166">
        <f t="shared" si="244"/>
        <v>9.4562768834053915E-2</v>
      </c>
      <c r="IP33" s="166">
        <f t="shared" si="245"/>
        <v>0.47173122562886982</v>
      </c>
      <c r="IR33" s="167">
        <f t="shared" si="246"/>
        <v>0.38154583018529481</v>
      </c>
      <c r="IS33" s="167">
        <f t="shared" si="247"/>
        <v>0.47173122562886982</v>
      </c>
      <c r="IU33" s="169">
        <v>0.1</v>
      </c>
      <c r="IV33" s="169">
        <v>0.9</v>
      </c>
      <c r="IW33" s="169">
        <v>0</v>
      </c>
      <c r="IX33" s="169"/>
      <c r="IY33" s="167">
        <f t="shared" si="248"/>
        <v>1.0392304845413263</v>
      </c>
      <c r="IZ33" s="167">
        <f t="shared" si="249"/>
        <v>0</v>
      </c>
    </row>
    <row r="34" spans="1:260" ht="13.2">
      <c r="A34" s="139" t="s">
        <v>201</v>
      </c>
      <c r="B34" s="139" t="s">
        <v>202</v>
      </c>
      <c r="C34" s="78">
        <f t="shared" si="43"/>
        <v>1.9</v>
      </c>
      <c r="D34" s="133">
        <f t="shared" ca="1" si="44"/>
        <v>1115.0612913343389</v>
      </c>
      <c r="E34" s="15">
        <f t="shared" ca="1" si="45"/>
        <v>-9.0043175231659944E-3</v>
      </c>
      <c r="F34" s="123">
        <v>51.5</v>
      </c>
      <c r="G34" s="123">
        <v>1.19</v>
      </c>
      <c r="H34" s="123">
        <v>19.2</v>
      </c>
      <c r="I34" s="123">
        <v>8.6999999999999993</v>
      </c>
      <c r="J34" s="123">
        <v>0.19</v>
      </c>
      <c r="K34" s="132">
        <v>4.9800000000000004</v>
      </c>
      <c r="L34" s="123">
        <v>10</v>
      </c>
      <c r="M34" s="123">
        <v>3.72</v>
      </c>
      <c r="N34" s="123">
        <v>0.5</v>
      </c>
      <c r="O34" s="123">
        <v>0</v>
      </c>
      <c r="P34" s="123">
        <v>0.14000000000000001</v>
      </c>
      <c r="Q34" s="123">
        <v>6.2</v>
      </c>
      <c r="R34" s="119">
        <f t="shared" ca="1" si="46"/>
        <v>4.874678217357439</v>
      </c>
      <c r="T34" s="123">
        <v>50.3</v>
      </c>
      <c r="U34" s="123">
        <v>0.73</v>
      </c>
      <c r="V34" s="123">
        <v>4.12</v>
      </c>
      <c r="W34" s="123">
        <v>5.83</v>
      </c>
      <c r="X34" s="123">
        <v>0</v>
      </c>
      <c r="Y34" s="123">
        <v>15</v>
      </c>
      <c r="Z34" s="123">
        <v>22.7</v>
      </c>
      <c r="AA34" s="123">
        <v>0.24</v>
      </c>
      <c r="AB34" s="123">
        <v>0</v>
      </c>
      <c r="AC34" s="123">
        <v>0.28000000000000003</v>
      </c>
      <c r="AE34" s="112">
        <f t="shared" ca="1" si="47"/>
        <v>1289.7900396803018</v>
      </c>
      <c r="AF34" s="165">
        <f t="shared" ca="1" si="48"/>
        <v>1016.6400396803018</v>
      </c>
      <c r="AG34" s="165">
        <f t="shared" ca="1" si="49"/>
        <v>1.6404455531088109</v>
      </c>
      <c r="AH34" s="91">
        <f t="shared" ca="1" si="50"/>
        <v>1410.6918358820237</v>
      </c>
      <c r="AI34" s="91">
        <f t="shared" ca="1" si="51"/>
        <v>1.7728478950036228</v>
      </c>
      <c r="AJ34" s="91"/>
      <c r="AK34" s="91">
        <f t="shared" ca="1" si="52"/>
        <v>1388.211291334339</v>
      </c>
      <c r="AL34" s="91">
        <f t="shared" ca="1" si="53"/>
        <v>0.49969900489887653</v>
      </c>
      <c r="AM34" s="91"/>
      <c r="AN34" s="91">
        <f t="shared" ca="1" si="54"/>
        <v>1267.5330975585766</v>
      </c>
      <c r="AO34" s="91">
        <f t="shared" ca="1" si="55"/>
        <v>994.38309755857665</v>
      </c>
      <c r="AP34" s="91">
        <f t="shared" ca="1" si="56"/>
        <v>-3.401793190436309</v>
      </c>
      <c r="AQ34" s="91"/>
      <c r="AR34" s="91">
        <f t="shared" ca="1" si="57"/>
        <v>1288.7124438203498</v>
      </c>
      <c r="AS34" s="91">
        <f t="shared" ca="1" si="58"/>
        <v>1015.5624438203498</v>
      </c>
      <c r="AT34" s="40">
        <f t="shared" ca="1" si="59"/>
        <v>-2.6362407930596659</v>
      </c>
      <c r="AV34" s="40">
        <f t="shared" si="60"/>
        <v>1403.4504894611982</v>
      </c>
      <c r="AW34" s="40">
        <f t="shared" si="61"/>
        <v>1130.3004894611981</v>
      </c>
      <c r="AX34" s="40">
        <f t="shared" ca="1" si="62"/>
        <v>1410.6918358820237</v>
      </c>
      <c r="AY34" s="40">
        <f t="shared" ca="1" si="63"/>
        <v>1137.5418358820239</v>
      </c>
      <c r="AZ34" s="40">
        <f t="shared" ca="1" si="64"/>
        <v>1.7728478950036228</v>
      </c>
      <c r="BA34" s="40"/>
      <c r="BB34" s="40">
        <f t="shared" ca="1" si="65"/>
        <v>1388.211291334339</v>
      </c>
      <c r="BC34" s="40">
        <f t="shared" ca="1" si="66"/>
        <v>0.49969900489887653</v>
      </c>
      <c r="BD34" s="40">
        <f t="shared" ca="1" si="67"/>
        <v>1115.0612913343389</v>
      </c>
      <c r="BE34" s="40">
        <f t="shared" ca="1" si="68"/>
        <v>5.6193995456835344</v>
      </c>
      <c r="BF34" s="40">
        <f t="shared" ca="1" si="69"/>
        <v>7.2447886917660718</v>
      </c>
      <c r="BG34" s="40">
        <f t="shared" ca="1" si="70"/>
        <v>1016.9398851363161</v>
      </c>
      <c r="BH34" s="40">
        <f t="shared" ca="1" si="71"/>
        <v>1050.2967630550716</v>
      </c>
      <c r="BI34" s="40">
        <f t="shared" ca="1" si="72"/>
        <v>1050.2967630550716</v>
      </c>
      <c r="BJ34" s="40">
        <f t="shared" ca="1" si="73"/>
        <v>1151.2346504192383</v>
      </c>
      <c r="BK34" s="70">
        <f t="shared" ca="1" si="74"/>
        <v>1.1480133146018787</v>
      </c>
      <c r="BL34" s="70">
        <f t="shared" ca="1" si="75"/>
        <v>0.81093428559475234</v>
      </c>
      <c r="BM34" s="70">
        <f t="shared" ca="1" si="76"/>
        <v>9.4090226978268104E-2</v>
      </c>
      <c r="BN34" s="180">
        <f t="shared" ca="1" si="27"/>
        <v>1.1158402244148064E-2</v>
      </c>
      <c r="BO34" s="180">
        <f t="shared" ca="1" si="28"/>
        <v>1.7402234008871954E-2</v>
      </c>
      <c r="BP34" s="180">
        <f t="shared" ca="1" si="29"/>
        <v>6.1293743961836601E-2</v>
      </c>
      <c r="BQ34" s="70">
        <f t="shared" si="77"/>
        <v>0</v>
      </c>
      <c r="BR34" s="40">
        <f t="shared" ca="1" si="78"/>
        <v>0.99487889278787711</v>
      </c>
      <c r="BS34" s="53"/>
      <c r="BT34" s="70">
        <f t="shared" si="79"/>
        <v>0.81993860311791833</v>
      </c>
      <c r="BU34" s="70">
        <f t="shared" si="80"/>
        <v>9.7220166294938348E-2</v>
      </c>
      <c r="BV34" s="70">
        <f t="shared" si="81"/>
        <v>3.6816947960874952E-2</v>
      </c>
      <c r="BW34" s="70">
        <f t="shared" si="82"/>
        <v>1.7330029101953831E-2</v>
      </c>
      <c r="BX34" s="180">
        <f t="shared" si="83"/>
        <v>4.4938151136855245E-2</v>
      </c>
      <c r="BY34" s="70">
        <f t="shared" si="84"/>
        <v>4.1221283020399834E-3</v>
      </c>
      <c r="BZ34" s="70">
        <f t="shared" si="85"/>
        <v>1.0203660259145808</v>
      </c>
      <c r="CA34" s="70">
        <f t="shared" si="86"/>
        <v>0.22247816091954029</v>
      </c>
      <c r="CB34" s="53"/>
      <c r="CC34" s="40"/>
      <c r="CD34" s="40">
        <f t="shared" ca="1" si="87"/>
        <v>1.5621697404121733</v>
      </c>
      <c r="CE34" s="40">
        <f t="shared" ca="1" si="88"/>
        <v>3.7191182397206681</v>
      </c>
      <c r="CF34" s="40">
        <f t="shared" ca="1" si="89"/>
        <v>7.6003182304271641</v>
      </c>
      <c r="CG34" s="40">
        <f t="shared" ca="1" si="90"/>
        <v>1141.5545201673781</v>
      </c>
      <c r="CH34" s="54">
        <f t="shared" ca="1" si="91"/>
        <v>0.26565653207690837</v>
      </c>
      <c r="CJ34" s="40">
        <f t="shared" si="92"/>
        <v>0.19493110653448706</v>
      </c>
      <c r="CK34" s="40">
        <f t="shared" si="93"/>
        <v>-7.9605295924928446E-2</v>
      </c>
      <c r="CL34" s="40">
        <f t="shared" ca="1" si="94"/>
        <v>817.99243520250536</v>
      </c>
      <c r="CM34" s="2"/>
      <c r="CN34" s="1">
        <f t="shared" si="95"/>
        <v>0.85712906699420643</v>
      </c>
      <c r="CO34" s="1">
        <f t="shared" si="96"/>
        <v>1.4897569818274685E-2</v>
      </c>
      <c r="CP34" s="1">
        <f t="shared" si="97"/>
        <v>0.37661458793067937</v>
      </c>
      <c r="CQ34" s="1">
        <f t="shared" si="98"/>
        <v>0.12109166221272046</v>
      </c>
      <c r="CR34" s="1">
        <f t="shared" si="99"/>
        <v>2.6784140969162997E-3</v>
      </c>
      <c r="CS34" s="1">
        <f t="shared" si="100"/>
        <v>0.12355971060231638</v>
      </c>
      <c r="CT34" s="1">
        <f t="shared" si="101"/>
        <v>0.1783249580044724</v>
      </c>
      <c r="CU34" s="1">
        <f t="shared" si="102"/>
        <v>0.12004085261274401</v>
      </c>
      <c r="CV34" s="1">
        <f t="shared" si="103"/>
        <v>1.0616162045097457E-2</v>
      </c>
      <c r="CW34" s="1">
        <f t="shared" si="104"/>
        <v>0</v>
      </c>
      <c r="CX34" s="1">
        <f t="shared" si="105"/>
        <v>1.9727062006383114E-3</v>
      </c>
      <c r="CY34" s="1">
        <f t="shared" si="106"/>
        <v>1.806925690518066</v>
      </c>
      <c r="DA34" s="1">
        <f t="shared" si="107"/>
        <v>0.47435767363983733</v>
      </c>
      <c r="DB34" s="1">
        <f t="shared" si="108"/>
        <v>8.2447053005280935E-3</v>
      </c>
      <c r="DC34" s="1">
        <f t="shared" si="109"/>
        <v>0.20842837638923586</v>
      </c>
      <c r="DD34" s="1">
        <f t="shared" si="110"/>
        <v>6.7015297224537279E-2</v>
      </c>
      <c r="DE34" s="1">
        <f t="shared" si="111"/>
        <v>1.4823045081330203E-3</v>
      </c>
      <c r="DF34" s="1">
        <f t="shared" si="112"/>
        <v>6.8381179840821468E-2</v>
      </c>
      <c r="DG34" s="1">
        <f t="shared" si="113"/>
        <v>9.8689702039348737E-2</v>
      </c>
      <c r="DH34" s="1">
        <f t="shared" si="114"/>
        <v>6.643375167150728E-2</v>
      </c>
      <c r="DI34" s="1">
        <f t="shared" si="115"/>
        <v>5.875262110006131E-3</v>
      </c>
      <c r="DJ34" s="1">
        <f t="shared" si="116"/>
        <v>0</v>
      </c>
      <c r="DK34" s="1">
        <f t="shared" si="117"/>
        <v>1.0917472760447135E-3</v>
      </c>
      <c r="DL34" s="1">
        <f t="shared" si="118"/>
        <v>0.99999999999999978</v>
      </c>
      <c r="DM34" s="156">
        <f t="shared" si="119"/>
        <v>50.504401091479238</v>
      </c>
      <c r="DN34" s="1">
        <f t="shared" si="120"/>
        <v>0.83715712756909877</v>
      </c>
      <c r="DO34" s="1">
        <f t="shared" si="121"/>
        <v>9.1388453507063195E-3</v>
      </c>
      <c r="DP34" s="1">
        <f t="shared" si="122"/>
        <v>4.0407606830062476E-2</v>
      </c>
      <c r="DQ34" s="1">
        <f t="shared" si="123"/>
        <v>8.114533226438625E-2</v>
      </c>
      <c r="DR34" s="1">
        <f t="shared" si="124"/>
        <v>0</v>
      </c>
      <c r="DS34" s="1">
        <f t="shared" si="125"/>
        <v>0.37216780301902519</v>
      </c>
      <c r="DT34" s="1">
        <f t="shared" si="126"/>
        <v>0.40479765467015233</v>
      </c>
      <c r="DU34" s="1">
        <f t="shared" si="127"/>
        <v>3.8722855681530325E-3</v>
      </c>
      <c r="DV34" s="1">
        <f t="shared" si="128"/>
        <v>0</v>
      </c>
      <c r="DW34" s="1">
        <f t="shared" si="129"/>
        <v>1.8421270778206586E-3</v>
      </c>
      <c r="DX34" s="1">
        <f t="shared" si="130"/>
        <v>1.7505287823494051</v>
      </c>
      <c r="DZ34" s="1">
        <f t="shared" si="131"/>
        <v>1.6743142551381975</v>
      </c>
      <c r="EA34" s="1">
        <f t="shared" si="132"/>
        <v>1.8277690701412639E-2</v>
      </c>
      <c r="EB34" s="1">
        <f t="shared" si="133"/>
        <v>0.12122282049018743</v>
      </c>
      <c r="EC34" s="1">
        <f t="shared" si="134"/>
        <v>8.114533226438625E-2</v>
      </c>
      <c r="ED34" s="1">
        <f t="shared" si="135"/>
        <v>0</v>
      </c>
      <c r="EE34" s="1">
        <f t="shared" si="136"/>
        <v>0.37216780301902519</v>
      </c>
      <c r="EF34" s="1">
        <f t="shared" si="137"/>
        <v>0.40479765467015233</v>
      </c>
      <c r="EG34" s="1">
        <f t="shared" si="138"/>
        <v>3.8722855681530325E-3</v>
      </c>
      <c r="EH34" s="1">
        <f t="shared" si="139"/>
        <v>0</v>
      </c>
      <c r="EI34" s="1">
        <f t="shared" si="140"/>
        <v>5.5263812334619758E-3</v>
      </c>
      <c r="EJ34" s="1">
        <f t="shared" si="141"/>
        <v>2.6813242230849763</v>
      </c>
      <c r="EK34" s="1">
        <f t="shared" si="142"/>
        <v>2.2377002931397634</v>
      </c>
      <c r="EM34" s="1">
        <f t="shared" si="143"/>
        <v>1.8733067497654146</v>
      </c>
      <c r="EN34" s="1">
        <f t="shared" si="144"/>
        <v>2.0449996920234494E-2</v>
      </c>
      <c r="EO34" s="1">
        <f t="shared" si="145"/>
        <v>0.12669325023458544</v>
      </c>
      <c r="EP34" s="1">
        <f t="shared" si="146"/>
        <v>5.4146977062828783E-2</v>
      </c>
      <c r="EQ34" s="1">
        <f t="shared" si="147"/>
        <v>0.18084022729741422</v>
      </c>
      <c r="ER34" s="1">
        <f t="shared" si="148"/>
        <v>0.18157893379494061</v>
      </c>
      <c r="ES34" s="1">
        <f t="shared" si="149"/>
        <v>0</v>
      </c>
      <c r="ET34" s="1">
        <f t="shared" si="150"/>
        <v>0.83280000191285442</v>
      </c>
      <c r="EU34" s="1">
        <f t="shared" si="151"/>
        <v>0.90581583051768855</v>
      </c>
      <c r="EV34" s="1">
        <f t="shared" si="152"/>
        <v>1.7330029101953831E-2</v>
      </c>
      <c r="EW34" s="1">
        <f t="shared" si="153"/>
        <v>0</v>
      </c>
      <c r="EX34" s="1">
        <f t="shared" si="154"/>
        <v>8.2442566040799668E-3</v>
      </c>
      <c r="EY34" s="1">
        <f t="shared" si="155"/>
        <v>4.0203660259145799</v>
      </c>
      <c r="EZ34" s="1">
        <f t="shared" si="156"/>
        <v>4.0732051829161536E-2</v>
      </c>
      <c r="FA34" s="1">
        <f t="shared" si="157"/>
        <v>6.0788572333875024E-2</v>
      </c>
      <c r="FB34" s="1">
        <f t="shared" si="158"/>
        <v>1.7330029101953831E-2</v>
      </c>
      <c r="FC34" s="1">
        <f t="shared" si="159"/>
        <v>3.6816947960874952E-2</v>
      </c>
      <c r="FD34" s="1">
        <f t="shared" si="160"/>
        <v>4.4938151136855245E-2</v>
      </c>
      <c r="FE34" s="1">
        <f t="shared" si="161"/>
        <v>4.1221283020399834E-3</v>
      </c>
      <c r="FF34" s="2">
        <f t="shared" si="162"/>
        <v>0.81993860311791833</v>
      </c>
      <c r="FG34" s="1">
        <f t="shared" si="163"/>
        <v>9.7220166294938348E-2</v>
      </c>
      <c r="FH34" s="1">
        <f t="shared" si="164"/>
        <v>1.0203660259145808</v>
      </c>
      <c r="FI34" s="1">
        <f t="shared" si="165"/>
        <v>0.81993860311791833</v>
      </c>
      <c r="FJ34" s="1">
        <f t="shared" si="166"/>
        <v>1.7159826748521114</v>
      </c>
      <c r="FK34" s="1">
        <f t="shared" si="167"/>
        <v>-3.8924014331081294</v>
      </c>
      <c r="FL34" s="1">
        <f t="shared" si="168"/>
        <v>-3.8924014331081289</v>
      </c>
      <c r="FM34" s="1">
        <f t="shared" si="169"/>
        <v>0.50504401091479234</v>
      </c>
      <c r="FN34" s="67">
        <f t="shared" ca="1" si="170"/>
        <v>1410.6918358820237</v>
      </c>
      <c r="FO34" s="67">
        <f t="shared" ca="1" si="171"/>
        <v>1.7728478950036228</v>
      </c>
      <c r="FP34" s="1">
        <f t="shared" ca="1" si="172"/>
        <v>0.14106918358820236</v>
      </c>
      <c r="FQ34" s="2">
        <f t="shared" ca="1" si="173"/>
        <v>1.3471770717949578</v>
      </c>
      <c r="FR34" s="2">
        <f t="shared" ca="1" si="174"/>
        <v>5.8872008542393752</v>
      </c>
      <c r="FS34" s="1">
        <f t="shared" ca="1" si="175"/>
        <v>3.5898032667224609</v>
      </c>
      <c r="FT34" s="1">
        <f t="shared" si="176"/>
        <v>6.8922235400902546E-2</v>
      </c>
      <c r="FU34" s="2">
        <f t="shared" si="177"/>
        <v>82.099496805082822</v>
      </c>
      <c r="FV34" s="2">
        <f t="shared" ca="1" si="178"/>
        <v>8.2912062143737959</v>
      </c>
      <c r="FW34" s="2">
        <f t="shared" ca="1" si="179"/>
        <v>0.26046569331976299</v>
      </c>
      <c r="FX34" s="2">
        <f t="shared" si="180"/>
        <v>0.22247816091954029</v>
      </c>
      <c r="FY34" s="1">
        <f t="shared" si="181"/>
        <v>0.92314585961964235</v>
      </c>
      <c r="FZ34" s="1">
        <f t="shared" si="182"/>
        <v>0.12357328241630479</v>
      </c>
      <c r="GA34" s="1">
        <f t="shared" si="183"/>
        <v>0.13064123128324104</v>
      </c>
      <c r="GB34" s="1">
        <f t="shared" si="184"/>
        <v>0.92540302601693669</v>
      </c>
      <c r="GC34" s="1">
        <f t="shared" si="185"/>
        <v>4.8243857861696826E-2</v>
      </c>
      <c r="GD34" s="1">
        <f t="shared" si="186"/>
        <v>0.14084688196577907</v>
      </c>
      <c r="GE34" s="1">
        <f t="shared" si="187"/>
        <v>0.86935876871675899</v>
      </c>
      <c r="GF34" s="1">
        <f t="shared" si="188"/>
        <v>0.31645872048021251</v>
      </c>
      <c r="GG34" s="1">
        <f t="shared" si="189"/>
        <v>-1.0824666038733648E-2</v>
      </c>
      <c r="GH34" s="1">
        <f t="shared" si="190"/>
        <v>2.3794176797551657E-2</v>
      </c>
      <c r="GI34" s="1">
        <f t="shared" si="191"/>
        <v>2.3794176797551657E-2</v>
      </c>
      <c r="GJ34" s="1">
        <f t="shared" si="192"/>
        <v>0.11705270516822741</v>
      </c>
      <c r="GK34" s="1">
        <f t="shared" si="193"/>
        <v>5.3059963582805993E-2</v>
      </c>
      <c r="GL34" s="1">
        <f t="shared" si="194"/>
        <v>0.77974003833004846</v>
      </c>
      <c r="GM34" s="1">
        <f t="shared" si="195"/>
        <v>0.90581583051768855</v>
      </c>
      <c r="GN34" s="1">
        <f t="shared" si="196"/>
        <v>1.7330029101953831E-2</v>
      </c>
      <c r="GO34" s="1">
        <f t="shared" si="197"/>
        <v>439.91002708917955</v>
      </c>
      <c r="GP34" s="1">
        <f t="shared" si="198"/>
        <v>11.788859467150782</v>
      </c>
      <c r="GQ34" s="1">
        <f t="shared" si="199"/>
        <v>2.1847553311657006</v>
      </c>
      <c r="GR34" s="1">
        <f t="shared" si="200"/>
        <v>8.9848062994189425E-6</v>
      </c>
      <c r="GS34" s="1">
        <f t="shared" si="201"/>
        <v>1837.7772740133462</v>
      </c>
      <c r="GT34" s="1">
        <f t="shared" ca="1" si="202"/>
        <v>0.35154443329825569</v>
      </c>
      <c r="GU34" s="2">
        <f t="shared" ca="1" si="203"/>
        <v>20.574943230427152</v>
      </c>
      <c r="GV34" s="4">
        <f t="shared" ca="1" si="204"/>
        <v>3.2194054130835319</v>
      </c>
      <c r="GW34" s="4">
        <f t="shared" ca="1" si="205"/>
        <v>2.7414409128456914</v>
      </c>
      <c r="GX34" s="4">
        <f t="shared" si="206"/>
        <v>4.2200000000000006</v>
      </c>
      <c r="GY34" s="4">
        <f t="shared" si="207"/>
        <v>5.3077524999999994</v>
      </c>
      <c r="GZ34" s="4">
        <f t="shared" ca="1" si="208"/>
        <v>3.2194054130835319</v>
      </c>
      <c r="HA34" s="1">
        <f t="shared" si="209"/>
        <v>439.91002708917955</v>
      </c>
      <c r="HB34" s="1">
        <f t="shared" si="210"/>
        <v>11.788859467150782</v>
      </c>
      <c r="HC34" s="4">
        <f t="shared" si="211"/>
        <v>9.7795680705360155E-2</v>
      </c>
      <c r="HD34" s="4"/>
      <c r="HE34" s="7">
        <f t="shared" si="212"/>
        <v>0.14084688196577907</v>
      </c>
      <c r="HF34" s="7">
        <f t="shared" si="213"/>
        <v>0.83280000191285442</v>
      </c>
      <c r="HG34" s="7">
        <f t="shared" si="214"/>
        <v>1.7330029101953831E-2</v>
      </c>
      <c r="HH34" s="7">
        <f t="shared" si="215"/>
        <v>0</v>
      </c>
      <c r="HI34" s="7">
        <f t="shared" si="216"/>
        <v>2.3402022727207705E-2</v>
      </c>
      <c r="HJ34" s="7">
        <f t="shared" si="217"/>
        <v>0</v>
      </c>
      <c r="HK34" s="7">
        <f t="shared" si="218"/>
        <v>0</v>
      </c>
      <c r="HL34" s="7">
        <f t="shared" si="219"/>
        <v>5.4146977062828783E-2</v>
      </c>
      <c r="HM34" s="7">
        <f t="shared" si="220"/>
        <v>0.10329122750737774</v>
      </c>
      <c r="HN34" s="7">
        <f t="shared" si="221"/>
        <v>0.14465910002679763</v>
      </c>
      <c r="HO34" s="7">
        <f t="shared" si="222"/>
        <v>0.66641540900879304</v>
      </c>
      <c r="HP34" s="7">
        <f t="shared" si="223"/>
        <v>0.11270717127431008</v>
      </c>
      <c r="HQ34" s="7">
        <f t="shared" si="224"/>
        <v>6.5736489599601933E-2</v>
      </c>
      <c r="HR34" s="7">
        <f t="shared" si="225"/>
        <v>1.1117650780755703E-2</v>
      </c>
      <c r="HS34" s="7">
        <f t="shared" si="226"/>
        <v>1.7330029101953831E-2</v>
      </c>
      <c r="HT34" s="7"/>
      <c r="HU34" s="16">
        <f t="shared" si="227"/>
        <v>-8.770683973521862E-7</v>
      </c>
      <c r="HV34" s="16">
        <f t="shared" si="228"/>
        <v>1.6489344763633537E-12</v>
      </c>
      <c r="HW34" s="16">
        <f t="shared" si="229"/>
        <v>2.7212985798354358E-5</v>
      </c>
      <c r="HX34" s="16">
        <f t="shared" si="230"/>
        <v>7.7687057609839341E-9</v>
      </c>
      <c r="HY34" s="7">
        <f t="shared" si="231"/>
        <v>2.1847553311657006</v>
      </c>
      <c r="HZ34" s="7">
        <f t="shared" ca="1" si="232"/>
        <v>457.01902416407944</v>
      </c>
      <c r="IA34" s="7">
        <f t="shared" ca="1" si="233"/>
        <v>3.2194054130835319</v>
      </c>
      <c r="IB34" s="7">
        <f t="shared" ca="1" si="234"/>
        <v>457.01920857562175</v>
      </c>
      <c r="IC34" s="7">
        <f t="shared" ca="1" si="235"/>
        <v>2.7414409128456914</v>
      </c>
      <c r="ID34" s="7">
        <f t="shared" ca="1" si="236"/>
        <v>3.2194054130835319</v>
      </c>
      <c r="IE34" s="7"/>
      <c r="IF34" s="2">
        <f t="shared" si="237"/>
        <v>6.8922235400902546E-2</v>
      </c>
      <c r="IG34" s="17">
        <f t="shared" ca="1" si="238"/>
        <v>1090.0612913343389</v>
      </c>
      <c r="IH34" s="17"/>
      <c r="II34" s="7">
        <f t="shared" si="239"/>
        <v>2.0735940187551152</v>
      </c>
      <c r="IJ34" s="17">
        <f t="shared" si="240"/>
        <v>1837.7772740133462</v>
      </c>
      <c r="IK34" s="16">
        <f t="shared" si="241"/>
        <v>1.2695258267441407E-5</v>
      </c>
      <c r="IM34" s="1">
        <f t="shared" si="242"/>
        <v>1</v>
      </c>
      <c r="IN34" s="166">
        <f t="shared" si="243"/>
        <v>0.43370600553707628</v>
      </c>
      <c r="IO34" s="166">
        <f t="shared" si="244"/>
        <v>9.4562768834053929E-2</v>
      </c>
      <c r="IP34" s="166">
        <f t="shared" si="245"/>
        <v>0.47173122562886988</v>
      </c>
      <c r="IR34" s="167">
        <f t="shared" si="246"/>
        <v>0.38154583018529487</v>
      </c>
      <c r="IS34" s="167">
        <f t="shared" si="247"/>
        <v>0.47173122562886988</v>
      </c>
      <c r="IU34" s="169">
        <v>0.1</v>
      </c>
      <c r="IV34" s="169">
        <v>0.9</v>
      </c>
      <c r="IW34" s="169">
        <v>0</v>
      </c>
      <c r="IX34" s="169"/>
      <c r="IY34" s="167">
        <f t="shared" si="248"/>
        <v>1.0392304845413263</v>
      </c>
      <c r="IZ34" s="167">
        <f t="shared" si="249"/>
        <v>0</v>
      </c>
    </row>
    <row r="35" spans="1:260" ht="13.2">
      <c r="A35" s="139" t="s">
        <v>201</v>
      </c>
      <c r="B35" s="139" t="s">
        <v>202</v>
      </c>
      <c r="C35" s="78">
        <f t="shared" si="43"/>
        <v>1.9</v>
      </c>
      <c r="D35" s="133">
        <f t="shared" ca="1" si="44"/>
        <v>1112.3482632799401</v>
      </c>
      <c r="E35" s="15">
        <f t="shared" ca="1" si="45"/>
        <v>-9.000525101912249E-2</v>
      </c>
      <c r="F35" s="123">
        <v>51.5</v>
      </c>
      <c r="G35" s="123">
        <v>1.19</v>
      </c>
      <c r="H35" s="123">
        <v>19.2</v>
      </c>
      <c r="I35" s="123">
        <v>8.6999999999999993</v>
      </c>
      <c r="J35" s="123">
        <v>0.19</v>
      </c>
      <c r="K35" s="132">
        <v>4</v>
      </c>
      <c r="L35" s="123">
        <v>10</v>
      </c>
      <c r="M35" s="123">
        <v>1</v>
      </c>
      <c r="N35" s="123">
        <v>0.42</v>
      </c>
      <c r="O35" s="123">
        <v>0</v>
      </c>
      <c r="P35" s="123">
        <v>0.14000000000000001</v>
      </c>
      <c r="Q35" s="123">
        <v>6.2</v>
      </c>
      <c r="R35" s="119" t="e">
        <f t="shared" ca="1" si="46"/>
        <v>#NUM!</v>
      </c>
      <c r="T35" s="123">
        <v>50.3</v>
      </c>
      <c r="U35" s="123">
        <v>0.73</v>
      </c>
      <c r="V35" s="123">
        <v>4.12</v>
      </c>
      <c r="W35" s="123">
        <v>5.83</v>
      </c>
      <c r="X35" s="123">
        <v>0</v>
      </c>
      <c r="Y35" s="123">
        <v>15</v>
      </c>
      <c r="Z35" s="123">
        <v>22.7</v>
      </c>
      <c r="AA35" s="123">
        <v>0.12</v>
      </c>
      <c r="AB35" s="123">
        <v>0</v>
      </c>
      <c r="AC35" s="123">
        <v>0.28000000000000003</v>
      </c>
      <c r="AE35" s="112">
        <f t="shared" ca="1" si="47"/>
        <v>1285.5775195885856</v>
      </c>
      <c r="AF35" s="165">
        <f t="shared" ca="1" si="48"/>
        <v>1012.4275195885856</v>
      </c>
      <c r="AG35" s="165">
        <f t="shared" ca="1" si="49"/>
        <v>2.7221395513239273</v>
      </c>
      <c r="AH35" s="91">
        <f t="shared" ca="1" si="50"/>
        <v>1401.5482813614494</v>
      </c>
      <c r="AI35" s="91">
        <f t="shared" ca="1" si="51"/>
        <v>-0.24119316978945005</v>
      </c>
      <c r="AJ35" s="91"/>
      <c r="AK35" s="91">
        <f t="shared" ca="1" si="52"/>
        <v>1385.4982632799399</v>
      </c>
      <c r="AL35" s="91">
        <f t="shared" ca="1" si="53"/>
        <v>-1.0044313686438295</v>
      </c>
      <c r="AM35" s="91"/>
      <c r="AN35" s="91">
        <f t="shared" ca="1" si="54"/>
        <v>1247.7967944263025</v>
      </c>
      <c r="AO35" s="91">
        <f t="shared" ca="1" si="55"/>
        <v>974.64679442630256</v>
      </c>
      <c r="AP35" s="91">
        <f t="shared" ca="1" si="56"/>
        <v>-6.0008306779174445</v>
      </c>
      <c r="AQ35" s="91"/>
      <c r="AR35" s="91">
        <f t="shared" ca="1" si="57"/>
        <v>1263.2366604624037</v>
      </c>
      <c r="AS35" s="91">
        <f t="shared" ca="1" si="58"/>
        <v>990.08666046240376</v>
      </c>
      <c r="AT35" s="40">
        <f t="shared" ca="1" si="59"/>
        <v>-5.4224425704937422</v>
      </c>
      <c r="AV35" s="40">
        <f t="shared" si="60"/>
        <v>1404.0921558823379</v>
      </c>
      <c r="AW35" s="40">
        <f t="shared" si="61"/>
        <v>1130.9421558823378</v>
      </c>
      <c r="AX35" s="40">
        <f t="shared" ca="1" si="62"/>
        <v>1401.5482813614494</v>
      </c>
      <c r="AY35" s="40">
        <f t="shared" ca="1" si="63"/>
        <v>1128.3982813614493</v>
      </c>
      <c r="AZ35" s="40">
        <f t="shared" ca="1" si="64"/>
        <v>-0.24119316978945005</v>
      </c>
      <c r="BA35" s="40"/>
      <c r="BB35" s="40">
        <f t="shared" ca="1" si="65"/>
        <v>1385.4982632799399</v>
      </c>
      <c r="BC35" s="40">
        <f t="shared" ca="1" si="66"/>
        <v>-1.0044313686438295</v>
      </c>
      <c r="BD35" s="40">
        <f t="shared" ca="1" si="67"/>
        <v>1112.3482632799401</v>
      </c>
      <c r="BE35" s="40">
        <f t="shared" ca="1" si="68"/>
        <v>4.8082126267314589</v>
      </c>
      <c r="BF35" s="40">
        <f t="shared" ca="1" si="69"/>
        <v>7.9306573587722866</v>
      </c>
      <c r="BG35" s="40">
        <f t="shared" ca="1" si="70"/>
        <v>999.37787808680071</v>
      </c>
      <c r="BH35" s="40">
        <f t="shared" ca="1" si="71"/>
        <v>1030.3964733193438</v>
      </c>
      <c r="BI35" s="40">
        <f t="shared" ca="1" si="72"/>
        <v>1030.3964733193438</v>
      </c>
      <c r="BJ35" s="40">
        <f t="shared" ca="1" si="73"/>
        <v>1145.9192633869729</v>
      </c>
      <c r="BK35" s="70">
        <f t="shared" ca="1" si="74"/>
        <v>1.2090157334696083</v>
      </c>
      <c r="BL35" s="70">
        <f t="shared" ca="1" si="75"/>
        <v>0.72619020694995284</v>
      </c>
      <c r="BM35" s="70">
        <f t="shared" ca="1" si="76"/>
        <v>0.11349635033458251</v>
      </c>
      <c r="BN35" s="180">
        <f t="shared" ca="1" si="27"/>
        <v>1.3851106031008349E-2</v>
      </c>
      <c r="BO35" s="180">
        <f t="shared" ca="1" si="28"/>
        <v>4.8892561521341835E-3</v>
      </c>
      <c r="BP35" s="180">
        <f t="shared" ca="1" si="29"/>
        <v>3.6819330729797962E-2</v>
      </c>
      <c r="BQ35" s="70">
        <f t="shared" si="77"/>
        <v>0</v>
      </c>
      <c r="BR35" s="40">
        <f t="shared" ca="1" si="78"/>
        <v>0.89524625019747583</v>
      </c>
      <c r="BS35" s="53"/>
      <c r="BT35" s="70">
        <f t="shared" si="79"/>
        <v>0.81619545796907533</v>
      </c>
      <c r="BU35" s="70">
        <f t="shared" si="80"/>
        <v>9.9458237188720378E-2</v>
      </c>
      <c r="BV35" s="70">
        <f t="shared" si="81"/>
        <v>4.6960040723363183E-2</v>
      </c>
      <c r="BW35" s="70">
        <f t="shared" si="82"/>
        <v>8.6712759453304016E-3</v>
      </c>
      <c r="BX35" s="180">
        <f t="shared" si="83"/>
        <v>3.9189773099050057E-2</v>
      </c>
      <c r="BY35" s="70">
        <f t="shared" si="84"/>
        <v>4.1251069780390707E-3</v>
      </c>
      <c r="BZ35" s="70">
        <f t="shared" si="85"/>
        <v>1.0145998919035784</v>
      </c>
      <c r="CA35" s="70">
        <f t="shared" si="86"/>
        <v>0.17869731800766286</v>
      </c>
      <c r="CB35" s="53"/>
      <c r="CC35" s="40"/>
      <c r="CD35" s="40">
        <f t="shared" ca="1" si="87"/>
        <v>0.83679482308298248</v>
      </c>
      <c r="CE35" s="40">
        <f t="shared" ca="1" si="88"/>
        <v>1.9237290449287876</v>
      </c>
      <c r="CF35" s="40">
        <f t="shared" ca="1" si="89"/>
        <v>5.1318732880015823</v>
      </c>
      <c r="CG35" s="40">
        <f t="shared" ca="1" si="90"/>
        <v>1129.7497721877548</v>
      </c>
      <c r="CH35" s="54">
        <f t="shared" ca="1" si="91"/>
        <v>0.26355301468740949</v>
      </c>
      <c r="CJ35" s="40">
        <f t="shared" si="92"/>
        <v>-0.10137881540012426</v>
      </c>
      <c r="CK35" s="40">
        <f t="shared" si="93"/>
        <v>-0.38557196008347061</v>
      </c>
      <c r="CL35" s="40">
        <f t="shared" ca="1" si="94"/>
        <v>843.50520710906574</v>
      </c>
      <c r="CM35" s="2"/>
      <c r="CN35" s="1">
        <f t="shared" si="95"/>
        <v>0.85712906699420643</v>
      </c>
      <c r="CO35" s="1">
        <f t="shared" si="96"/>
        <v>1.4897569818274685E-2</v>
      </c>
      <c r="CP35" s="1">
        <f t="shared" si="97"/>
        <v>0.37661458793067937</v>
      </c>
      <c r="CQ35" s="1">
        <f t="shared" si="98"/>
        <v>0.12109166221272046</v>
      </c>
      <c r="CR35" s="1">
        <f t="shared" si="99"/>
        <v>2.6784140969162997E-3</v>
      </c>
      <c r="CS35" s="1">
        <f t="shared" si="100"/>
        <v>9.9244747471740058E-2</v>
      </c>
      <c r="CT35" s="1">
        <f t="shared" si="101"/>
        <v>0.1783249580044724</v>
      </c>
      <c r="CU35" s="1">
        <f t="shared" si="102"/>
        <v>3.2269046401275273E-2</v>
      </c>
      <c r="CV35" s="1">
        <f t="shared" si="103"/>
        <v>8.917576117881864E-3</v>
      </c>
      <c r="CW35" s="1">
        <f t="shared" si="104"/>
        <v>0</v>
      </c>
      <c r="CX35" s="1">
        <f t="shared" si="105"/>
        <v>1.9727062006383114E-3</v>
      </c>
      <c r="CY35" s="1">
        <f t="shared" si="106"/>
        <v>1.6931403352488055</v>
      </c>
      <c r="DA35" s="1">
        <f t="shared" si="107"/>
        <v>0.50623628127567588</v>
      </c>
      <c r="DB35" s="1">
        <f t="shared" si="108"/>
        <v>8.7987802948923909E-3</v>
      </c>
      <c r="DC35" s="1">
        <f t="shared" si="109"/>
        <v>0.22243554186861669</v>
      </c>
      <c r="DD35" s="1">
        <f t="shared" si="110"/>
        <v>7.1518975534255486E-2</v>
      </c>
      <c r="DE35" s="1">
        <f t="shared" si="111"/>
        <v>1.5819209082410224E-3</v>
      </c>
      <c r="DF35" s="1">
        <f t="shared" si="112"/>
        <v>5.8615783586040512E-2</v>
      </c>
      <c r="DG35" s="1">
        <f t="shared" si="113"/>
        <v>0.10532201867263868</v>
      </c>
      <c r="DH35" s="1">
        <f t="shared" si="114"/>
        <v>1.9058695684863809E-2</v>
      </c>
      <c r="DI35" s="1">
        <f t="shared" si="115"/>
        <v>5.2668854035489232E-3</v>
      </c>
      <c r="DJ35" s="1">
        <f t="shared" si="116"/>
        <v>0</v>
      </c>
      <c r="DK35" s="1">
        <f t="shared" si="117"/>
        <v>1.1651167712264229E-3</v>
      </c>
      <c r="DL35" s="1">
        <f t="shared" si="118"/>
        <v>0.99999999999999978</v>
      </c>
      <c r="DM35" s="156">
        <f t="shared" si="119"/>
        <v>45.042372984958114</v>
      </c>
      <c r="DN35" s="1">
        <f t="shared" si="120"/>
        <v>0.83715712756909877</v>
      </c>
      <c r="DO35" s="1">
        <f t="shared" si="121"/>
        <v>9.1388453507063195E-3</v>
      </c>
      <c r="DP35" s="1">
        <f t="shared" si="122"/>
        <v>4.0407606830062476E-2</v>
      </c>
      <c r="DQ35" s="1">
        <f t="shared" si="123"/>
        <v>8.114533226438625E-2</v>
      </c>
      <c r="DR35" s="1">
        <f t="shared" si="124"/>
        <v>0</v>
      </c>
      <c r="DS35" s="1">
        <f t="shared" si="125"/>
        <v>0.37216780301902519</v>
      </c>
      <c r="DT35" s="1">
        <f t="shared" si="126"/>
        <v>0.40479765467015233</v>
      </c>
      <c r="DU35" s="1">
        <f t="shared" si="127"/>
        <v>1.9361427840765162E-3</v>
      </c>
      <c r="DV35" s="1">
        <f t="shared" si="128"/>
        <v>0</v>
      </c>
      <c r="DW35" s="1">
        <f t="shared" si="129"/>
        <v>1.8421270778206586E-3</v>
      </c>
      <c r="DX35" s="1">
        <f t="shared" si="130"/>
        <v>1.7485926395653286</v>
      </c>
      <c r="DZ35" s="1">
        <f t="shared" si="131"/>
        <v>1.6743142551381975</v>
      </c>
      <c r="EA35" s="1">
        <f t="shared" si="132"/>
        <v>1.8277690701412639E-2</v>
      </c>
      <c r="EB35" s="1">
        <f t="shared" si="133"/>
        <v>0.12122282049018743</v>
      </c>
      <c r="EC35" s="1">
        <f t="shared" si="134"/>
        <v>8.114533226438625E-2</v>
      </c>
      <c r="ED35" s="1">
        <f t="shared" si="135"/>
        <v>0</v>
      </c>
      <c r="EE35" s="1">
        <f t="shared" si="136"/>
        <v>0.37216780301902519</v>
      </c>
      <c r="EF35" s="1">
        <f t="shared" si="137"/>
        <v>0.40479765467015233</v>
      </c>
      <c r="EG35" s="1">
        <f t="shared" si="138"/>
        <v>1.9361427840765162E-3</v>
      </c>
      <c r="EH35" s="1">
        <f t="shared" si="139"/>
        <v>0</v>
      </c>
      <c r="EI35" s="1">
        <f t="shared" si="140"/>
        <v>5.5263812334619758E-3</v>
      </c>
      <c r="EJ35" s="1">
        <f t="shared" si="141"/>
        <v>2.6793880803009</v>
      </c>
      <c r="EK35" s="1">
        <f t="shared" si="142"/>
        <v>2.2393172695334935</v>
      </c>
      <c r="EM35" s="1">
        <f t="shared" si="143"/>
        <v>1.8746604130785367</v>
      </c>
      <c r="EN35" s="1">
        <f t="shared" si="144"/>
        <v>2.0464774217432539E-2</v>
      </c>
      <c r="EO35" s="1">
        <f t="shared" si="145"/>
        <v>0.1253395869214633</v>
      </c>
      <c r="EP35" s="1">
        <f t="shared" si="146"/>
        <v>5.5631316668693587E-2</v>
      </c>
      <c r="EQ35" s="1">
        <f t="shared" si="147"/>
        <v>0.18097090359015688</v>
      </c>
      <c r="ER35" s="1">
        <f t="shared" si="148"/>
        <v>0.1817101438816735</v>
      </c>
      <c r="ES35" s="1">
        <f t="shared" si="149"/>
        <v>0</v>
      </c>
      <c r="ET35" s="1">
        <f t="shared" si="150"/>
        <v>0.83340178846484259</v>
      </c>
      <c r="EU35" s="1">
        <f t="shared" si="151"/>
        <v>0.90647037876952752</v>
      </c>
      <c r="EV35" s="1">
        <f t="shared" si="152"/>
        <v>8.6712759453304016E-3</v>
      </c>
      <c r="EW35" s="1">
        <f t="shared" si="153"/>
        <v>0</v>
      </c>
      <c r="EX35" s="1">
        <f t="shared" si="154"/>
        <v>8.2502139560781413E-3</v>
      </c>
      <c r="EY35" s="1">
        <f t="shared" si="155"/>
        <v>4.0145998919035781</v>
      </c>
      <c r="EZ35" s="1">
        <f t="shared" si="156"/>
        <v>2.9199783807156897E-2</v>
      </c>
      <c r="FA35" s="1">
        <f t="shared" si="157"/>
        <v>4.3640389468516005E-2</v>
      </c>
      <c r="FB35" s="1">
        <f t="shared" si="158"/>
        <v>8.6712759453304016E-3</v>
      </c>
      <c r="FC35" s="1">
        <f t="shared" si="159"/>
        <v>4.6960040723363183E-2</v>
      </c>
      <c r="FD35" s="1">
        <f t="shared" si="160"/>
        <v>3.9189773099050057E-2</v>
      </c>
      <c r="FE35" s="1">
        <f t="shared" si="161"/>
        <v>4.1251069780390707E-3</v>
      </c>
      <c r="FF35" s="2">
        <f t="shared" si="162"/>
        <v>0.81619545796907533</v>
      </c>
      <c r="FG35" s="1">
        <f t="shared" si="163"/>
        <v>9.9458237188720378E-2</v>
      </c>
      <c r="FH35" s="1">
        <f t="shared" si="164"/>
        <v>1.0145998919035786</v>
      </c>
      <c r="FI35" s="1">
        <f t="shared" si="165"/>
        <v>0.81619545796907533</v>
      </c>
      <c r="FJ35" s="1">
        <f t="shared" si="166"/>
        <v>2.0771139221021229</v>
      </c>
      <c r="FK35" s="1">
        <f t="shared" si="167"/>
        <v>-3.3712057106225291</v>
      </c>
      <c r="FL35" s="1">
        <f t="shared" si="168"/>
        <v>-3.3712057106225291</v>
      </c>
      <c r="FM35" s="1">
        <f t="shared" si="169"/>
        <v>0.45042372984958112</v>
      </c>
      <c r="FN35" s="67">
        <f t="shared" ca="1" si="170"/>
        <v>1401.5482813614494</v>
      </c>
      <c r="FO35" s="67">
        <f t="shared" ca="1" si="171"/>
        <v>-0.24119316978945005</v>
      </c>
      <c r="FP35" s="1">
        <f t="shared" ca="1" si="172"/>
        <v>0.14015482813614494</v>
      </c>
      <c r="FQ35" s="2">
        <f t="shared" ca="1" si="173"/>
        <v>1.6192705723090448</v>
      </c>
      <c r="FR35" s="2">
        <f t="shared" ca="1" si="174"/>
        <v>5.9166111650109539</v>
      </c>
      <c r="FS35" s="1">
        <f t="shared" ca="1" si="175"/>
        <v>1.9864880134603848</v>
      </c>
      <c r="FT35" s="1">
        <f t="shared" si="176"/>
        <v>7.6461934757036845E-2</v>
      </c>
      <c r="FU35" s="2">
        <f t="shared" si="177"/>
        <v>82.099496805082822</v>
      </c>
      <c r="FV35" s="2">
        <f t="shared" ca="1" si="178"/>
        <v>8.0736668792275292</v>
      </c>
      <c r="FW35" s="2">
        <f t="shared" ca="1" si="179"/>
        <v>0.25983489183196889</v>
      </c>
      <c r="FX35" s="2">
        <f t="shared" si="180"/>
        <v>0.17869731800766286</v>
      </c>
      <c r="FY35" s="1">
        <f t="shared" si="181"/>
        <v>0.91514165471485787</v>
      </c>
      <c r="FZ35" s="1">
        <f t="shared" si="182"/>
        <v>0.11354608864936117</v>
      </c>
      <c r="GA35" s="1">
        <f t="shared" si="183"/>
        <v>0.13002869882621371</v>
      </c>
      <c r="GB35" s="1">
        <f t="shared" si="184"/>
        <v>0.92390390911387388</v>
      </c>
      <c r="GC35" s="1">
        <f t="shared" si="185"/>
        <v>6.2008239425485279E-2</v>
      </c>
      <c r="GD35" s="1">
        <f t="shared" si="186"/>
        <v>0.1525103600745166</v>
      </c>
      <c r="GE35" s="1">
        <f t="shared" si="187"/>
        <v>0.86997130117378629</v>
      </c>
      <c r="GF35" s="1">
        <f t="shared" si="188"/>
        <v>0.33470083529120903</v>
      </c>
      <c r="GG35" s="1">
        <f t="shared" si="189"/>
        <v>-1.2941776794764685E-2</v>
      </c>
      <c r="GH35" s="1">
        <f t="shared" si="190"/>
        <v>2.6798515730241952E-2</v>
      </c>
      <c r="GI35" s="1">
        <f t="shared" si="191"/>
        <v>2.6798515730241952E-2</v>
      </c>
      <c r="GJ35" s="1">
        <f t="shared" si="192"/>
        <v>0.12571184434427465</v>
      </c>
      <c r="GK35" s="1">
        <f t="shared" si="193"/>
        <v>5.8059829554900182E-2</v>
      </c>
      <c r="GL35" s="1">
        <f t="shared" si="194"/>
        <v>0.7753419589099424</v>
      </c>
      <c r="GM35" s="1">
        <f t="shared" si="195"/>
        <v>0.90647037876952752</v>
      </c>
      <c r="GN35" s="1">
        <f t="shared" si="196"/>
        <v>8.6712759453304016E-3</v>
      </c>
      <c r="GO35" s="1">
        <f t="shared" si="197"/>
        <v>439.97494526289694</v>
      </c>
      <c r="GP35" s="1">
        <f t="shared" si="198"/>
        <v>11.801864743726876</v>
      </c>
      <c r="GQ35" s="1">
        <f t="shared" si="199"/>
        <v>2.1632106466739502</v>
      </c>
      <c r="GR35" s="1">
        <f t="shared" si="200"/>
        <v>8.8962037844466191E-6</v>
      </c>
      <c r="GS35" s="1">
        <f t="shared" si="201"/>
        <v>1817.737955816184</v>
      </c>
      <c r="GT35" s="1">
        <f t="shared" ca="1" si="202"/>
        <v>0.3475305703957482</v>
      </c>
      <c r="GU35" s="2">
        <f t="shared" ca="1" si="203"/>
        <v>18.106498288001589</v>
      </c>
      <c r="GV35" s="4">
        <f t="shared" ca="1" si="204"/>
        <v>3.0767526699857477</v>
      </c>
      <c r="GW35" s="4">
        <f t="shared" ca="1" si="205"/>
        <v>2.5985790410093745</v>
      </c>
      <c r="GX35" s="4">
        <f t="shared" si="206"/>
        <v>1.42</v>
      </c>
      <c r="GY35" s="4">
        <f t="shared" si="207"/>
        <v>5.3077524999999994</v>
      </c>
      <c r="GZ35" s="4">
        <f t="shared" ca="1" si="208"/>
        <v>3.0767526699857477</v>
      </c>
      <c r="HA35" s="1">
        <f t="shared" si="209"/>
        <v>439.97494526289694</v>
      </c>
      <c r="HB35" s="1">
        <f t="shared" si="210"/>
        <v>11.801864743726876</v>
      </c>
      <c r="HC35" s="4">
        <f t="shared" si="211"/>
        <v>-0.1970078260411583</v>
      </c>
      <c r="HD35" s="4"/>
      <c r="HE35" s="7">
        <f t="shared" si="212"/>
        <v>0.1525103600745166</v>
      </c>
      <c r="HF35" s="7">
        <f t="shared" si="213"/>
        <v>0.83340178846484259</v>
      </c>
      <c r="HG35" s="7">
        <f t="shared" si="214"/>
        <v>8.6712759453304016E-3</v>
      </c>
      <c r="HH35" s="7">
        <f t="shared" si="215"/>
        <v>0</v>
      </c>
      <c r="HI35" s="7">
        <f t="shared" si="216"/>
        <v>2.0528507861826494E-2</v>
      </c>
      <c r="HJ35" s="7">
        <f t="shared" si="217"/>
        <v>0</v>
      </c>
      <c r="HK35" s="7">
        <f t="shared" si="218"/>
        <v>0</v>
      </c>
      <c r="HL35" s="7">
        <f t="shared" si="219"/>
        <v>5.5631316668693587E-2</v>
      </c>
      <c r="HM35" s="7">
        <f t="shared" si="220"/>
        <v>0.1048110790596368</v>
      </c>
      <c r="HN35" s="7">
        <f t="shared" si="221"/>
        <v>0.15468960424157727</v>
      </c>
      <c r="HO35" s="7">
        <f t="shared" si="222"/>
        <v>0.66029797879617724</v>
      </c>
      <c r="HP35" s="7">
        <f t="shared" si="223"/>
        <v>0.12083281305188692</v>
      </c>
      <c r="HQ35" s="7">
        <f t="shared" si="224"/>
        <v>7.1731641436388424E-2</v>
      </c>
      <c r="HR35" s="7">
        <f t="shared" si="225"/>
        <v>1.312670384875376E-2</v>
      </c>
      <c r="HS35" s="7">
        <f t="shared" si="226"/>
        <v>8.6712759453304016E-3</v>
      </c>
      <c r="HT35" s="7"/>
      <c r="HU35" s="16">
        <f t="shared" si="227"/>
        <v>-8.7741679058971808E-7</v>
      </c>
      <c r="HV35" s="16">
        <f t="shared" si="228"/>
        <v>1.6321288052128229E-12</v>
      </c>
      <c r="HW35" s="16">
        <f t="shared" si="229"/>
        <v>2.7272105319510802E-5</v>
      </c>
      <c r="HX35" s="16">
        <f t="shared" si="230"/>
        <v>7.8162732639413489E-9</v>
      </c>
      <c r="HY35" s="7">
        <f t="shared" si="231"/>
        <v>2.1632106466739502</v>
      </c>
      <c r="HZ35" s="7">
        <f t="shared" ca="1" si="232"/>
        <v>457.08687438771352</v>
      </c>
      <c r="IA35" s="7">
        <f t="shared" ca="1" si="233"/>
        <v>3.0767526699857477</v>
      </c>
      <c r="IB35" s="7">
        <f t="shared" ca="1" si="234"/>
        <v>457.08705898058474</v>
      </c>
      <c r="IC35" s="7">
        <f t="shared" ca="1" si="235"/>
        <v>2.5985790410093745</v>
      </c>
      <c r="ID35" s="7">
        <f t="shared" ca="1" si="236"/>
        <v>3.0767526699857477</v>
      </c>
      <c r="IE35" s="7"/>
      <c r="IF35" s="2">
        <f t="shared" si="237"/>
        <v>7.6461934757036845E-2</v>
      </c>
      <c r="IG35" s="17">
        <f t="shared" ca="1" si="238"/>
        <v>1087.3482632799401</v>
      </c>
      <c r="IH35" s="17"/>
      <c r="II35" s="7">
        <f t="shared" si="239"/>
        <v>2.0743224442961425</v>
      </c>
      <c r="IJ35" s="17">
        <f t="shared" si="240"/>
        <v>1817.737955816184</v>
      </c>
      <c r="IK35" s="16">
        <f t="shared" si="241"/>
        <v>1.2813394954071173E-5</v>
      </c>
      <c r="IM35" s="1">
        <f t="shared" si="242"/>
        <v>1</v>
      </c>
      <c r="IN35" s="166">
        <f t="shared" si="243"/>
        <v>0.43370600553707628</v>
      </c>
      <c r="IO35" s="166">
        <f t="shared" si="244"/>
        <v>9.4562768834053915E-2</v>
      </c>
      <c r="IP35" s="166">
        <f t="shared" si="245"/>
        <v>0.47173122562886988</v>
      </c>
      <c r="IR35" s="167">
        <f t="shared" si="246"/>
        <v>0.38154583018529487</v>
      </c>
      <c r="IS35" s="167">
        <f t="shared" si="247"/>
        <v>0.47173122562886988</v>
      </c>
      <c r="IU35" s="169">
        <v>0.1</v>
      </c>
      <c r="IV35" s="169">
        <v>0.9</v>
      </c>
      <c r="IW35" s="169">
        <v>0</v>
      </c>
      <c r="IX35" s="169"/>
      <c r="IY35" s="167">
        <f t="shared" si="248"/>
        <v>1.0392304845413263</v>
      </c>
      <c r="IZ35" s="167">
        <f t="shared" si="249"/>
        <v>0</v>
      </c>
    </row>
    <row r="36" spans="1:260" ht="13.2">
      <c r="A36" s="139" t="s">
        <v>201</v>
      </c>
      <c r="B36" s="139" t="s">
        <v>202</v>
      </c>
      <c r="C36" s="78">
        <f t="shared" si="43"/>
        <v>1.9</v>
      </c>
      <c r="D36" s="133">
        <f t="shared" ca="1" si="44"/>
        <v>1124.8490796717338</v>
      </c>
      <c r="E36" s="15">
        <f t="shared" ca="1" si="45"/>
        <v>2.8418917680105071E-2</v>
      </c>
      <c r="F36" s="123">
        <v>71</v>
      </c>
      <c r="G36" s="123">
        <v>1.19</v>
      </c>
      <c r="H36" s="123">
        <v>19.2</v>
      </c>
      <c r="I36" s="123">
        <v>8.6999999999999993</v>
      </c>
      <c r="J36" s="123">
        <v>0.19</v>
      </c>
      <c r="K36" s="132">
        <v>4.9800000000000004</v>
      </c>
      <c r="L36" s="123">
        <v>9</v>
      </c>
      <c r="M36" s="123">
        <v>3.72</v>
      </c>
      <c r="N36" s="123">
        <v>0.42</v>
      </c>
      <c r="O36" s="123">
        <v>0.1</v>
      </c>
      <c r="P36" s="123">
        <v>0.14000000000000001</v>
      </c>
      <c r="Q36" s="123">
        <v>6.2</v>
      </c>
      <c r="R36" s="119">
        <f t="shared" ca="1" si="46"/>
        <v>1.6438348995951308</v>
      </c>
      <c r="T36" s="123">
        <v>50.3</v>
      </c>
      <c r="U36" s="123">
        <v>0.73</v>
      </c>
      <c r="V36" s="123">
        <v>4.12</v>
      </c>
      <c r="W36" s="123">
        <v>5.83</v>
      </c>
      <c r="X36" s="123">
        <v>0</v>
      </c>
      <c r="Y36" s="123">
        <v>15</v>
      </c>
      <c r="Z36" s="123">
        <v>22.7</v>
      </c>
      <c r="AA36" s="123">
        <v>0.24</v>
      </c>
      <c r="AB36" s="123">
        <v>0</v>
      </c>
      <c r="AC36" s="123">
        <v>0.28000000000000003</v>
      </c>
      <c r="AE36" s="112">
        <f t="shared" ca="1" si="47"/>
        <v>1253.9680080463893</v>
      </c>
      <c r="AF36" s="165">
        <f t="shared" ca="1" si="48"/>
        <v>980.81800804638931</v>
      </c>
      <c r="AG36" s="165">
        <f t="shared" ca="1" si="49"/>
        <v>-1.6401195338433268</v>
      </c>
      <c r="AH36" s="91">
        <f t="shared" ca="1" si="50"/>
        <v>1414.0574971684903</v>
      </c>
      <c r="AI36" s="91">
        <f t="shared" ca="1" si="51"/>
        <v>0.44676912694757576</v>
      </c>
      <c r="AJ36" s="91"/>
      <c r="AK36" s="91">
        <f t="shared" ca="1" si="52"/>
        <v>1397.9990796717339</v>
      </c>
      <c r="AL36" s="91">
        <f t="shared" ca="1" si="53"/>
        <v>-0.10274083114346322</v>
      </c>
      <c r="AM36" s="91"/>
      <c r="AN36" s="91">
        <f t="shared" ca="1" si="54"/>
        <v>1235.7806036899085</v>
      </c>
      <c r="AO36" s="91">
        <f t="shared" ca="1" si="55"/>
        <v>962.63060368990853</v>
      </c>
      <c r="AP36" s="91">
        <f t="shared" ca="1" si="56"/>
        <v>-5.9870143073567466</v>
      </c>
      <c r="AQ36" s="91"/>
      <c r="AR36" s="91">
        <f t="shared" ca="1" si="57"/>
        <v>1254.34939120801</v>
      </c>
      <c r="AS36" s="91">
        <f t="shared" ca="1" si="58"/>
        <v>981.19939120801007</v>
      </c>
      <c r="AT36" s="40">
        <f t="shared" ca="1" si="59"/>
        <v>-5.3168906856242977</v>
      </c>
      <c r="AV36" s="40">
        <f t="shared" si="60"/>
        <v>1425.2183011690947</v>
      </c>
      <c r="AW36" s="40">
        <f t="shared" si="61"/>
        <v>1152.0683011690949</v>
      </c>
      <c r="AX36" s="40">
        <f t="shared" ca="1" si="62"/>
        <v>1414.0574971684903</v>
      </c>
      <c r="AY36" s="40">
        <f t="shared" ca="1" si="63"/>
        <v>1140.9074971684904</v>
      </c>
      <c r="AZ36" s="40">
        <f t="shared" ca="1" si="64"/>
        <v>0.44676912694757576</v>
      </c>
      <c r="BA36" s="40"/>
      <c r="BB36" s="40">
        <f t="shared" ca="1" si="65"/>
        <v>1397.9990796717339</v>
      </c>
      <c r="BC36" s="40">
        <f t="shared" ca="1" si="66"/>
        <v>-0.10274083114346322</v>
      </c>
      <c r="BD36" s="40">
        <f t="shared" ca="1" si="67"/>
        <v>1124.8490796717338</v>
      </c>
      <c r="BE36" s="40">
        <f t="shared" ca="1" si="68"/>
        <v>5.9050672389706111</v>
      </c>
      <c r="BF36" s="40">
        <f t="shared" ca="1" si="69"/>
        <v>9.9644709475081452</v>
      </c>
      <c r="BG36" s="40">
        <f t="shared" ca="1" si="70"/>
        <v>989.66984979300435</v>
      </c>
      <c r="BH36" s="40">
        <f t="shared" ca="1" si="71"/>
        <v>1025.3899549650664</v>
      </c>
      <c r="BI36" s="40">
        <f t="shared" ca="1" si="72"/>
        <v>1025.3899549650664</v>
      </c>
      <c r="BJ36" s="40">
        <f t="shared" ca="1" si="73"/>
        <v>1131.0695422798772</v>
      </c>
      <c r="BK36" s="70">
        <f t="shared" ca="1" si="74"/>
        <v>1.2961589883949016</v>
      </c>
      <c r="BL36" s="70">
        <f t="shared" ca="1" si="75"/>
        <v>0.8483575207980234</v>
      </c>
      <c r="BM36" s="70">
        <f t="shared" ca="1" si="76"/>
        <v>0.14252425523322898</v>
      </c>
      <c r="BN36" s="180">
        <f t="shared" ca="1" si="27"/>
        <v>7.595307200828543E-3</v>
      </c>
      <c r="BO36" s="180">
        <f t="shared" ca="1" si="28"/>
        <v>1.3950273381210016E-2</v>
      </c>
      <c r="BP36" s="180">
        <f t="shared" ca="1" si="29"/>
        <v>3.0682155560145835E-2</v>
      </c>
      <c r="BQ36" s="70">
        <f t="shared" si="77"/>
        <v>5.9634461326590416E-3</v>
      </c>
      <c r="BR36" s="40">
        <f t="shared" ca="1" si="78"/>
        <v>1.0490729583060956</v>
      </c>
      <c r="BS36" s="53"/>
      <c r="BT36" s="70">
        <f t="shared" si="79"/>
        <v>0.81993860311791833</v>
      </c>
      <c r="BU36" s="70">
        <f t="shared" si="80"/>
        <v>9.7220166294938348E-2</v>
      </c>
      <c r="BV36" s="70">
        <f t="shared" si="81"/>
        <v>3.6816947960874952E-2</v>
      </c>
      <c r="BW36" s="70">
        <f t="shared" si="82"/>
        <v>1.7330029101953831E-2</v>
      </c>
      <c r="BX36" s="180">
        <f t="shared" si="83"/>
        <v>4.4938151136855245E-2</v>
      </c>
      <c r="BY36" s="70">
        <f t="shared" si="84"/>
        <v>4.1221283020399834E-3</v>
      </c>
      <c r="BZ36" s="70">
        <f t="shared" si="85"/>
        <v>1.0203660259145808</v>
      </c>
      <c r="CA36" s="70">
        <f t="shared" si="86"/>
        <v>0.22247816091954029</v>
      </c>
      <c r="CB36" s="53"/>
      <c r="CC36" s="40"/>
      <c r="CD36" s="40">
        <f t="shared" ca="1" si="87"/>
        <v>1.6201991922216621</v>
      </c>
      <c r="CE36" s="40">
        <f t="shared" ca="1" si="88"/>
        <v>3.8078549413232246</v>
      </c>
      <c r="CF36" s="40">
        <f t="shared" ca="1" si="89"/>
        <v>9.8332139776921075</v>
      </c>
      <c r="CG36" s="40">
        <f t="shared" ca="1" si="90"/>
        <v>1130.705049806294</v>
      </c>
      <c r="CH36" s="54">
        <f t="shared" ca="1" si="91"/>
        <v>0.26642814148036953</v>
      </c>
      <c r="CJ36" s="40">
        <f t="shared" si="92"/>
        <v>0.19493110653448706</v>
      </c>
      <c r="CK36" s="40">
        <f t="shared" si="93"/>
        <v>-7.9605295924928446E-2</v>
      </c>
      <c r="CL36" s="40">
        <f t="shared" ca="1" si="94"/>
        <v>815.54637210881913</v>
      </c>
      <c r="CM36" s="2"/>
      <c r="CN36" s="1">
        <f t="shared" si="95"/>
        <v>1.1816730826522071</v>
      </c>
      <c r="CO36" s="1">
        <f t="shared" si="96"/>
        <v>1.4897569818274685E-2</v>
      </c>
      <c r="CP36" s="1">
        <f t="shared" si="97"/>
        <v>0.37661458793067937</v>
      </c>
      <c r="CQ36" s="1">
        <f t="shared" si="98"/>
        <v>0.12109166221272046</v>
      </c>
      <c r="CR36" s="1">
        <f t="shared" si="99"/>
        <v>2.6784140969162997E-3</v>
      </c>
      <c r="CS36" s="1">
        <f t="shared" si="100"/>
        <v>0.12355971060231638</v>
      </c>
      <c r="CT36" s="1">
        <f t="shared" si="101"/>
        <v>0.16049246220402516</v>
      </c>
      <c r="CU36" s="1">
        <f t="shared" si="102"/>
        <v>0.12004085261274401</v>
      </c>
      <c r="CV36" s="1">
        <f t="shared" si="103"/>
        <v>8.917576117881864E-3</v>
      </c>
      <c r="CW36" s="1">
        <f t="shared" si="104"/>
        <v>1.3158050555861847E-3</v>
      </c>
      <c r="CX36" s="1">
        <f t="shared" si="105"/>
        <v>1.9727062006383114E-3</v>
      </c>
      <c r="CY36" s="1">
        <f t="shared" si="106"/>
        <v>2.1132544295039897</v>
      </c>
      <c r="DA36" s="1">
        <f t="shared" si="107"/>
        <v>0.55917217830205246</v>
      </c>
      <c r="DB36" s="1">
        <f t="shared" si="108"/>
        <v>7.0495864626065651E-3</v>
      </c>
      <c r="DC36" s="1">
        <f t="shared" si="109"/>
        <v>0.17821544943789663</v>
      </c>
      <c r="DD36" s="1">
        <f t="shared" si="110"/>
        <v>5.7301033194163166E-2</v>
      </c>
      <c r="DE36" s="1">
        <f t="shared" si="111"/>
        <v>1.2674356951637674E-3</v>
      </c>
      <c r="DF36" s="1">
        <f t="shared" si="112"/>
        <v>5.8468923039862064E-2</v>
      </c>
      <c r="DG36" s="1">
        <f t="shared" si="113"/>
        <v>7.5945640980719473E-2</v>
      </c>
      <c r="DH36" s="1">
        <f t="shared" si="114"/>
        <v>5.6803786111509193E-2</v>
      </c>
      <c r="DI36" s="1">
        <f t="shared" si="115"/>
        <v>4.2198307943331478E-3</v>
      </c>
      <c r="DJ36" s="1">
        <f t="shared" si="116"/>
        <v>6.2264393591973807E-4</v>
      </c>
      <c r="DK36" s="1">
        <f t="shared" si="117"/>
        <v>9.3349204577384138E-4</v>
      </c>
      <c r="DL36" s="1">
        <f t="shared" si="118"/>
        <v>1</v>
      </c>
      <c r="DM36" s="156">
        <f t="shared" si="119"/>
        <v>50.504401091479231</v>
      </c>
      <c r="DN36" s="1">
        <f t="shared" si="120"/>
        <v>0.83715712756909877</v>
      </c>
      <c r="DO36" s="1">
        <f t="shared" si="121"/>
        <v>9.1388453507063195E-3</v>
      </c>
      <c r="DP36" s="1">
        <f t="shared" si="122"/>
        <v>4.0407606830062476E-2</v>
      </c>
      <c r="DQ36" s="1">
        <f t="shared" si="123"/>
        <v>8.114533226438625E-2</v>
      </c>
      <c r="DR36" s="1">
        <f t="shared" si="124"/>
        <v>0</v>
      </c>
      <c r="DS36" s="1">
        <f t="shared" si="125"/>
        <v>0.37216780301902519</v>
      </c>
      <c r="DT36" s="1">
        <f t="shared" si="126"/>
        <v>0.40479765467015233</v>
      </c>
      <c r="DU36" s="1">
        <f t="shared" si="127"/>
        <v>3.8722855681530325E-3</v>
      </c>
      <c r="DV36" s="1">
        <f t="shared" si="128"/>
        <v>0</v>
      </c>
      <c r="DW36" s="1">
        <f t="shared" si="129"/>
        <v>1.8421270778206586E-3</v>
      </c>
      <c r="DX36" s="1">
        <f t="shared" si="130"/>
        <v>1.7505287823494051</v>
      </c>
      <c r="DZ36" s="1">
        <f t="shared" si="131"/>
        <v>1.6743142551381975</v>
      </c>
      <c r="EA36" s="1">
        <f t="shared" si="132"/>
        <v>1.8277690701412639E-2</v>
      </c>
      <c r="EB36" s="1">
        <f t="shared" si="133"/>
        <v>0.12122282049018743</v>
      </c>
      <c r="EC36" s="1">
        <f t="shared" si="134"/>
        <v>8.114533226438625E-2</v>
      </c>
      <c r="ED36" s="1">
        <f t="shared" si="135"/>
        <v>0</v>
      </c>
      <c r="EE36" s="1">
        <f t="shared" si="136"/>
        <v>0.37216780301902519</v>
      </c>
      <c r="EF36" s="1">
        <f t="shared" si="137"/>
        <v>0.40479765467015233</v>
      </c>
      <c r="EG36" s="1">
        <f t="shared" si="138"/>
        <v>3.8722855681530325E-3</v>
      </c>
      <c r="EH36" s="1">
        <f t="shared" si="139"/>
        <v>0</v>
      </c>
      <c r="EI36" s="1">
        <f t="shared" si="140"/>
        <v>5.5263812334619758E-3</v>
      </c>
      <c r="EJ36" s="1">
        <f t="shared" si="141"/>
        <v>2.6813242230849763</v>
      </c>
      <c r="EK36" s="1">
        <f t="shared" si="142"/>
        <v>2.2377002931397634</v>
      </c>
      <c r="EM36" s="1">
        <f t="shared" si="143"/>
        <v>1.8733067497654146</v>
      </c>
      <c r="EN36" s="1">
        <f t="shared" si="144"/>
        <v>2.0449996920234494E-2</v>
      </c>
      <c r="EO36" s="1">
        <f t="shared" si="145"/>
        <v>0.12669325023458544</v>
      </c>
      <c r="EP36" s="1">
        <f t="shared" si="146"/>
        <v>5.4146977062828783E-2</v>
      </c>
      <c r="EQ36" s="1">
        <f t="shared" si="147"/>
        <v>0.18084022729741422</v>
      </c>
      <c r="ER36" s="1">
        <f t="shared" si="148"/>
        <v>0.18157893379494061</v>
      </c>
      <c r="ES36" s="1">
        <f t="shared" si="149"/>
        <v>0</v>
      </c>
      <c r="ET36" s="1">
        <f t="shared" si="150"/>
        <v>0.83280000191285442</v>
      </c>
      <c r="EU36" s="1">
        <f t="shared" si="151"/>
        <v>0.90581583051768855</v>
      </c>
      <c r="EV36" s="1">
        <f t="shared" si="152"/>
        <v>1.7330029101953831E-2</v>
      </c>
      <c r="EW36" s="1">
        <f t="shared" si="153"/>
        <v>0</v>
      </c>
      <c r="EX36" s="1">
        <f t="shared" si="154"/>
        <v>8.2442566040799668E-3</v>
      </c>
      <c r="EY36" s="1">
        <f t="shared" si="155"/>
        <v>4.0203660259145799</v>
      </c>
      <c r="EZ36" s="1">
        <f t="shared" si="156"/>
        <v>4.0732051829161536E-2</v>
      </c>
      <c r="FA36" s="1">
        <f t="shared" si="157"/>
        <v>6.0788572333875024E-2</v>
      </c>
      <c r="FB36" s="1">
        <f t="shared" si="158"/>
        <v>1.7330029101953831E-2</v>
      </c>
      <c r="FC36" s="1">
        <f t="shared" si="159"/>
        <v>3.6816947960874952E-2</v>
      </c>
      <c r="FD36" s="1">
        <f t="shared" si="160"/>
        <v>4.4938151136855245E-2</v>
      </c>
      <c r="FE36" s="1">
        <f t="shared" si="161"/>
        <v>4.1221283020399834E-3</v>
      </c>
      <c r="FF36" s="2">
        <f t="shared" si="162"/>
        <v>0.81993860311791833</v>
      </c>
      <c r="FG36" s="1">
        <f t="shared" si="163"/>
        <v>9.7220166294938348E-2</v>
      </c>
      <c r="FH36" s="1">
        <f t="shared" si="164"/>
        <v>1.0203660259145808</v>
      </c>
      <c r="FI36" s="1">
        <f t="shared" si="165"/>
        <v>0.81993860311791833</v>
      </c>
      <c r="FJ36" s="1">
        <f t="shared" si="166"/>
        <v>1.7001955570885188</v>
      </c>
      <c r="FK36" s="1">
        <f t="shared" si="167"/>
        <v>-3.9977619487659557</v>
      </c>
      <c r="FL36" s="1">
        <f t="shared" si="168"/>
        <v>-3.9977619487659557</v>
      </c>
      <c r="FM36" s="1">
        <f t="shared" si="169"/>
        <v>0.50504401091479234</v>
      </c>
      <c r="FN36" s="67">
        <f t="shared" ca="1" si="170"/>
        <v>1414.0574971684903</v>
      </c>
      <c r="FO36" s="67">
        <f t="shared" ca="1" si="171"/>
        <v>0.44676912694757576</v>
      </c>
      <c r="FP36" s="1">
        <f t="shared" ca="1" si="172"/>
        <v>0.14140574971684902</v>
      </c>
      <c r="FQ36" s="2">
        <f t="shared" ca="1" si="173"/>
        <v>1.6971370400732482</v>
      </c>
      <c r="FR36" s="2">
        <f t="shared" ca="1" si="174"/>
        <v>5.9627243309072622</v>
      </c>
      <c r="FS36" s="1">
        <f t="shared" ca="1" si="175"/>
        <v>3.8247537873984268</v>
      </c>
      <c r="FT36" s="1">
        <f t="shared" si="176"/>
        <v>6.8922235400902546E-2</v>
      </c>
      <c r="FU36" s="2">
        <f t="shared" si="177"/>
        <v>82.099496805082822</v>
      </c>
      <c r="FV36" s="2">
        <f t="shared" ca="1" si="178"/>
        <v>8.5052696873245797</v>
      </c>
      <c r="FW36" s="2">
        <f t="shared" ca="1" si="179"/>
        <v>0.26273363797455423</v>
      </c>
      <c r="FX36" s="2">
        <f t="shared" si="180"/>
        <v>0.22247816091954029</v>
      </c>
      <c r="FY36" s="1">
        <f t="shared" si="181"/>
        <v>0.92314585961964235</v>
      </c>
      <c r="FZ36" s="1">
        <f t="shared" si="182"/>
        <v>0.12357328241630479</v>
      </c>
      <c r="GA36" s="1">
        <f t="shared" si="183"/>
        <v>0.13064123128324104</v>
      </c>
      <c r="GB36" s="1">
        <f t="shared" si="184"/>
        <v>0.92540302601693669</v>
      </c>
      <c r="GC36" s="1">
        <f t="shared" si="185"/>
        <v>4.8243857861696826E-2</v>
      </c>
      <c r="GD36" s="1">
        <f t="shared" si="186"/>
        <v>0.14084688196577907</v>
      </c>
      <c r="GE36" s="1">
        <f t="shared" si="187"/>
        <v>0.86935876871675899</v>
      </c>
      <c r="GF36" s="1">
        <f t="shared" si="188"/>
        <v>0.31645872048021251</v>
      </c>
      <c r="GG36" s="1">
        <f t="shared" si="189"/>
        <v>-1.0824666038733648E-2</v>
      </c>
      <c r="GH36" s="1">
        <f t="shared" si="190"/>
        <v>2.3794176797551657E-2</v>
      </c>
      <c r="GI36" s="1">
        <f t="shared" si="191"/>
        <v>2.3794176797551657E-2</v>
      </c>
      <c r="GJ36" s="1">
        <f t="shared" si="192"/>
        <v>0.11705270516822741</v>
      </c>
      <c r="GK36" s="1">
        <f t="shared" si="193"/>
        <v>5.3059963582805993E-2</v>
      </c>
      <c r="GL36" s="1">
        <f t="shared" si="194"/>
        <v>0.77974003833004846</v>
      </c>
      <c r="GM36" s="1">
        <f t="shared" si="195"/>
        <v>0.90581583051768855</v>
      </c>
      <c r="GN36" s="1">
        <f t="shared" si="196"/>
        <v>1.7330029101953831E-2</v>
      </c>
      <c r="GO36" s="1">
        <f t="shared" si="197"/>
        <v>439.91002708917955</v>
      </c>
      <c r="GP36" s="1">
        <f t="shared" si="198"/>
        <v>11.788859467150782</v>
      </c>
      <c r="GQ36" s="1">
        <f t="shared" si="199"/>
        <v>2.1847553311657006</v>
      </c>
      <c r="GR36" s="1">
        <f t="shared" si="200"/>
        <v>8.9848062994189425E-6</v>
      </c>
      <c r="GS36" s="1">
        <f t="shared" si="201"/>
        <v>1837.7772740133462</v>
      </c>
      <c r="GT36" s="1">
        <f t="shared" ca="1" si="202"/>
        <v>0.35474848537767112</v>
      </c>
      <c r="GU36" s="2">
        <f t="shared" ca="1" si="203"/>
        <v>22.807838977692096</v>
      </c>
      <c r="GV36" s="4">
        <f t="shared" ca="1" si="204"/>
        <v>3.0256521101826159</v>
      </c>
      <c r="GW36" s="4">
        <f t="shared" ca="1" si="205"/>
        <v>2.5090131551867803</v>
      </c>
      <c r="GX36" s="4">
        <f t="shared" si="206"/>
        <v>4.1400000000000006</v>
      </c>
      <c r="GY36" s="4">
        <f t="shared" si="207"/>
        <v>9.6481599999999972</v>
      </c>
      <c r="GZ36" s="4">
        <f t="shared" ca="1" si="208"/>
        <v>3.0256521101826159</v>
      </c>
      <c r="HA36" s="1">
        <f t="shared" si="209"/>
        <v>439.91002708917955</v>
      </c>
      <c r="HB36" s="1">
        <f t="shared" si="210"/>
        <v>11.788859467150782</v>
      </c>
      <c r="HC36" s="4">
        <f t="shared" si="211"/>
        <v>9.7795680705360155E-2</v>
      </c>
      <c r="HD36" s="4"/>
      <c r="HE36" s="7">
        <f t="shared" si="212"/>
        <v>0.14084688196577907</v>
      </c>
      <c r="HF36" s="7">
        <f t="shared" si="213"/>
        <v>0.83280000191285442</v>
      </c>
      <c r="HG36" s="7">
        <f t="shared" si="214"/>
        <v>1.7330029101953831E-2</v>
      </c>
      <c r="HH36" s="7">
        <f t="shared" si="215"/>
        <v>0</v>
      </c>
      <c r="HI36" s="7">
        <f t="shared" si="216"/>
        <v>2.3402022727207705E-2</v>
      </c>
      <c r="HJ36" s="7">
        <f t="shared" si="217"/>
        <v>0</v>
      </c>
      <c r="HK36" s="7">
        <f t="shared" si="218"/>
        <v>0</v>
      </c>
      <c r="HL36" s="7">
        <f t="shared" si="219"/>
        <v>5.4146977062828783E-2</v>
      </c>
      <c r="HM36" s="7">
        <f t="shared" si="220"/>
        <v>0.10329122750737774</v>
      </c>
      <c r="HN36" s="7">
        <f t="shared" si="221"/>
        <v>0.14465910002679763</v>
      </c>
      <c r="HO36" s="7">
        <f t="shared" si="222"/>
        <v>0.66641540900879304</v>
      </c>
      <c r="HP36" s="7">
        <f t="shared" si="223"/>
        <v>0.11270717127431008</v>
      </c>
      <c r="HQ36" s="7">
        <f t="shared" si="224"/>
        <v>6.5736489599601933E-2</v>
      </c>
      <c r="HR36" s="7">
        <f t="shared" si="225"/>
        <v>1.1117650780755703E-2</v>
      </c>
      <c r="HS36" s="7">
        <f t="shared" si="226"/>
        <v>1.7330029101953831E-2</v>
      </c>
      <c r="HT36" s="7"/>
      <c r="HU36" s="16">
        <f t="shared" si="227"/>
        <v>-8.770683973521862E-7</v>
      </c>
      <c r="HV36" s="16">
        <f t="shared" si="228"/>
        <v>1.6489344763633537E-12</v>
      </c>
      <c r="HW36" s="16">
        <f t="shared" si="229"/>
        <v>2.7212985798354358E-5</v>
      </c>
      <c r="HX36" s="16">
        <f t="shared" si="230"/>
        <v>7.7687057609839341E-9</v>
      </c>
      <c r="HY36" s="7">
        <f t="shared" si="231"/>
        <v>2.1847553311657006</v>
      </c>
      <c r="HZ36" s="7">
        <f t="shared" ca="1" si="232"/>
        <v>457.20952379773445</v>
      </c>
      <c r="IA36" s="7">
        <f t="shared" ca="1" si="233"/>
        <v>3.0256521101826159</v>
      </c>
      <c r="IB36" s="7">
        <f t="shared" ca="1" si="234"/>
        <v>457.2097231310799</v>
      </c>
      <c r="IC36" s="7">
        <f t="shared" ca="1" si="235"/>
        <v>2.5090131551867803</v>
      </c>
      <c r="ID36" s="7">
        <f t="shared" ca="1" si="236"/>
        <v>3.0256521101826159</v>
      </c>
      <c r="IE36" s="7"/>
      <c r="IF36" s="2">
        <f t="shared" si="237"/>
        <v>6.8922235400902546E-2</v>
      </c>
      <c r="IG36" s="17">
        <f t="shared" ca="1" si="238"/>
        <v>1099.8490796717338</v>
      </c>
      <c r="IH36" s="17"/>
      <c r="II36" s="7">
        <f t="shared" si="239"/>
        <v>2.0735940187551152</v>
      </c>
      <c r="IJ36" s="17">
        <f t="shared" si="240"/>
        <v>1837.7772740133462</v>
      </c>
      <c r="IK36" s="16">
        <f t="shared" si="241"/>
        <v>1.2695258267441407E-5</v>
      </c>
      <c r="IM36" s="1">
        <f t="shared" si="242"/>
        <v>1</v>
      </c>
      <c r="IN36" s="166">
        <f t="shared" si="243"/>
        <v>0.43370600553707628</v>
      </c>
      <c r="IO36" s="166">
        <f t="shared" si="244"/>
        <v>9.4562768834053929E-2</v>
      </c>
      <c r="IP36" s="166">
        <f t="shared" si="245"/>
        <v>0.47173122562886988</v>
      </c>
      <c r="IR36" s="167">
        <f t="shared" si="246"/>
        <v>0.38154583018529487</v>
      </c>
      <c r="IS36" s="167">
        <f t="shared" si="247"/>
        <v>0.47173122562886988</v>
      </c>
      <c r="IU36" s="169">
        <v>0.1</v>
      </c>
      <c r="IV36" s="169">
        <v>0.9</v>
      </c>
      <c r="IW36" s="169">
        <v>0</v>
      </c>
      <c r="IX36" s="169"/>
      <c r="IY36" s="167">
        <f t="shared" si="248"/>
        <v>1.0392304845413263</v>
      </c>
      <c r="IZ36" s="167">
        <f t="shared" si="249"/>
        <v>0</v>
      </c>
    </row>
    <row r="37" spans="1:260" ht="13.2">
      <c r="A37" s="139" t="s">
        <v>201</v>
      </c>
      <c r="B37" s="139" t="s">
        <v>202</v>
      </c>
      <c r="C37" s="78">
        <f t="shared" si="43"/>
        <v>1.9</v>
      </c>
      <c r="D37" s="133">
        <f t="shared" ca="1" si="44"/>
        <v>1007.7414499876528</v>
      </c>
      <c r="E37" s="15">
        <f t="shared" ca="1" si="45"/>
        <v>0.76808332287829773</v>
      </c>
      <c r="F37" s="123">
        <v>51.5</v>
      </c>
      <c r="G37" s="123">
        <v>1.19</v>
      </c>
      <c r="H37" s="123">
        <v>19.2</v>
      </c>
      <c r="I37" s="123">
        <v>8.6999999999999993</v>
      </c>
      <c r="J37" s="123">
        <v>0.19</v>
      </c>
      <c r="K37" s="132">
        <v>4.9800000000000004</v>
      </c>
      <c r="L37" s="123">
        <v>10</v>
      </c>
      <c r="M37" s="123">
        <v>3.72</v>
      </c>
      <c r="N37" s="123">
        <v>0.42</v>
      </c>
      <c r="O37" s="123">
        <v>0</v>
      </c>
      <c r="P37" s="123">
        <v>0.14000000000000001</v>
      </c>
      <c r="Q37" s="123">
        <v>6.2</v>
      </c>
      <c r="R37" s="119" t="e">
        <f t="shared" ca="1" si="46"/>
        <v>#NUM!</v>
      </c>
      <c r="T37" s="123">
        <v>50.3</v>
      </c>
      <c r="U37" s="123">
        <v>0.73</v>
      </c>
      <c r="V37" s="123">
        <v>4.12</v>
      </c>
      <c r="W37" s="123">
        <v>5.83</v>
      </c>
      <c r="X37" s="123">
        <v>0</v>
      </c>
      <c r="Y37" s="123">
        <v>15</v>
      </c>
      <c r="Z37" s="123">
        <v>22.7</v>
      </c>
      <c r="AA37" s="123">
        <v>0.01</v>
      </c>
      <c r="AB37" s="123">
        <v>0.2</v>
      </c>
      <c r="AC37" s="123">
        <v>0.28000000000000003</v>
      </c>
      <c r="AE37" s="112">
        <f t="shared" ca="1" si="47"/>
        <v>1162.1505482125979</v>
      </c>
      <c r="AF37" s="165">
        <f t="shared" ca="1" si="48"/>
        <v>889.00054821259789</v>
      </c>
      <c r="AG37" s="165">
        <f t="shared" ca="1" si="49"/>
        <v>-13.689099696080232</v>
      </c>
      <c r="AH37" s="91">
        <f t="shared" ca="1" si="50"/>
        <v>1249.786023393382</v>
      </c>
      <c r="AI37" s="91">
        <f t="shared" ca="1" si="51"/>
        <v>-18.505803450970888</v>
      </c>
      <c r="AJ37" s="91"/>
      <c r="AK37" s="91">
        <f t="shared" ca="1" si="52"/>
        <v>1280.8914499876528</v>
      </c>
      <c r="AL37" s="91">
        <f t="shared" ca="1" si="53"/>
        <v>-13.896425592454428</v>
      </c>
      <c r="AM37" s="91"/>
      <c r="AN37" s="91">
        <f t="shared" ca="1" si="54"/>
        <v>1134.9503366109311</v>
      </c>
      <c r="AO37" s="91">
        <f t="shared" ca="1" si="55"/>
        <v>861.80033661093114</v>
      </c>
      <c r="AP37" s="91">
        <f t="shared" ca="1" si="56"/>
        <v>-21.326917055689464</v>
      </c>
      <c r="AQ37" s="91"/>
      <c r="AR37" s="91">
        <f t="shared" ca="1" si="57"/>
        <v>1149.8326349786148</v>
      </c>
      <c r="AS37" s="91">
        <f t="shared" ca="1" si="58"/>
        <v>876.68263497861483</v>
      </c>
      <c r="AT37" s="40">
        <f t="shared" ca="1" si="59"/>
        <v>-20.961310722232415</v>
      </c>
      <c r="AV37" s="40">
        <f t="shared" si="60"/>
        <v>1257.9514567462684</v>
      </c>
      <c r="AW37" s="40">
        <f t="shared" si="61"/>
        <v>984.8014567462684</v>
      </c>
      <c r="AX37" s="40">
        <f t="shared" ca="1" si="62"/>
        <v>1249.786023393382</v>
      </c>
      <c r="AY37" s="40">
        <f t="shared" ca="1" si="63"/>
        <v>976.63602339338206</v>
      </c>
      <c r="AZ37" s="40">
        <f t="shared" ca="1" si="64"/>
        <v>-18.505803450970888</v>
      </c>
      <c r="BA37" s="40"/>
      <c r="BB37" s="40">
        <f t="shared" ca="1" si="65"/>
        <v>1280.8914499876528</v>
      </c>
      <c r="BC37" s="40">
        <f t="shared" ca="1" si="66"/>
        <v>-13.896425592454428</v>
      </c>
      <c r="BD37" s="40">
        <f t="shared" ca="1" si="67"/>
        <v>1007.7414499876528</v>
      </c>
      <c r="BE37" s="40">
        <f t="shared" ca="1" si="68"/>
        <v>-12.200114532352551</v>
      </c>
      <c r="BF37" s="40">
        <f t="shared" ca="1" si="69"/>
        <v>-7.7995980751184106</v>
      </c>
      <c r="BG37" s="40">
        <f t="shared" ca="1" si="70"/>
        <v>874.12811662977776</v>
      </c>
      <c r="BH37" s="40">
        <f t="shared" ca="1" si="71"/>
        <v>894.71357782678285</v>
      </c>
      <c r="BI37" s="40">
        <f t="shared" ca="1" si="72"/>
        <v>894.71357782678285</v>
      </c>
      <c r="BJ37" s="40">
        <f t="shared" ca="1" si="73"/>
        <v>1079.8487401179082</v>
      </c>
      <c r="BK37" s="70">
        <f t="shared" ca="1" si="74"/>
        <v>2.0553217779687407</v>
      </c>
      <c r="BL37" s="70">
        <f t="shared" ca="1" si="75"/>
        <v>1.580198836346032</v>
      </c>
      <c r="BM37" s="70">
        <f t="shared" ca="1" si="76"/>
        <v>0.15585202776253568</v>
      </c>
      <c r="BN37" s="180">
        <f t="shared" ca="1" si="27"/>
        <v>9.1580384072394855E-3</v>
      </c>
      <c r="BO37" s="180">
        <f t="shared" ca="1" si="28"/>
        <v>1.7367705761454626E-2</v>
      </c>
      <c r="BP37" s="180">
        <f t="shared" ca="1" si="29"/>
        <v>6.7218866482892242E-2</v>
      </c>
      <c r="BQ37" s="70">
        <f t="shared" si="77"/>
        <v>0</v>
      </c>
      <c r="BR37" s="40">
        <f t="shared" ca="1" si="78"/>
        <v>1.8297954747601539</v>
      </c>
      <c r="BS37" s="53"/>
      <c r="BT37" s="70">
        <f t="shared" si="79"/>
        <v>0.81211551346773425</v>
      </c>
      <c r="BU37" s="70">
        <f t="shared" si="80"/>
        <v>0.1014322140740006</v>
      </c>
      <c r="BV37" s="70">
        <f t="shared" si="81"/>
        <v>5.4641519211802728E-2</v>
      </c>
      <c r="BW37" s="70">
        <f t="shared" si="82"/>
        <v>7.2251237131889005E-4</v>
      </c>
      <c r="BX37" s="180">
        <f t="shared" si="83"/>
        <v>3.5470910955277483E-2</v>
      </c>
      <c r="BY37" s="70">
        <f t="shared" si="84"/>
        <v>4.1245706077460715E-3</v>
      </c>
      <c r="BZ37" s="70">
        <f t="shared" si="85"/>
        <v>1.0085072406878801</v>
      </c>
      <c r="CA37" s="70">
        <f t="shared" si="86"/>
        <v>0.22247816091954031</v>
      </c>
      <c r="CB37" s="53"/>
      <c r="CC37" s="40"/>
      <c r="CD37" s="40">
        <f t="shared" ca="1" si="87"/>
        <v>1.3277354841479792</v>
      </c>
      <c r="CE37" s="40">
        <f t="shared" ca="1" si="88"/>
        <v>-8.5741064605634776</v>
      </c>
      <c r="CF37" s="40">
        <f t="shared" ca="1" si="89"/>
        <v>-0.91106628098163078</v>
      </c>
      <c r="CG37" s="40">
        <f t="shared" ca="1" si="90"/>
        <v>979.1019239226747</v>
      </c>
      <c r="CH37" s="54">
        <f t="shared" ca="1" si="91"/>
        <v>0.22708396300559405</v>
      </c>
      <c r="CJ37" s="40">
        <f t="shared" si="92"/>
        <v>-0.36803243034136535</v>
      </c>
      <c r="CK37" s="40">
        <f t="shared" si="93"/>
        <v>-0.66294021060175623</v>
      </c>
      <c r="CL37" s="40">
        <f t="shared" ca="1" si="94"/>
        <v>803.96980665842955</v>
      </c>
      <c r="CM37" s="2"/>
      <c r="CN37" s="1">
        <f t="shared" si="95"/>
        <v>0.85712906699420643</v>
      </c>
      <c r="CO37" s="1">
        <f t="shared" si="96"/>
        <v>1.4897569818274685E-2</v>
      </c>
      <c r="CP37" s="1">
        <f t="shared" si="97"/>
        <v>0.37661458793067937</v>
      </c>
      <c r="CQ37" s="1">
        <f t="shared" si="98"/>
        <v>0.12109166221272046</v>
      </c>
      <c r="CR37" s="1">
        <f t="shared" si="99"/>
        <v>2.6784140969162997E-3</v>
      </c>
      <c r="CS37" s="1">
        <f t="shared" si="100"/>
        <v>0.12355971060231638</v>
      </c>
      <c r="CT37" s="1">
        <f t="shared" si="101"/>
        <v>0.1783249580044724</v>
      </c>
      <c r="CU37" s="1">
        <f t="shared" si="102"/>
        <v>0.12004085261274401</v>
      </c>
      <c r="CV37" s="1">
        <f t="shared" si="103"/>
        <v>8.917576117881864E-3</v>
      </c>
      <c r="CW37" s="1">
        <f t="shared" si="104"/>
        <v>0</v>
      </c>
      <c r="CX37" s="1">
        <f t="shared" si="105"/>
        <v>1.9727062006383114E-3</v>
      </c>
      <c r="CY37" s="1">
        <f t="shared" si="106"/>
        <v>1.8052271045908503</v>
      </c>
      <c r="DA37" s="1">
        <f t="shared" si="107"/>
        <v>0.47480400932073991</v>
      </c>
      <c r="DB37" s="1">
        <f t="shared" si="108"/>
        <v>8.2524629618006863E-3</v>
      </c>
      <c r="DC37" s="1">
        <f t="shared" si="109"/>
        <v>0.20862449216107798</v>
      </c>
      <c r="DD37" s="1">
        <f t="shared" si="110"/>
        <v>6.7078353690111212E-2</v>
      </c>
      <c r="DE37" s="1">
        <f t="shared" si="111"/>
        <v>1.4836992476485969E-3</v>
      </c>
      <c r="DF37" s="1">
        <f t="shared" si="112"/>
        <v>6.8445521501473816E-2</v>
      </c>
      <c r="DG37" s="1">
        <f t="shared" si="113"/>
        <v>9.8782561790135129E-2</v>
      </c>
      <c r="DH37" s="1">
        <f t="shared" si="114"/>
        <v>6.6496260945489702E-2</v>
      </c>
      <c r="DI37" s="1">
        <f t="shared" si="115"/>
        <v>4.9398638515916853E-3</v>
      </c>
      <c r="DJ37" s="1">
        <f t="shared" si="116"/>
        <v>0</v>
      </c>
      <c r="DK37" s="1">
        <f t="shared" si="117"/>
        <v>1.0927745299311909E-3</v>
      </c>
      <c r="DL37" s="1">
        <f t="shared" si="118"/>
        <v>0.99999999999999989</v>
      </c>
      <c r="DM37" s="156">
        <f t="shared" si="119"/>
        <v>50.504401091479224</v>
      </c>
      <c r="DN37" s="1">
        <f t="shared" si="120"/>
        <v>0.83715712756909877</v>
      </c>
      <c r="DO37" s="1">
        <f t="shared" si="121"/>
        <v>9.1388453507063195E-3</v>
      </c>
      <c r="DP37" s="1">
        <f t="shared" si="122"/>
        <v>4.0407606830062476E-2</v>
      </c>
      <c r="DQ37" s="1">
        <f t="shared" si="123"/>
        <v>8.114533226438625E-2</v>
      </c>
      <c r="DR37" s="1">
        <f t="shared" si="124"/>
        <v>0</v>
      </c>
      <c r="DS37" s="1">
        <f t="shared" si="125"/>
        <v>0.37216780301902519</v>
      </c>
      <c r="DT37" s="1">
        <f t="shared" si="126"/>
        <v>0.40479765467015233</v>
      </c>
      <c r="DU37" s="1">
        <f t="shared" si="127"/>
        <v>1.6134523200637637E-4</v>
      </c>
      <c r="DV37" s="1">
        <f t="shared" si="128"/>
        <v>2.1232324090194915E-3</v>
      </c>
      <c r="DW37" s="1">
        <f t="shared" si="129"/>
        <v>1.8421270778206586E-3</v>
      </c>
      <c r="DX37" s="1">
        <f t="shared" si="130"/>
        <v>1.748941074422278</v>
      </c>
      <c r="DZ37" s="1">
        <f t="shared" si="131"/>
        <v>1.6743142551381975</v>
      </c>
      <c r="EA37" s="1">
        <f t="shared" si="132"/>
        <v>1.8277690701412639E-2</v>
      </c>
      <c r="EB37" s="1">
        <f t="shared" si="133"/>
        <v>0.12122282049018743</v>
      </c>
      <c r="EC37" s="1">
        <f t="shared" si="134"/>
        <v>8.114533226438625E-2</v>
      </c>
      <c r="ED37" s="1">
        <f t="shared" si="135"/>
        <v>0</v>
      </c>
      <c r="EE37" s="1">
        <f t="shared" si="136"/>
        <v>0.37216780301902519</v>
      </c>
      <c r="EF37" s="1">
        <f t="shared" si="137"/>
        <v>0.40479765467015233</v>
      </c>
      <c r="EG37" s="1">
        <f t="shared" si="138"/>
        <v>1.6134523200637637E-4</v>
      </c>
      <c r="EH37" s="1">
        <f t="shared" si="139"/>
        <v>2.1232324090194915E-3</v>
      </c>
      <c r="EI37" s="1">
        <f t="shared" si="140"/>
        <v>5.5263812334619758E-3</v>
      </c>
      <c r="EJ37" s="1">
        <f t="shared" si="141"/>
        <v>2.6797365151578494</v>
      </c>
      <c r="EK37" s="1">
        <f t="shared" si="142"/>
        <v>2.2390261005368175</v>
      </c>
      <c r="EM37" s="1">
        <f t="shared" si="143"/>
        <v>1.8744166588776423</v>
      </c>
      <c r="EN37" s="1">
        <f t="shared" si="144"/>
        <v>2.0462113269000996E-2</v>
      </c>
      <c r="EO37" s="1">
        <f t="shared" si="145"/>
        <v>0.12558334112235769</v>
      </c>
      <c r="EP37" s="1">
        <f t="shared" si="146"/>
        <v>5.5364031583121615E-2</v>
      </c>
      <c r="EQ37" s="1">
        <f t="shared" si="147"/>
        <v>0.18094737270547931</v>
      </c>
      <c r="ER37" s="1">
        <f t="shared" si="148"/>
        <v>0.18168651687669315</v>
      </c>
      <c r="ES37" s="1">
        <f t="shared" si="149"/>
        <v>0</v>
      </c>
      <c r="ET37" s="1">
        <f t="shared" si="150"/>
        <v>0.83329342473904233</v>
      </c>
      <c r="EU37" s="1">
        <f t="shared" si="151"/>
        <v>0.90635251424256047</v>
      </c>
      <c r="EV37" s="1">
        <f t="shared" si="152"/>
        <v>7.2251237131889005E-4</v>
      </c>
      <c r="EW37" s="1">
        <f t="shared" si="153"/>
        <v>9.5079455626006105E-3</v>
      </c>
      <c r="EX37" s="1">
        <f t="shared" si="154"/>
        <v>8.249141215492143E-3</v>
      </c>
      <c r="EY37" s="1">
        <f t="shared" si="155"/>
        <v>4.0156381998598301</v>
      </c>
      <c r="EZ37" s="1">
        <f t="shared" si="156"/>
        <v>2.1768454157060847E-2</v>
      </c>
      <c r="FA37" s="1">
        <f t="shared" si="157"/>
        <v>4.6731898885838064E-2</v>
      </c>
      <c r="FB37" s="1">
        <f t="shared" si="158"/>
        <v>7.2251237131889005E-4</v>
      </c>
      <c r="FC37" s="1">
        <f t="shared" si="159"/>
        <v>5.4641519211802728E-2</v>
      </c>
      <c r="FD37" s="1">
        <f t="shared" si="160"/>
        <v>3.5470910955277483E-2</v>
      </c>
      <c r="FE37" s="1">
        <f t="shared" si="161"/>
        <v>4.1245706077460715E-3</v>
      </c>
      <c r="FF37" s="2">
        <f t="shared" si="162"/>
        <v>0.81211551346773425</v>
      </c>
      <c r="FG37" s="1">
        <f t="shared" si="163"/>
        <v>0.1014322140740006</v>
      </c>
      <c r="FH37" s="1">
        <f t="shared" si="164"/>
        <v>1.0085072406878801</v>
      </c>
      <c r="FI37" s="1">
        <f t="shared" si="165"/>
        <v>0.81211551346773425</v>
      </c>
      <c r="FJ37" s="1">
        <f t="shared" si="166"/>
        <v>-1.4652407805817007</v>
      </c>
      <c r="FK37" s="1">
        <f t="shared" si="167"/>
        <v>-7.0602760771259945</v>
      </c>
      <c r="FL37" s="1">
        <f t="shared" si="168"/>
        <v>-7.0602760771259945</v>
      </c>
      <c r="FM37" s="1">
        <f t="shared" si="169"/>
        <v>0.50504401091479223</v>
      </c>
      <c r="FN37" s="67">
        <f t="shared" ca="1" si="170"/>
        <v>1249.786023393382</v>
      </c>
      <c r="FO37" s="67">
        <f t="shared" ca="1" si="171"/>
        <v>-18.505803450970888</v>
      </c>
      <c r="FP37" s="1">
        <f t="shared" ca="1" si="172"/>
        <v>0.1249786023393382</v>
      </c>
      <c r="FQ37" s="2">
        <f t="shared" ca="1" si="173"/>
        <v>1.8414522288908843</v>
      </c>
      <c r="FR37" s="2">
        <f t="shared" ca="1" si="174"/>
        <v>5.8723218406741431</v>
      </c>
      <c r="FS37" s="1">
        <f t="shared" ca="1" si="175"/>
        <v>-7.8442658683075175</v>
      </c>
      <c r="FT37" s="1">
        <f t="shared" si="176"/>
        <v>7.5099225193530142E-2</v>
      </c>
      <c r="FU37" s="2">
        <f t="shared" si="177"/>
        <v>82.099496805082822</v>
      </c>
      <c r="FV37" s="2">
        <f t="shared" ca="1" si="178"/>
        <v>6.9051898920074315</v>
      </c>
      <c r="FW37" s="2">
        <f t="shared" ca="1" si="179"/>
        <v>0.23479696977788359</v>
      </c>
      <c r="FX37" s="2">
        <f t="shared" si="180"/>
        <v>0.22247816091954031</v>
      </c>
      <c r="FY37" s="1">
        <f t="shared" si="181"/>
        <v>0.9070750266138794</v>
      </c>
      <c r="FZ37" s="1">
        <f t="shared" si="182"/>
        <v>0.10584374022467559</v>
      </c>
      <c r="GA37" s="1">
        <f t="shared" si="183"/>
        <v>0.12948833137234572</v>
      </c>
      <c r="GB37" s="1">
        <f t="shared" si="184"/>
        <v>0.92417385514787731</v>
      </c>
      <c r="GC37" s="1">
        <f t="shared" si="185"/>
        <v>6.9037632310797292E-2</v>
      </c>
      <c r="GD37" s="1">
        <f t="shared" si="186"/>
        <v>0.1599180627196323</v>
      </c>
      <c r="GE37" s="1">
        <f t="shared" si="187"/>
        <v>0.87051166862765428</v>
      </c>
      <c r="GF37" s="1">
        <f t="shared" si="188"/>
        <v>0.34871211147217046</v>
      </c>
      <c r="GG37" s="1">
        <f t="shared" si="189"/>
        <v>-1.4860381722181796E-2</v>
      </c>
      <c r="GH37" s="1">
        <f t="shared" si="190"/>
        <v>2.9438404061073335E-2</v>
      </c>
      <c r="GI37" s="1">
        <f t="shared" si="191"/>
        <v>2.9438404061073335E-2</v>
      </c>
      <c r="GJ37" s="1">
        <f t="shared" si="192"/>
        <v>0.13047965865855896</v>
      </c>
      <c r="GK37" s="1">
        <f t="shared" si="193"/>
        <v>6.348656932504726E-2</v>
      </c>
      <c r="GL37" s="1">
        <f t="shared" si="194"/>
        <v>0.76980685541399507</v>
      </c>
      <c r="GM37" s="1">
        <f t="shared" si="195"/>
        <v>0.90635251424256047</v>
      </c>
      <c r="GN37" s="1">
        <f t="shared" si="196"/>
        <v>7.2251237131889005E-4</v>
      </c>
      <c r="GO37" s="1">
        <f t="shared" si="197"/>
        <v>440.04487291425892</v>
      </c>
      <c r="GP37" s="1">
        <f t="shared" si="198"/>
        <v>11.813002598070463</v>
      </c>
      <c r="GQ37" s="1">
        <f t="shared" si="199"/>
        <v>2.1385663620881359</v>
      </c>
      <c r="GR37" s="1">
        <f t="shared" si="200"/>
        <v>8.7948541640874583E-6</v>
      </c>
      <c r="GS37" s="1">
        <f t="shared" si="201"/>
        <v>1795.4091141660656</v>
      </c>
      <c r="GT37" s="1">
        <f t="shared" ca="1" si="202"/>
        <v>0.31032498457017366</v>
      </c>
      <c r="GU37" s="2">
        <f t="shared" ca="1" si="203"/>
        <v>12.063558719018381</v>
      </c>
      <c r="GV37" s="4">
        <f t="shared" ca="1" si="204"/>
        <v>4.9430950726924685</v>
      </c>
      <c r="GW37" s="4">
        <f t="shared" ca="1" si="205"/>
        <v>4.861662574455595</v>
      </c>
      <c r="GX37" s="4">
        <f t="shared" si="206"/>
        <v>4.1400000000000006</v>
      </c>
      <c r="GY37" s="4">
        <f t="shared" si="207"/>
        <v>5.3077524999999994</v>
      </c>
      <c r="GZ37" s="4">
        <f t="shared" ca="1" si="208"/>
        <v>4.9430950726924685</v>
      </c>
      <c r="HA37" s="1">
        <f t="shared" si="209"/>
        <v>440.04487291425892</v>
      </c>
      <c r="HB37" s="1">
        <f t="shared" si="210"/>
        <v>11.813002598070463</v>
      </c>
      <c r="HC37" s="4">
        <f t="shared" si="211"/>
        <v>-0.46844060096836415</v>
      </c>
      <c r="HD37" s="4"/>
      <c r="HE37" s="7">
        <f t="shared" si="212"/>
        <v>0.1599180627196323</v>
      </c>
      <c r="HF37" s="7">
        <f t="shared" si="213"/>
        <v>0.83329342473904233</v>
      </c>
      <c r="HG37" s="7">
        <f t="shared" si="214"/>
        <v>7.2251237131889005E-4</v>
      </c>
      <c r="HH37" s="7">
        <f t="shared" si="215"/>
        <v>0</v>
      </c>
      <c r="HI37" s="7">
        <f t="shared" si="216"/>
        <v>2.1045941785741956E-2</v>
      </c>
      <c r="HJ37" s="7">
        <f t="shared" si="217"/>
        <v>0</v>
      </c>
      <c r="HK37" s="7">
        <f t="shared" si="218"/>
        <v>0</v>
      </c>
      <c r="HL37" s="7">
        <f t="shared" si="219"/>
        <v>5.5364031583121615E-2</v>
      </c>
      <c r="HM37" s="7">
        <f t="shared" si="220"/>
        <v>0.10453739933661574</v>
      </c>
      <c r="HN37" s="7">
        <f t="shared" si="221"/>
        <v>0.16101108851329726</v>
      </c>
      <c r="HO37" s="7">
        <f t="shared" si="222"/>
        <v>0.65505667867849193</v>
      </c>
      <c r="HP37" s="7">
        <f t="shared" si="223"/>
        <v>0.12571249444171087</v>
      </c>
      <c r="HQ37" s="7">
        <f t="shared" si="224"/>
        <v>7.7963022271152121E-2</v>
      </c>
      <c r="HR37" s="7">
        <f t="shared" si="225"/>
        <v>1.4961951114968453E-2</v>
      </c>
      <c r="HS37" s="7">
        <f t="shared" si="226"/>
        <v>7.2251237131889005E-4</v>
      </c>
      <c r="HT37" s="7"/>
      <c r="HU37" s="16">
        <f t="shared" si="227"/>
        <v>-8.7733199935516481E-7</v>
      </c>
      <c r="HV37" s="16">
        <f t="shared" si="228"/>
        <v>1.6170638157004672E-12</v>
      </c>
      <c r="HW37" s="16">
        <f t="shared" si="229"/>
        <v>2.730662150896752E-5</v>
      </c>
      <c r="HX37" s="16">
        <f t="shared" si="230"/>
        <v>7.8546912270038412E-9</v>
      </c>
      <c r="HY37" s="7">
        <f t="shared" si="231"/>
        <v>2.1385663620881359</v>
      </c>
      <c r="HZ37" s="7">
        <f t="shared" ca="1" si="232"/>
        <v>455.18986326376933</v>
      </c>
      <c r="IA37" s="7">
        <f t="shared" ca="1" si="233"/>
        <v>4.9430950726924685</v>
      </c>
      <c r="IB37" s="7">
        <f t="shared" ca="1" si="234"/>
        <v>455.18989470147517</v>
      </c>
      <c r="IC37" s="7">
        <f t="shared" ca="1" si="235"/>
        <v>4.861662574455595</v>
      </c>
      <c r="ID37" s="7">
        <f t="shared" ca="1" si="236"/>
        <v>4.9430950726924685</v>
      </c>
      <c r="IE37" s="7"/>
      <c r="IF37" s="2">
        <f t="shared" si="237"/>
        <v>7.5099225193530142E-2</v>
      </c>
      <c r="IG37" s="17">
        <f t="shared" ca="1" si="238"/>
        <v>982.7414499876528</v>
      </c>
      <c r="IH37" s="17"/>
      <c r="II37" s="7">
        <f t="shared" si="239"/>
        <v>2.0749462755179264</v>
      </c>
      <c r="IJ37" s="17">
        <f t="shared" si="240"/>
        <v>1795.4091141660656</v>
      </c>
      <c r="IK37" s="16">
        <f t="shared" si="241"/>
        <v>1.2948527781216721E-5</v>
      </c>
      <c r="IM37" s="1">
        <f t="shared" si="242"/>
        <v>1</v>
      </c>
      <c r="IN37" s="166">
        <f t="shared" si="243"/>
        <v>0.43370600553707617</v>
      </c>
      <c r="IO37" s="166">
        <f t="shared" si="244"/>
        <v>9.4562768834053915E-2</v>
      </c>
      <c r="IP37" s="166">
        <f t="shared" si="245"/>
        <v>0.47173122562886988</v>
      </c>
      <c r="IR37" s="167">
        <f t="shared" si="246"/>
        <v>0.38154583018529487</v>
      </c>
      <c r="IS37" s="167">
        <f t="shared" si="247"/>
        <v>0.47173122562886988</v>
      </c>
      <c r="IU37" s="169">
        <v>0.1</v>
      </c>
      <c r="IV37" s="169">
        <v>0.9</v>
      </c>
      <c r="IW37" s="169">
        <v>0</v>
      </c>
      <c r="IX37" s="169"/>
      <c r="IY37" s="167">
        <f t="shared" si="248"/>
        <v>1.0392304845413263</v>
      </c>
      <c r="IZ37" s="167">
        <f t="shared" si="249"/>
        <v>0</v>
      </c>
    </row>
    <row r="38" spans="1:260" ht="13.2">
      <c r="A38" s="139" t="s">
        <v>201</v>
      </c>
      <c r="B38" s="139" t="s">
        <v>202</v>
      </c>
      <c r="C38" s="78">
        <f t="shared" si="43"/>
        <v>3</v>
      </c>
      <c r="D38" s="133">
        <f t="shared" ca="1" si="44"/>
        <v>1074.6726949800623</v>
      </c>
      <c r="E38" s="15">
        <f t="shared" ca="1" si="45"/>
        <v>-3.8537410469886679E-2</v>
      </c>
      <c r="F38" s="123">
        <v>51.5</v>
      </c>
      <c r="G38" s="123">
        <v>1.19</v>
      </c>
      <c r="H38" s="123">
        <v>19.2</v>
      </c>
      <c r="I38" s="123">
        <v>8.6999999999999993</v>
      </c>
      <c r="J38" s="123">
        <v>0.3</v>
      </c>
      <c r="K38" s="132">
        <v>3.1</v>
      </c>
      <c r="L38" s="123">
        <v>10</v>
      </c>
      <c r="M38" s="123">
        <v>3</v>
      </c>
      <c r="N38" s="123">
        <v>0.42</v>
      </c>
      <c r="O38" s="123">
        <v>0</v>
      </c>
      <c r="P38" s="123">
        <v>0.14000000000000001</v>
      </c>
      <c r="Q38" s="123">
        <v>6.2</v>
      </c>
      <c r="R38" s="119" t="e">
        <f t="shared" ca="1" si="46"/>
        <v>#NUM!</v>
      </c>
      <c r="T38" s="123">
        <v>50.3</v>
      </c>
      <c r="U38" s="123">
        <v>1</v>
      </c>
      <c r="V38" s="123">
        <v>4</v>
      </c>
      <c r="W38" s="123">
        <v>3</v>
      </c>
      <c r="X38" s="123">
        <v>0</v>
      </c>
      <c r="Y38" s="123">
        <v>15</v>
      </c>
      <c r="Z38" s="123">
        <v>22.7</v>
      </c>
      <c r="AA38" s="123">
        <v>0.24</v>
      </c>
      <c r="AB38" s="123">
        <v>0</v>
      </c>
      <c r="AC38" s="123">
        <v>0.28000000000000003</v>
      </c>
      <c r="AE38" s="112">
        <f t="shared" ca="1" si="47"/>
        <v>1254.6466487840867</v>
      </c>
      <c r="AF38" s="165">
        <f t="shared" ca="1" si="48"/>
        <v>981.49664878408669</v>
      </c>
      <c r="AG38" s="165">
        <f t="shared" ca="1" si="49"/>
        <v>1.7394704675570687</v>
      </c>
      <c r="AH38" s="91">
        <f t="shared" ca="1" si="50"/>
        <v>1369.042430821316</v>
      </c>
      <c r="AI38" s="91">
        <f t="shared" ca="1" si="51"/>
        <v>-2.7309155876682034E-2</v>
      </c>
      <c r="AJ38" s="91"/>
      <c r="AK38" s="91">
        <f t="shared" ca="1" si="52"/>
        <v>1347.8226949800621</v>
      </c>
      <c r="AL38" s="91">
        <f t="shared" ca="1" si="53"/>
        <v>-2.6257161504741875</v>
      </c>
      <c r="AM38" s="91"/>
      <c r="AN38" s="91">
        <f t="shared" ca="1" si="54"/>
        <v>1225.6364830186708</v>
      </c>
      <c r="AO38" s="91">
        <f t="shared" ca="1" si="55"/>
        <v>952.48648301867081</v>
      </c>
      <c r="AP38" s="91">
        <f t="shared" ca="1" si="56"/>
        <v>-5.2477321191937767</v>
      </c>
      <c r="AQ38" s="91"/>
      <c r="AR38" s="91">
        <f t="shared" ca="1" si="57"/>
        <v>1252.5814646704232</v>
      </c>
      <c r="AS38" s="91">
        <f t="shared" ca="1" si="58"/>
        <v>979.43146467042322</v>
      </c>
      <c r="AT38" s="40">
        <f t="shared" ca="1" si="59"/>
        <v>-4.2668508997164123</v>
      </c>
      <c r="AV38" s="40">
        <f t="shared" si="60"/>
        <v>1356.576598133486</v>
      </c>
      <c r="AW38" s="40">
        <f t="shared" si="61"/>
        <v>1083.4265981334861</v>
      </c>
      <c r="AX38" s="40">
        <f t="shared" ca="1" si="62"/>
        <v>1369.042430821316</v>
      </c>
      <c r="AY38" s="40">
        <f t="shared" ca="1" si="63"/>
        <v>1095.8924308213159</v>
      </c>
      <c r="AZ38" s="40">
        <f t="shared" ca="1" si="64"/>
        <v>-2.7309155876682034E-2</v>
      </c>
      <c r="BA38" s="40"/>
      <c r="BB38" s="40">
        <f t="shared" ca="1" si="65"/>
        <v>1347.8226949800621</v>
      </c>
      <c r="BC38" s="40">
        <f t="shared" ca="1" si="66"/>
        <v>-2.6257161504741875</v>
      </c>
      <c r="BD38" s="40">
        <f t="shared" ca="1" si="67"/>
        <v>1074.6726949800623</v>
      </c>
      <c r="BE38" s="40">
        <f t="shared" ca="1" si="68"/>
        <v>5.3112430731814229</v>
      </c>
      <c r="BF38" s="40">
        <f t="shared" ca="1" si="69"/>
        <v>7.3259456452494494</v>
      </c>
      <c r="BG38" s="40">
        <f t="shared" ca="1" si="70"/>
        <v>974.03645232589008</v>
      </c>
      <c r="BH38" s="40">
        <f t="shared" ca="1" si="71"/>
        <v>1011.4559027971908</v>
      </c>
      <c r="BI38" s="40">
        <f t="shared" ca="1" si="72"/>
        <v>1011.4559027971908</v>
      </c>
      <c r="BJ38" s="40">
        <f t="shared" ca="1" si="73"/>
        <v>1091.7669708012559</v>
      </c>
      <c r="BK38" s="70">
        <f t="shared" ca="1" si="74"/>
        <v>1.3361829442164235</v>
      </c>
      <c r="BL38" s="70">
        <f t="shared" ca="1" si="75"/>
        <v>0.79527957193155308</v>
      </c>
      <c r="BM38" s="70">
        <f t="shared" ca="1" si="76"/>
        <v>8.5847845629430486E-2</v>
      </c>
      <c r="BN38" s="180">
        <f t="shared" ca="1" si="27"/>
        <v>1.0958152975580743E-2</v>
      </c>
      <c r="BO38" s="180">
        <f t="shared" ca="1" si="28"/>
        <v>1.4583618937844484E-2</v>
      </c>
      <c r="BP38" s="180">
        <f t="shared" ca="1" si="29"/>
        <v>6.8681890187686834E-2</v>
      </c>
      <c r="BQ38" s="70">
        <f t="shared" si="77"/>
        <v>0</v>
      </c>
      <c r="BR38" s="40">
        <f t="shared" ca="1" si="78"/>
        <v>0.97535107966209567</v>
      </c>
      <c r="BS38" s="53"/>
      <c r="BT38" s="70">
        <f t="shared" si="79"/>
        <v>0.83381698240143975</v>
      </c>
      <c r="BU38" s="70">
        <f t="shared" si="80"/>
        <v>5.2540885540238447E-2</v>
      </c>
      <c r="BV38" s="70">
        <f t="shared" si="81"/>
        <v>5.9321589804234548E-2</v>
      </c>
      <c r="BW38" s="70">
        <f t="shared" si="82"/>
        <v>1.7566935272357753E-2</v>
      </c>
      <c r="BX38" s="180">
        <f t="shared" si="83"/>
        <v>2.0881526036923823E-2</v>
      </c>
      <c r="BY38" s="70">
        <f t="shared" si="84"/>
        <v>4.1784789073508431E-3</v>
      </c>
      <c r="BZ38" s="70">
        <f t="shared" si="85"/>
        <v>0.98830639796254505</v>
      </c>
      <c r="CA38" s="70">
        <f t="shared" si="86"/>
        <v>7.1264367816091953E-2</v>
      </c>
      <c r="CB38" s="53"/>
      <c r="CC38" s="40"/>
      <c r="CD38" s="40">
        <f t="shared" ca="1" si="87"/>
        <v>1.4727995850425941</v>
      </c>
      <c r="CE38" s="40">
        <f t="shared" ca="1" si="88"/>
        <v>3.2956487935428704</v>
      </c>
      <c r="CF38" s="40">
        <f t="shared" ca="1" si="89"/>
        <v>3.5268350840051781</v>
      </c>
      <c r="CG38" s="40">
        <f t="shared" ca="1" si="90"/>
        <v>1132.4191770196362</v>
      </c>
      <c r="CH38" s="54">
        <f t="shared" ca="1" si="91"/>
        <v>0.2559886555642622</v>
      </c>
      <c r="CJ38" s="40">
        <f t="shared" si="92"/>
        <v>2.3729986154142413</v>
      </c>
      <c r="CK38" s="40">
        <f t="shared" si="93"/>
        <v>2.2692094109582395</v>
      </c>
      <c r="CL38" s="40">
        <f t="shared" ca="1" si="94"/>
        <v>779.10445548288192</v>
      </c>
      <c r="CM38" s="2"/>
      <c r="CN38" s="1">
        <f t="shared" si="95"/>
        <v>0.85712906699420643</v>
      </c>
      <c r="CO38" s="1">
        <f t="shared" si="96"/>
        <v>1.4897569818274685E-2</v>
      </c>
      <c r="CP38" s="1">
        <f t="shared" si="97"/>
        <v>0.37661458793067937</v>
      </c>
      <c r="CQ38" s="1">
        <f t="shared" si="98"/>
        <v>0.12109166221272046</v>
      </c>
      <c r="CR38" s="1">
        <f t="shared" si="99"/>
        <v>4.2290748898678411E-3</v>
      </c>
      <c r="CS38" s="1">
        <f t="shared" si="100"/>
        <v>7.6914679290598545E-2</v>
      </c>
      <c r="CT38" s="1">
        <f t="shared" si="101"/>
        <v>0.1783249580044724</v>
      </c>
      <c r="CU38" s="1">
        <f t="shared" si="102"/>
        <v>9.6807139203825818E-2</v>
      </c>
      <c r="CV38" s="1">
        <f t="shared" si="103"/>
        <v>8.917576117881864E-3</v>
      </c>
      <c r="CW38" s="1">
        <f t="shared" si="104"/>
        <v>0</v>
      </c>
      <c r="CX38" s="1">
        <f t="shared" si="105"/>
        <v>1.9727062006383114E-3</v>
      </c>
      <c r="CY38" s="1">
        <f t="shared" si="106"/>
        <v>1.736899020663166</v>
      </c>
      <c r="DA38" s="1">
        <f t="shared" si="107"/>
        <v>0.49348238256645782</v>
      </c>
      <c r="DB38" s="1">
        <f t="shared" si="108"/>
        <v>8.5771076159549212E-3</v>
      </c>
      <c r="DC38" s="1">
        <f t="shared" si="109"/>
        <v>0.21683159668481131</v>
      </c>
      <c r="DD38" s="1">
        <f t="shared" si="110"/>
        <v>6.9717157285566558E-2</v>
      </c>
      <c r="DE38" s="1">
        <f t="shared" si="111"/>
        <v>2.434842117795159E-3</v>
      </c>
      <c r="DF38" s="1">
        <f t="shared" si="112"/>
        <v>4.4282758165890224E-2</v>
      </c>
      <c r="DG38" s="1">
        <f t="shared" si="113"/>
        <v>0.10266858112245701</v>
      </c>
      <c r="DH38" s="1">
        <f t="shared" si="114"/>
        <v>5.5735617357227742E-2</v>
      </c>
      <c r="DI38" s="1">
        <f t="shared" si="115"/>
        <v>5.1341937624428168E-3</v>
      </c>
      <c r="DJ38" s="1">
        <f t="shared" si="116"/>
        <v>0</v>
      </c>
      <c r="DK38" s="1">
        <f t="shared" si="117"/>
        <v>1.1357633213962615E-3</v>
      </c>
      <c r="DL38" s="1">
        <f t="shared" si="118"/>
        <v>1</v>
      </c>
      <c r="DM38" s="156">
        <f t="shared" si="119"/>
        <v>38.844553516135385</v>
      </c>
      <c r="DN38" s="1">
        <f t="shared" si="120"/>
        <v>0.83715712756909877</v>
      </c>
      <c r="DO38" s="1">
        <f t="shared" si="121"/>
        <v>1.2518966233844275E-2</v>
      </c>
      <c r="DP38" s="1">
        <f t="shared" si="122"/>
        <v>3.9230686242779103E-2</v>
      </c>
      <c r="DQ38" s="1">
        <f t="shared" si="123"/>
        <v>4.1755745590593266E-2</v>
      </c>
      <c r="DR38" s="1">
        <f t="shared" si="124"/>
        <v>0</v>
      </c>
      <c r="DS38" s="1">
        <f t="shared" si="125"/>
        <v>0.37216780301902519</v>
      </c>
      <c r="DT38" s="1">
        <f t="shared" si="126"/>
        <v>0.40479765467015233</v>
      </c>
      <c r="DU38" s="1">
        <f t="shared" si="127"/>
        <v>3.8722855681530325E-3</v>
      </c>
      <c r="DV38" s="1">
        <f t="shared" si="128"/>
        <v>0</v>
      </c>
      <c r="DW38" s="1">
        <f t="shared" si="129"/>
        <v>1.8421270778206586E-3</v>
      </c>
      <c r="DX38" s="1">
        <f t="shared" si="130"/>
        <v>1.7133423959714666</v>
      </c>
      <c r="DZ38" s="1">
        <f t="shared" si="131"/>
        <v>1.6743142551381975</v>
      </c>
      <c r="EA38" s="1">
        <f t="shared" si="132"/>
        <v>2.503793246768855E-2</v>
      </c>
      <c r="EB38" s="1">
        <f t="shared" si="133"/>
        <v>0.11769205872833731</v>
      </c>
      <c r="EC38" s="1">
        <f t="shared" si="134"/>
        <v>4.1755745590593266E-2</v>
      </c>
      <c r="ED38" s="1">
        <f t="shared" si="135"/>
        <v>0</v>
      </c>
      <c r="EE38" s="1">
        <f t="shared" si="136"/>
        <v>0.37216780301902519</v>
      </c>
      <c r="EF38" s="1">
        <f t="shared" si="137"/>
        <v>0.40479765467015233</v>
      </c>
      <c r="EG38" s="1">
        <f t="shared" si="138"/>
        <v>3.8722855681530325E-3</v>
      </c>
      <c r="EH38" s="1">
        <f t="shared" si="139"/>
        <v>0</v>
      </c>
      <c r="EI38" s="1">
        <f t="shared" si="140"/>
        <v>5.5263812334619758E-3</v>
      </c>
      <c r="EJ38" s="1">
        <f t="shared" si="141"/>
        <v>2.645164116415609</v>
      </c>
      <c r="EK38" s="1">
        <f t="shared" si="142"/>
        <v>2.2682902594831957</v>
      </c>
      <c r="EM38" s="1">
        <f t="shared" si="143"/>
        <v>1.8989153581219178</v>
      </c>
      <c r="EN38" s="1">
        <f t="shared" si="144"/>
        <v>2.8396649167027995E-2</v>
      </c>
      <c r="EO38" s="1">
        <f t="shared" si="145"/>
        <v>0.10108464187808219</v>
      </c>
      <c r="EP38" s="1">
        <f t="shared" si="146"/>
        <v>7.6888525076592301E-2</v>
      </c>
      <c r="EQ38" s="1">
        <f t="shared" si="147"/>
        <v>0.17797316695467449</v>
      </c>
      <c r="ER38" s="1">
        <f t="shared" si="148"/>
        <v>9.4714151000601099E-2</v>
      </c>
      <c r="ES38" s="1">
        <f t="shared" si="149"/>
        <v>0</v>
      </c>
      <c r="ET38" s="1">
        <f t="shared" si="150"/>
        <v>0.84418460248131555</v>
      </c>
      <c r="EU38" s="1">
        <f t="shared" si="151"/>
        <v>0.9181985771499489</v>
      </c>
      <c r="EV38" s="1">
        <f t="shared" si="152"/>
        <v>1.7566935272357753E-2</v>
      </c>
      <c r="EW38" s="1">
        <f t="shared" si="153"/>
        <v>0</v>
      </c>
      <c r="EX38" s="1">
        <f t="shared" si="154"/>
        <v>8.3569578147016862E-3</v>
      </c>
      <c r="EY38" s="1">
        <f t="shared" si="155"/>
        <v>3.9883063979625453</v>
      </c>
      <c r="EZ38" s="1">
        <f t="shared" si="156"/>
        <v>0</v>
      </c>
      <c r="FA38" s="1">
        <f t="shared" si="157"/>
        <v>-3.5183662047916897E-2</v>
      </c>
      <c r="FB38" s="1">
        <f t="shared" si="158"/>
        <v>1.7566935272357753E-2</v>
      </c>
      <c r="FC38" s="1">
        <f t="shared" si="159"/>
        <v>5.9321589804234548E-2</v>
      </c>
      <c r="FD38" s="1">
        <f t="shared" si="160"/>
        <v>2.0881526036923823E-2</v>
      </c>
      <c r="FE38" s="1">
        <f t="shared" si="161"/>
        <v>4.1784789073508431E-3</v>
      </c>
      <c r="FF38" s="2">
        <f t="shared" si="162"/>
        <v>0.83381698240143975</v>
      </c>
      <c r="FG38" s="1">
        <f t="shared" si="163"/>
        <v>5.2540885540238447E-2</v>
      </c>
      <c r="FH38" s="1">
        <f t="shared" si="164"/>
        <v>0.98830639796254527</v>
      </c>
      <c r="FI38" s="1">
        <f t="shared" si="165"/>
        <v>0.83381698240143975</v>
      </c>
      <c r="FJ38" s="1">
        <f t="shared" si="166"/>
        <v>1.7865695832444652</v>
      </c>
      <c r="FK38" s="1">
        <f t="shared" si="167"/>
        <v>-3.8920320196829037</v>
      </c>
      <c r="FL38" s="1">
        <f t="shared" si="168"/>
        <v>-3.8920320196829037</v>
      </c>
      <c r="FM38" s="1">
        <f t="shared" si="169"/>
        <v>0.38844553516135388</v>
      </c>
      <c r="FN38" s="67">
        <f t="shared" ca="1" si="170"/>
        <v>1369.042430821316</v>
      </c>
      <c r="FO38" s="67">
        <f t="shared" ca="1" si="171"/>
        <v>-2.7309155876682034E-2</v>
      </c>
      <c r="FP38" s="1">
        <f t="shared" ca="1" si="172"/>
        <v>0.13690424308213159</v>
      </c>
      <c r="FQ38" s="2">
        <f t="shared" ca="1" si="173"/>
        <v>1.6749544980590196</v>
      </c>
      <c r="FR38" s="2">
        <f t="shared" ca="1" si="174"/>
        <v>5.8793773692790898</v>
      </c>
      <c r="FS38" s="1">
        <f t="shared" ca="1" si="175"/>
        <v>3.2974933051562045</v>
      </c>
      <c r="FT38" s="1">
        <f t="shared" si="176"/>
        <v>5.7685875992503868E-2</v>
      </c>
      <c r="FU38" s="2">
        <f t="shared" si="177"/>
        <v>89.912208249361001</v>
      </c>
      <c r="FV38" s="2">
        <f t="shared" ca="1" si="178"/>
        <v>8.7144624396874821</v>
      </c>
      <c r="FW38" s="2">
        <f t="shared" ca="1" si="179"/>
        <v>0.25097792135289759</v>
      </c>
      <c r="FX38" s="2">
        <f t="shared" si="180"/>
        <v>7.1264367816091953E-2</v>
      </c>
      <c r="FY38" s="1">
        <f t="shared" si="181"/>
        <v>0.93576551242230666</v>
      </c>
      <c r="FZ38" s="1">
        <f t="shared" si="182"/>
        <v>0.11364213205832199</v>
      </c>
      <c r="GA38" s="1">
        <f t="shared" si="183"/>
        <v>0.13080901249312774</v>
      </c>
      <c r="GB38" s="1">
        <f t="shared" si="184"/>
        <v>0.89471482575637973</v>
      </c>
      <c r="GC38" s="1">
        <f t="shared" si="185"/>
        <v>4.418392772553692E-2</v>
      </c>
      <c r="GD38" s="1">
        <f t="shared" si="186"/>
        <v>9.4714151000601099E-2</v>
      </c>
      <c r="GE38" s="1">
        <f t="shared" si="187"/>
        <v>0.86919098750687229</v>
      </c>
      <c r="GF38" s="1">
        <f t="shared" si="188"/>
        <v>0.26097314290273876</v>
      </c>
      <c r="GG38" s="1">
        <f t="shared" si="189"/>
        <v>-6.0839149558798832E-3</v>
      </c>
      <c r="GH38" s="1">
        <f t="shared" si="190"/>
        <v>1.6423292396974092E-2</v>
      </c>
      <c r="GI38" s="1">
        <f t="shared" si="191"/>
        <v>1.6423292396974092E-2</v>
      </c>
      <c r="GJ38" s="1">
        <f t="shared" si="192"/>
        <v>7.8290858603627E-2</v>
      </c>
      <c r="GK38" s="1">
        <f t="shared" si="193"/>
        <v>4.7811195180719253E-2</v>
      </c>
      <c r="GL38" s="1">
        <f t="shared" si="194"/>
        <v>0.79637340730059625</v>
      </c>
      <c r="GM38" s="1">
        <f t="shared" si="195"/>
        <v>0.9181985771499489</v>
      </c>
      <c r="GN38" s="1">
        <f t="shared" si="196"/>
        <v>1.7566935272357753E-2</v>
      </c>
      <c r="GO38" s="1">
        <f t="shared" si="197"/>
        <v>438.86694888073316</v>
      </c>
      <c r="GP38" s="1">
        <f t="shared" si="198"/>
        <v>11.725293107595141</v>
      </c>
      <c r="GQ38" s="1">
        <f t="shared" si="199"/>
        <v>2.1186515771504402</v>
      </c>
      <c r="GR38" s="1">
        <f t="shared" si="200"/>
        <v>8.7129546110311844E-6</v>
      </c>
      <c r="GS38" s="1">
        <f t="shared" si="201"/>
        <v>1791.3835320277155</v>
      </c>
      <c r="GT38" s="1">
        <f t="shared" ca="1" si="202"/>
        <v>0.32618462236878487</v>
      </c>
      <c r="GU38" s="2">
        <f t="shared" ca="1" si="203"/>
        <v>16.501460084005185</v>
      </c>
      <c r="GV38" s="4">
        <f t="shared" ca="1" si="204"/>
        <v>5.2916400521252136</v>
      </c>
      <c r="GW38" s="4">
        <f t="shared" ca="1" si="205"/>
        <v>4.7369827564156486</v>
      </c>
      <c r="GX38" s="4">
        <f t="shared" si="206"/>
        <v>3.42</v>
      </c>
      <c r="GY38" s="4">
        <f t="shared" si="207"/>
        <v>5.3077524999999994</v>
      </c>
      <c r="GZ38" s="4">
        <f t="shared" ca="1" si="208"/>
        <v>5.2916400521252136</v>
      </c>
      <c r="HA38" s="1">
        <f t="shared" si="209"/>
        <v>438.86694888073316</v>
      </c>
      <c r="HB38" s="1">
        <f t="shared" si="210"/>
        <v>11.725293107595141</v>
      </c>
      <c r="HC38" s="4">
        <f t="shared" si="211"/>
        <v>2.4989181503816837</v>
      </c>
      <c r="HD38" s="4"/>
      <c r="HE38" s="7">
        <f t="shared" si="212"/>
        <v>9.4714151000601099E-2</v>
      </c>
      <c r="HF38" s="7">
        <f t="shared" si="213"/>
        <v>0.84418460248131555</v>
      </c>
      <c r="HG38" s="7">
        <f t="shared" si="214"/>
        <v>0</v>
      </c>
      <c r="HH38" s="7">
        <f t="shared" si="215"/>
        <v>1.7566935272357753E-2</v>
      </c>
      <c r="HI38" s="7">
        <f t="shared" si="216"/>
        <v>0</v>
      </c>
      <c r="HJ38" s="7">
        <f t="shared" si="217"/>
        <v>1.7566935272357753E-2</v>
      </c>
      <c r="HK38" s="7">
        <f t="shared" si="218"/>
        <v>0</v>
      </c>
      <c r="HL38" s="7">
        <f t="shared" si="219"/>
        <v>5.9321589804234548E-2</v>
      </c>
      <c r="HM38" s="7">
        <f t="shared" si="220"/>
        <v>0.12447184595299224</v>
      </c>
      <c r="HN38" s="7">
        <f t="shared" si="221"/>
        <v>0.1008779175063899</v>
      </c>
      <c r="HO38" s="7">
        <f t="shared" si="222"/>
        <v>0.71365723148465365</v>
      </c>
      <c r="HP38" s="7">
        <f t="shared" si="223"/>
        <v>8.0069499712303108E-2</v>
      </c>
      <c r="HQ38" s="7">
        <f t="shared" si="224"/>
        <v>5.7754646238765507E-2</v>
      </c>
      <c r="HR38" s="7">
        <f t="shared" si="225"/>
        <v>6.4798413389277687E-3</v>
      </c>
      <c r="HS38" s="7">
        <f t="shared" si="226"/>
        <v>1.7566935272357753E-2</v>
      </c>
      <c r="HT38" s="7"/>
      <c r="HU38" s="16">
        <f t="shared" si="227"/>
        <v>-8.7411188137996832E-7</v>
      </c>
      <c r="HV38" s="16">
        <f t="shared" si="228"/>
        <v>1.6722402898397269E-12</v>
      </c>
      <c r="HW38" s="16">
        <f t="shared" si="229"/>
        <v>2.7130511445014662E-5</v>
      </c>
      <c r="HX38" s="16">
        <f t="shared" si="230"/>
        <v>7.7824776198562918E-9</v>
      </c>
      <c r="HY38" s="7">
        <f t="shared" si="231"/>
        <v>2.1186515771504402</v>
      </c>
      <c r="HZ38" s="7">
        <f t="shared" ca="1" si="232"/>
        <v>455.12625209536293</v>
      </c>
      <c r="IA38" s="7">
        <f t="shared" ca="1" si="233"/>
        <v>5.2916400521252136</v>
      </c>
      <c r="IB38" s="7">
        <f t="shared" ca="1" si="234"/>
        <v>455.12646486825565</v>
      </c>
      <c r="IC38" s="7">
        <f t="shared" ca="1" si="235"/>
        <v>4.7369827564156486</v>
      </c>
      <c r="ID38" s="7">
        <f t="shared" ca="1" si="236"/>
        <v>5.2916400521252136</v>
      </c>
      <c r="IE38" s="7"/>
      <c r="IF38" s="2">
        <f t="shared" si="237"/>
        <v>5.7685875992503868E-2</v>
      </c>
      <c r="IG38" s="17">
        <f t="shared" ca="1" si="238"/>
        <v>1049.6726949800623</v>
      </c>
      <c r="IH38" s="17"/>
      <c r="II38" s="7">
        <f t="shared" si="239"/>
        <v>2.0700336669564039</v>
      </c>
      <c r="IJ38" s="17">
        <f t="shared" si="240"/>
        <v>1791.3835320277155</v>
      </c>
      <c r="IK38" s="16">
        <f t="shared" si="241"/>
        <v>1.3057727185291753E-5</v>
      </c>
      <c r="IM38" s="1">
        <f t="shared" si="242"/>
        <v>1</v>
      </c>
      <c r="IN38" s="166">
        <f t="shared" si="243"/>
        <v>0.45457208330275678</v>
      </c>
      <c r="IO38" s="166">
        <f t="shared" si="244"/>
        <v>5.1001177718765674E-2</v>
      </c>
      <c r="IP38" s="166">
        <f t="shared" si="245"/>
        <v>0.49442673897847761</v>
      </c>
      <c r="IR38" s="167">
        <f t="shared" si="246"/>
        <v>0.34434849821360747</v>
      </c>
      <c r="IS38" s="167">
        <f t="shared" si="247"/>
        <v>0.49442673897847761</v>
      </c>
      <c r="IU38" s="169">
        <v>0.1</v>
      </c>
      <c r="IV38" s="169">
        <v>0.9</v>
      </c>
      <c r="IW38" s="169">
        <v>0</v>
      </c>
      <c r="IX38" s="169"/>
      <c r="IY38" s="167">
        <f t="shared" si="248"/>
        <v>1.0392304845413263</v>
      </c>
      <c r="IZ38" s="167">
        <f t="shared" si="249"/>
        <v>0</v>
      </c>
    </row>
    <row r="39" spans="1:260" ht="13.2">
      <c r="A39" s="139" t="s">
        <v>201</v>
      </c>
      <c r="B39" s="139" t="s">
        <v>202</v>
      </c>
      <c r="C39" s="78">
        <f t="shared" si="43"/>
        <v>1.9</v>
      </c>
      <c r="D39" s="133">
        <f t="shared" si="44"/>
        <v>-273.14999999999998</v>
      </c>
      <c r="E39" s="15">
        <f t="shared" si="45"/>
        <v>-0.16286114798176143</v>
      </c>
      <c r="F39" s="123">
        <v>51.5</v>
      </c>
      <c r="G39" s="123">
        <v>1.19</v>
      </c>
      <c r="H39" s="123">
        <v>19.2</v>
      </c>
      <c r="I39" s="123">
        <v>10</v>
      </c>
      <c r="J39" s="123">
        <v>0.19</v>
      </c>
      <c r="K39" s="132">
        <v>4.9800000000000004</v>
      </c>
      <c r="L39" s="123">
        <v>10</v>
      </c>
      <c r="M39" s="123">
        <v>3.72</v>
      </c>
      <c r="N39" s="123">
        <v>0.42</v>
      </c>
      <c r="O39" s="123">
        <v>0</v>
      </c>
      <c r="P39" s="123">
        <v>0.14000000000000001</v>
      </c>
      <c r="Q39" s="123">
        <v>6.2</v>
      </c>
      <c r="R39" s="119">
        <f t="shared" si="46"/>
        <v>1.6947067</v>
      </c>
      <c r="T39" s="123">
        <v>53</v>
      </c>
      <c r="U39" s="123">
        <v>0.73</v>
      </c>
      <c r="V39" s="123">
        <v>4.12</v>
      </c>
      <c r="W39" s="123">
        <v>5.83</v>
      </c>
      <c r="X39" s="123">
        <v>0</v>
      </c>
      <c r="Y39" s="123">
        <v>15</v>
      </c>
      <c r="Z39" s="123">
        <v>22.7</v>
      </c>
      <c r="AA39" s="123">
        <v>0</v>
      </c>
      <c r="AB39" s="123">
        <v>0</v>
      </c>
      <c r="AC39" s="123">
        <v>0.28000000000000003</v>
      </c>
      <c r="AE39" s="112">
        <v>1400</v>
      </c>
      <c r="AF39" s="165">
        <f t="shared" si="48"/>
        <v>1126.8499999999999</v>
      </c>
      <c r="AG39" s="165">
        <v>9</v>
      </c>
      <c r="AH39" s="91">
        <f t="shared" si="50"/>
        <v>0</v>
      </c>
      <c r="AI39" s="91">
        <f t="shared" si="51"/>
        <v>0</v>
      </c>
      <c r="AJ39" s="91"/>
      <c r="AK39" s="91">
        <f t="shared" si="52"/>
        <v>0</v>
      </c>
      <c r="AL39" s="91">
        <f t="shared" si="53"/>
        <v>0</v>
      </c>
      <c r="AM39" s="91"/>
      <c r="AN39" s="91" t="e">
        <f t="shared" si="54"/>
        <v>#NUM!</v>
      </c>
      <c r="AO39" s="91" t="e">
        <f t="shared" si="55"/>
        <v>#NUM!</v>
      </c>
      <c r="AP39" s="91">
        <f t="shared" si="56"/>
        <v>0</v>
      </c>
      <c r="AQ39" s="91"/>
      <c r="AR39" s="91" t="e">
        <f t="shared" ca="1" si="57"/>
        <v>#NUM!</v>
      </c>
      <c r="AS39" s="91" t="e">
        <f t="shared" ca="1" si="58"/>
        <v>#NUM!</v>
      </c>
      <c r="AT39" s="40" t="e">
        <f t="shared" ca="1" si="59"/>
        <v>#NUM!</v>
      </c>
      <c r="AV39" s="40">
        <f t="shared" si="60"/>
        <v>0</v>
      </c>
      <c r="AW39" s="40">
        <f t="shared" si="61"/>
        <v>0</v>
      </c>
      <c r="AX39" s="40">
        <f t="shared" si="62"/>
        <v>0</v>
      </c>
      <c r="AY39" s="40">
        <f t="shared" si="63"/>
        <v>0</v>
      </c>
      <c r="AZ39" s="40">
        <f t="shared" si="64"/>
        <v>0</v>
      </c>
      <c r="BA39" s="40"/>
      <c r="BB39" s="40">
        <f t="shared" si="65"/>
        <v>0</v>
      </c>
      <c r="BC39" s="40">
        <f t="shared" si="66"/>
        <v>0</v>
      </c>
      <c r="BD39" s="40">
        <f t="shared" si="67"/>
        <v>-273.14999999999998</v>
      </c>
      <c r="BE39" s="40" t="e">
        <f t="shared" si="68"/>
        <v>#NUM!</v>
      </c>
      <c r="BF39" s="40" t="e">
        <f t="shared" si="69"/>
        <v>#NUM!</v>
      </c>
      <c r="BG39" s="40" t="e">
        <f t="shared" si="70"/>
        <v>#NUM!</v>
      </c>
      <c r="BH39" s="40">
        <f t="shared" si="71"/>
        <v>1034.8901514427448</v>
      </c>
      <c r="BI39" s="40">
        <f t="shared" si="72"/>
        <v>1034.8901514427448</v>
      </c>
      <c r="BJ39" s="40">
        <f t="shared" si="73"/>
        <v>1154.2734177058319</v>
      </c>
      <c r="BK39" s="70">
        <f t="shared" si="74"/>
        <v>0.81061904020306297</v>
      </c>
      <c r="BL39" s="70">
        <f t="shared" si="75"/>
        <v>0.62307066097086339</v>
      </c>
      <c r="BM39" s="70">
        <f t="shared" si="76"/>
        <v>9.3414159753892723E-2</v>
      </c>
      <c r="BN39" s="180">
        <f t="shared" si="27"/>
        <v>1.5314568984269073E-2</v>
      </c>
      <c r="BO39" s="180">
        <f t="shared" si="28"/>
        <v>1.7253743811758988E-2</v>
      </c>
      <c r="BP39" s="180">
        <f t="shared" si="29"/>
        <v>4.8417312988443845E-2</v>
      </c>
      <c r="BQ39" s="70">
        <f t="shared" si="77"/>
        <v>0</v>
      </c>
      <c r="BR39" s="40">
        <f t="shared" si="78"/>
        <v>0.79747044650922805</v>
      </c>
      <c r="BS39" s="53"/>
      <c r="BT39" s="70">
        <f t="shared" si="79"/>
        <v>0.78593180895262482</v>
      </c>
      <c r="BU39" s="70">
        <f t="shared" si="80"/>
        <v>9.8461404959900467E-2</v>
      </c>
      <c r="BV39" s="70">
        <f t="shared" si="81"/>
        <v>8.7739546823752429E-2</v>
      </c>
      <c r="BW39" s="70">
        <f t="shared" si="82"/>
        <v>0</v>
      </c>
      <c r="BX39" s="180">
        <f t="shared" si="83"/>
        <v>0</v>
      </c>
      <c r="BY39" s="70">
        <f t="shared" si="84"/>
        <v>3.994023040726687E-3</v>
      </c>
      <c r="BZ39" s="70">
        <f t="shared" si="85"/>
        <v>0.97612678377700435</v>
      </c>
      <c r="CA39" s="70">
        <f t="shared" si="86"/>
        <v>0.19355600000000003</v>
      </c>
      <c r="CB39" s="53"/>
      <c r="CC39" s="40"/>
      <c r="CD39" s="40" t="e">
        <f t="shared" si="87"/>
        <v>#NUM!</v>
      </c>
      <c r="CE39" s="40" t="e">
        <f t="shared" si="88"/>
        <v>#NUM!</v>
      </c>
      <c r="CF39" s="40">
        <f t="shared" si="89"/>
        <v>-62.219979280817391</v>
      </c>
      <c r="CG39" s="40">
        <f t="shared" si="90"/>
        <v>1148.7542865898072</v>
      </c>
      <c r="CH39" s="54" t="e">
        <f t="shared" si="91"/>
        <v>#DIV/0!</v>
      </c>
      <c r="CJ39" s="40">
        <f t="shared" si="92"/>
        <v>1.4655110914682494</v>
      </c>
      <c r="CK39" s="40">
        <f t="shared" si="93"/>
        <v>1.340720232997884</v>
      </c>
      <c r="CL39" s="40">
        <f t="shared" si="94"/>
        <v>951.6718338867521</v>
      </c>
      <c r="CM39" s="2"/>
      <c r="CN39" s="1">
        <f t="shared" si="95"/>
        <v>0.85712906699420643</v>
      </c>
      <c r="CO39" s="1">
        <f t="shared" si="96"/>
        <v>1.4897569818274685E-2</v>
      </c>
      <c r="CP39" s="1">
        <f t="shared" si="97"/>
        <v>0.37661458793067937</v>
      </c>
      <c r="CQ39" s="1">
        <f t="shared" si="98"/>
        <v>0.13918581863531088</v>
      </c>
      <c r="CR39" s="1">
        <f t="shared" si="99"/>
        <v>2.6784140969162997E-3</v>
      </c>
      <c r="CS39" s="1">
        <f t="shared" si="100"/>
        <v>0.12355971060231638</v>
      </c>
      <c r="CT39" s="1">
        <f t="shared" si="101"/>
        <v>0.1783249580044724</v>
      </c>
      <c r="CU39" s="1">
        <f t="shared" si="102"/>
        <v>0.12004085261274401</v>
      </c>
      <c r="CV39" s="1">
        <f t="shared" si="103"/>
        <v>8.917576117881864E-3</v>
      </c>
      <c r="CW39" s="1">
        <f t="shared" si="104"/>
        <v>0</v>
      </c>
      <c r="CX39" s="1">
        <f t="shared" si="105"/>
        <v>1.9727062006383114E-3</v>
      </c>
      <c r="CY39" s="1">
        <f t="shared" si="106"/>
        <v>1.8233212610134408</v>
      </c>
      <c r="DA39" s="1">
        <f t="shared" si="107"/>
        <v>0.47009218030935251</v>
      </c>
      <c r="DB39" s="1">
        <f t="shared" si="108"/>
        <v>8.1705677089479543E-3</v>
      </c>
      <c r="DC39" s="1">
        <f t="shared" si="109"/>
        <v>0.20655415805404964</v>
      </c>
      <c r="DD39" s="1">
        <f t="shared" si="110"/>
        <v>7.6336420581169795E-2</v>
      </c>
      <c r="DE39" s="1">
        <f t="shared" si="111"/>
        <v>1.468975409976616E-3</v>
      </c>
      <c r="DF39" s="1">
        <f t="shared" si="112"/>
        <v>6.7766286306363402E-2</v>
      </c>
      <c r="DG39" s="1">
        <f t="shared" si="113"/>
        <v>9.7802269856358495E-2</v>
      </c>
      <c r="DH39" s="1">
        <f t="shared" si="114"/>
        <v>6.5836369694950381E-2</v>
      </c>
      <c r="DI39" s="1">
        <f t="shared" si="115"/>
        <v>4.8908419533951388E-3</v>
      </c>
      <c r="DJ39" s="1">
        <f t="shared" si="116"/>
        <v>0</v>
      </c>
      <c r="DK39" s="1">
        <f t="shared" si="117"/>
        <v>1.0819301254359527E-3</v>
      </c>
      <c r="DL39" s="1">
        <f t="shared" si="118"/>
        <v>1</v>
      </c>
      <c r="DM39" s="156">
        <f t="shared" si="119"/>
        <v>47.026379843962594</v>
      </c>
      <c r="DN39" s="1">
        <f t="shared" si="120"/>
        <v>0.88209399127559118</v>
      </c>
      <c r="DO39" s="1">
        <f t="shared" si="121"/>
        <v>9.1388453507063195E-3</v>
      </c>
      <c r="DP39" s="1">
        <f t="shared" si="122"/>
        <v>4.0407606830062476E-2</v>
      </c>
      <c r="DQ39" s="1">
        <f t="shared" si="123"/>
        <v>8.114533226438625E-2</v>
      </c>
      <c r="DR39" s="1">
        <f t="shared" si="124"/>
        <v>0</v>
      </c>
      <c r="DS39" s="1">
        <f t="shared" si="125"/>
        <v>0.37216780301902519</v>
      </c>
      <c r="DT39" s="1">
        <f t="shared" si="126"/>
        <v>0.40479765467015233</v>
      </c>
      <c r="DU39" s="1">
        <f t="shared" si="127"/>
        <v>0</v>
      </c>
      <c r="DV39" s="1">
        <f t="shared" si="128"/>
        <v>0</v>
      </c>
      <c r="DW39" s="1">
        <f t="shared" si="129"/>
        <v>1.8421270778206586E-3</v>
      </c>
      <c r="DX39" s="1">
        <f t="shared" si="130"/>
        <v>1.7915933604877445</v>
      </c>
      <c r="DZ39" s="1">
        <f t="shared" si="131"/>
        <v>1.7641879825511824</v>
      </c>
      <c r="EA39" s="1">
        <f t="shared" si="132"/>
        <v>1.8277690701412639E-2</v>
      </c>
      <c r="EB39" s="1">
        <f t="shared" si="133"/>
        <v>0.12122282049018743</v>
      </c>
      <c r="EC39" s="1">
        <f t="shared" si="134"/>
        <v>8.114533226438625E-2</v>
      </c>
      <c r="ED39" s="1">
        <f t="shared" si="135"/>
        <v>0</v>
      </c>
      <c r="EE39" s="1">
        <f t="shared" si="136"/>
        <v>0.37216780301902519</v>
      </c>
      <c r="EF39" s="1">
        <f t="shared" si="137"/>
        <v>0.40479765467015233</v>
      </c>
      <c r="EG39" s="1">
        <f t="shared" si="138"/>
        <v>0</v>
      </c>
      <c r="EH39" s="1">
        <f t="shared" si="139"/>
        <v>0</v>
      </c>
      <c r="EI39" s="1">
        <f t="shared" si="140"/>
        <v>5.5263812334619758E-3</v>
      </c>
      <c r="EJ39" s="1">
        <f t="shared" si="141"/>
        <v>2.7673256649298081</v>
      </c>
      <c r="EK39" s="1">
        <f t="shared" si="142"/>
        <v>2.1681582605320822</v>
      </c>
      <c r="EM39" s="1">
        <f t="shared" si="143"/>
        <v>1.9125193737498873</v>
      </c>
      <c r="EN39" s="1">
        <f t="shared" si="144"/>
        <v>1.9814463038859122E-2</v>
      </c>
      <c r="EO39" s="1">
        <f t="shared" si="145"/>
        <v>8.7480626250112659E-2</v>
      </c>
      <c r="EP39" s="1">
        <f t="shared" si="146"/>
        <v>8.7739546823752429E-2</v>
      </c>
      <c r="EQ39" s="1">
        <f t="shared" si="147"/>
        <v>0.17522017307386509</v>
      </c>
      <c r="ER39" s="1">
        <f t="shared" si="148"/>
        <v>0.17593592245264952</v>
      </c>
      <c r="ES39" s="1">
        <f t="shared" si="149"/>
        <v>0</v>
      </c>
      <c r="ET39" s="1">
        <f t="shared" si="150"/>
        <v>0.8069186964197762</v>
      </c>
      <c r="EU39" s="1">
        <f t="shared" si="151"/>
        <v>0.87766537881710394</v>
      </c>
      <c r="EV39" s="1">
        <f t="shared" si="152"/>
        <v>0</v>
      </c>
      <c r="EW39" s="1">
        <f t="shared" si="153"/>
        <v>0</v>
      </c>
      <c r="EX39" s="1">
        <f t="shared" si="154"/>
        <v>7.9880460814533739E-3</v>
      </c>
      <c r="EY39" s="1">
        <f t="shared" si="155"/>
        <v>3.9760620536335942</v>
      </c>
      <c r="EZ39" s="1">
        <f t="shared" si="156"/>
        <v>0</v>
      </c>
      <c r="FA39" s="1">
        <f t="shared" si="157"/>
        <v>-7.2246195487405629E-2</v>
      </c>
      <c r="FB39" s="1">
        <f t="shared" si="158"/>
        <v>0</v>
      </c>
      <c r="FC39" s="1">
        <f t="shared" si="159"/>
        <v>8.7739546823752429E-2</v>
      </c>
      <c r="FD39" s="1">
        <f t="shared" si="160"/>
        <v>0</v>
      </c>
      <c r="FE39" s="1">
        <f t="shared" si="161"/>
        <v>3.994023040726687E-3</v>
      </c>
      <c r="FF39" s="2">
        <f t="shared" si="162"/>
        <v>0.78593180895262482</v>
      </c>
      <c r="FG39" s="1">
        <f t="shared" si="163"/>
        <v>9.8461404959900467E-2</v>
      </c>
      <c r="FH39" s="1">
        <f t="shared" si="164"/>
        <v>0.97612678377700446</v>
      </c>
      <c r="FI39" s="1">
        <f t="shared" si="165"/>
        <v>0.78593180895262482</v>
      </c>
      <c r="FJ39" s="1" t="e">
        <f t="shared" si="166"/>
        <v>#NUM!</v>
      </c>
      <c r="FK39" s="1" t="e">
        <f t="shared" si="167"/>
        <v>#NUM!</v>
      </c>
      <c r="FL39" s="1" t="e">
        <f t="shared" si="168"/>
        <v>#NUM!</v>
      </c>
      <c r="FM39" s="1">
        <f t="shared" si="169"/>
        <v>0.47026379843962596</v>
      </c>
      <c r="FN39" s="67">
        <f t="shared" si="170"/>
        <v>0</v>
      </c>
      <c r="FO39" s="67">
        <f t="shared" si="171"/>
        <v>0</v>
      </c>
      <c r="FP39" s="1">
        <f t="shared" si="172"/>
        <v>0</v>
      </c>
      <c r="FQ39" s="2" t="e">
        <f t="shared" si="173"/>
        <v>#NUM!</v>
      </c>
      <c r="FR39" s="2">
        <f t="shared" si="174"/>
        <v>6.9420505661951273</v>
      </c>
      <c r="FS39" s="1" t="e">
        <f t="shared" si="175"/>
        <v>#NUM!</v>
      </c>
      <c r="FT39" s="1">
        <f t="shared" si="176"/>
        <v>0.11112826713891663</v>
      </c>
      <c r="FU39" s="2">
        <f t="shared" si="177"/>
        <v>82.099496805082822</v>
      </c>
      <c r="FV39" s="2" t="e">
        <f t="shared" si="178"/>
        <v>#NUM!</v>
      </c>
      <c r="FW39" s="2" t="e">
        <f t="shared" si="179"/>
        <v>#DIV/0!</v>
      </c>
      <c r="FX39" s="2">
        <f t="shared" si="180"/>
        <v>0.19355600000000003</v>
      </c>
      <c r="FY39" s="1">
        <f t="shared" si="181"/>
        <v>0.87766537881710394</v>
      </c>
      <c r="FZ39" s="1">
        <f t="shared" si="182"/>
        <v>0.11554205594406491</v>
      </c>
      <c r="GA39" s="1">
        <f t="shared" si="183"/>
        <v>0.12868912121365877</v>
      </c>
      <c r="GB39" s="1">
        <f t="shared" si="184"/>
        <v>0.89244599013738846</v>
      </c>
      <c r="GC39" s="1">
        <f t="shared" si="185"/>
        <v>9.04086287350373E-2</v>
      </c>
      <c r="GD39" s="1">
        <f t="shared" si="186"/>
        <v>0.17593592245264952</v>
      </c>
      <c r="GE39" s="1">
        <f t="shared" si="187"/>
        <v>0.87131087878634128</v>
      </c>
      <c r="GF39" s="1">
        <f t="shared" si="188"/>
        <v>0.38636906667464493</v>
      </c>
      <c r="GG39" s="1">
        <f t="shared" si="189"/>
        <v>-2.1523054425708257E-2</v>
      </c>
      <c r="GH39" s="1">
        <f t="shared" si="190"/>
        <v>3.8001334262085351E-2</v>
      </c>
      <c r="GI39" s="1">
        <f t="shared" si="191"/>
        <v>3.8001334262085351E-2</v>
      </c>
      <c r="GJ39" s="1">
        <f t="shared" si="192"/>
        <v>0.13793458819056417</v>
      </c>
      <c r="GK39" s="1">
        <f t="shared" si="193"/>
        <v>8.4333286920810713E-2</v>
      </c>
      <c r="GL39" s="1">
        <f t="shared" si="194"/>
        <v>0.72258540949896544</v>
      </c>
      <c r="GM39" s="1">
        <f t="shared" si="195"/>
        <v>0.87766537881710394</v>
      </c>
      <c r="GN39" s="1">
        <f t="shared" si="196"/>
        <v>0</v>
      </c>
      <c r="GO39" s="1">
        <f t="shared" si="197"/>
        <v>439.0164966164607</v>
      </c>
      <c r="GP39" s="1">
        <f t="shared" si="198"/>
        <v>11.765511223312929</v>
      </c>
      <c r="GQ39" s="1">
        <f t="shared" si="199"/>
        <v>2.0874806262501129</v>
      </c>
      <c r="GR39" s="1">
        <f t="shared" si="200"/>
        <v>8.5847640754535876E-6</v>
      </c>
      <c r="GS39" s="1">
        <f t="shared" si="201"/>
        <v>1759.2779506105287</v>
      </c>
      <c r="GT39" s="1">
        <f t="shared" si="202"/>
        <v>-8.9997621536435687E-2</v>
      </c>
      <c r="GU39" s="2">
        <f t="shared" si="203"/>
        <v>-49.245354280817402</v>
      </c>
      <c r="GV39" s="4">
        <f t="shared" ca="1" si="204"/>
        <v>24.984511969560511</v>
      </c>
      <c r="GW39" s="4">
        <f t="shared" ca="1" si="205"/>
        <v>28.800263831805658</v>
      </c>
      <c r="GX39" s="4">
        <f t="shared" si="206"/>
        <v>4.1400000000000006</v>
      </c>
      <c r="GY39" s="4">
        <f t="shared" si="207"/>
        <v>5.3077524999999994</v>
      </c>
      <c r="GZ39" s="4">
        <f t="shared" ca="1" si="208"/>
        <v>24.984511969560511</v>
      </c>
      <c r="HA39" s="1">
        <f t="shared" si="209"/>
        <v>439.0164966164607</v>
      </c>
      <c r="HB39" s="1">
        <f t="shared" si="210"/>
        <v>11.765511223312929</v>
      </c>
      <c r="HC39" s="4">
        <f t="shared" si="211"/>
        <v>1.6550026851236623</v>
      </c>
      <c r="HD39" s="4"/>
      <c r="HE39" s="7">
        <f t="shared" si="212"/>
        <v>0.17593592245264952</v>
      </c>
      <c r="HF39" s="7">
        <f t="shared" si="213"/>
        <v>0.80691869641977609</v>
      </c>
      <c r="HG39" s="7">
        <f t="shared" si="214"/>
        <v>0</v>
      </c>
      <c r="HH39" s="7">
        <f t="shared" si="215"/>
        <v>0</v>
      </c>
      <c r="HI39" s="7">
        <f t="shared" si="216"/>
        <v>0</v>
      </c>
      <c r="HJ39" s="7">
        <f t="shared" si="217"/>
        <v>0</v>
      </c>
      <c r="HK39" s="7">
        <f t="shared" si="218"/>
        <v>0</v>
      </c>
      <c r="HL39" s="7">
        <f t="shared" si="219"/>
        <v>8.7739546823752429E-2</v>
      </c>
      <c r="HM39" s="7">
        <f t="shared" si="220"/>
        <v>0.13535651898292406</v>
      </c>
      <c r="HN39" s="7">
        <f t="shared" si="221"/>
        <v>0.17900503194917169</v>
      </c>
      <c r="HO39" s="7">
        <f t="shared" si="222"/>
        <v>0.60943183866340922</v>
      </c>
      <c r="HP39" s="7">
        <f t="shared" si="223"/>
        <v>0.13287702117077058</v>
      </c>
      <c r="HQ39" s="7">
        <f t="shared" si="224"/>
        <v>0.10043610840956205</v>
      </c>
      <c r="HR39" s="7">
        <f t="shared" si="225"/>
        <v>2.1898512773334152E-2</v>
      </c>
      <c r="HS39" s="7">
        <f t="shared" si="226"/>
        <v>0</v>
      </c>
      <c r="HT39" s="7"/>
      <c r="HU39" s="16">
        <f t="shared" si="227"/>
        <v>-8.7540996816377474E-7</v>
      </c>
      <c r="HV39" s="16">
        <f t="shared" si="228"/>
        <v>1.5810714702811205E-12</v>
      </c>
      <c r="HW39" s="16">
        <f t="shared" si="229"/>
        <v>2.7213917035730696E-5</v>
      </c>
      <c r="HX39" s="16">
        <f t="shared" si="230"/>
        <v>7.8053900084491533E-9</v>
      </c>
      <c r="HY39" s="7">
        <f t="shared" si="231"/>
        <v>2.0874806262501129</v>
      </c>
      <c r="HZ39" s="7">
        <f t="shared" ca="1" si="232"/>
        <v>435.74940110363337</v>
      </c>
      <c r="IA39" s="7">
        <f t="shared" ca="1" si="233"/>
        <v>24.984511969560511</v>
      </c>
      <c r="IB39" s="7">
        <f t="shared" ca="1" si="234"/>
        <v>435.74793477854877</v>
      </c>
      <c r="IC39" s="7">
        <f t="shared" ca="1" si="235"/>
        <v>28.800263831805658</v>
      </c>
      <c r="ID39" s="7">
        <f t="shared" ca="1" si="236"/>
        <v>24.984511969560511</v>
      </c>
      <c r="IE39" s="7"/>
      <c r="IF39" s="2">
        <f t="shared" si="237"/>
        <v>0.11112826713891663</v>
      </c>
      <c r="IG39" s="17">
        <f t="shared" si="238"/>
        <v>-298.14999999999998</v>
      </c>
      <c r="IH39" s="17"/>
      <c r="II39" s="7">
        <f t="shared" si="239"/>
        <v>2.0722862836177569</v>
      </c>
      <c r="IJ39" s="17">
        <f t="shared" si="240"/>
        <v>1759.2779506105287</v>
      </c>
      <c r="IK39" s="16">
        <f t="shared" si="241"/>
        <v>1.3228647899395214E-5</v>
      </c>
      <c r="IM39" s="1">
        <f t="shared" si="242"/>
        <v>1</v>
      </c>
      <c r="IN39" s="166">
        <f t="shared" si="243"/>
        <v>0.43370600553707622</v>
      </c>
      <c r="IO39" s="166">
        <f t="shared" si="244"/>
        <v>9.4562768834053915E-2</v>
      </c>
      <c r="IP39" s="166">
        <f t="shared" si="245"/>
        <v>0.47173122562886982</v>
      </c>
      <c r="IR39" s="167">
        <f t="shared" si="246"/>
        <v>0.38154583018529481</v>
      </c>
      <c r="IS39" s="167">
        <f t="shared" si="247"/>
        <v>0.47173122562886982</v>
      </c>
      <c r="IU39" s="169">
        <v>0.1</v>
      </c>
      <c r="IV39" s="169">
        <v>0.9</v>
      </c>
      <c r="IW39" s="169">
        <v>0</v>
      </c>
      <c r="IX39" s="169"/>
      <c r="IY39" s="167">
        <f t="shared" si="248"/>
        <v>1.0392304845413263</v>
      </c>
      <c r="IZ39" s="167">
        <f t="shared" si="249"/>
        <v>0</v>
      </c>
    </row>
    <row r="40" spans="1:260" ht="13.2">
      <c r="A40" s="139" t="s">
        <v>201</v>
      </c>
      <c r="B40" s="139" t="s">
        <v>202</v>
      </c>
      <c r="C40" s="78">
        <f t="shared" si="43"/>
        <v>1.9</v>
      </c>
      <c r="D40" s="133">
        <f t="shared" ca="1" si="44"/>
        <v>1109.9307868106353</v>
      </c>
      <c r="E40" s="15">
        <f t="shared" ca="1" si="45"/>
        <v>-2.1276356581522937E-2</v>
      </c>
      <c r="F40" s="123">
        <v>51.5</v>
      </c>
      <c r="G40" s="123">
        <v>1.19</v>
      </c>
      <c r="H40" s="123">
        <v>20</v>
      </c>
      <c r="I40" s="123">
        <v>8.6999999999999993</v>
      </c>
      <c r="J40" s="123">
        <v>0.19</v>
      </c>
      <c r="K40" s="132">
        <v>4.9800000000000004</v>
      </c>
      <c r="L40" s="123">
        <v>10</v>
      </c>
      <c r="M40" s="123">
        <v>3.72</v>
      </c>
      <c r="N40" s="123">
        <v>0.42</v>
      </c>
      <c r="O40" s="123">
        <v>0</v>
      </c>
      <c r="P40" s="123">
        <v>0.14000000000000001</v>
      </c>
      <c r="Q40" s="123">
        <v>6.2</v>
      </c>
      <c r="R40" s="119">
        <f t="shared" ca="1" si="46"/>
        <v>4.9672215531547277</v>
      </c>
      <c r="T40" s="123">
        <v>50.3</v>
      </c>
      <c r="U40" s="123">
        <v>0.73</v>
      </c>
      <c r="V40" s="123">
        <v>4.12</v>
      </c>
      <c r="W40" s="123">
        <v>5.83</v>
      </c>
      <c r="X40" s="123">
        <v>0</v>
      </c>
      <c r="Y40" s="123">
        <v>15</v>
      </c>
      <c r="Z40" s="123">
        <v>22.7</v>
      </c>
      <c r="AA40" s="123">
        <v>0.24</v>
      </c>
      <c r="AB40" s="123">
        <v>0</v>
      </c>
      <c r="AC40" s="123">
        <v>0.28000000000000003</v>
      </c>
      <c r="AE40" s="112">
        <f t="shared" ca="1" si="47"/>
        <v>1287.8778791909431</v>
      </c>
      <c r="AF40" s="165">
        <f t="shared" ca="1" si="48"/>
        <v>1014.7278791909431</v>
      </c>
      <c r="AG40" s="165">
        <f t="shared" ca="1" si="49"/>
        <v>2.0437418073793725</v>
      </c>
      <c r="AH40" s="91">
        <f t="shared" ca="1" si="50"/>
        <v>1409.9563543146628</v>
      </c>
      <c r="AI40" s="91">
        <f t="shared" ca="1" si="51"/>
        <v>1.8258195217540099</v>
      </c>
      <c r="AJ40" s="91"/>
      <c r="AK40" s="91">
        <f t="shared" ca="1" si="52"/>
        <v>1383.0807868106351</v>
      </c>
      <c r="AL40" s="91">
        <f t="shared" ca="1" si="53"/>
        <v>0.61526716880184296</v>
      </c>
      <c r="AM40" s="91"/>
      <c r="AN40" s="91">
        <f t="shared" ca="1" si="54"/>
        <v>1263.7151485771412</v>
      </c>
      <c r="AO40" s="91">
        <f t="shared" ca="1" si="55"/>
        <v>990.56514857714126</v>
      </c>
      <c r="AP40" s="91">
        <f t="shared" ca="1" si="56"/>
        <v>-3.4549372592010474</v>
      </c>
      <c r="AQ40" s="91"/>
      <c r="AR40" s="91">
        <f t="shared" ca="1" si="57"/>
        <v>1288.0188493595995</v>
      </c>
      <c r="AS40" s="91">
        <f t="shared" ca="1" si="58"/>
        <v>1014.8688493595995</v>
      </c>
      <c r="AT40" s="40">
        <f t="shared" ca="1" si="59"/>
        <v>-2.5773328107009377</v>
      </c>
      <c r="AV40" s="40">
        <f t="shared" si="60"/>
        <v>1402.1512940517623</v>
      </c>
      <c r="AW40" s="40">
        <f t="shared" si="61"/>
        <v>1129.0012940517622</v>
      </c>
      <c r="AX40" s="40">
        <f t="shared" ca="1" si="62"/>
        <v>1409.9563543146628</v>
      </c>
      <c r="AY40" s="40">
        <f t="shared" ca="1" si="63"/>
        <v>1136.8063543146627</v>
      </c>
      <c r="AZ40" s="40">
        <f t="shared" ca="1" si="64"/>
        <v>1.8258195217540099</v>
      </c>
      <c r="BA40" s="40"/>
      <c r="BB40" s="40">
        <f t="shared" ca="1" si="65"/>
        <v>1383.0807868106351</v>
      </c>
      <c r="BC40" s="40">
        <f t="shared" ca="1" si="66"/>
        <v>0.61526716880184296</v>
      </c>
      <c r="BD40" s="40">
        <f t="shared" ca="1" si="67"/>
        <v>1109.9307868106353</v>
      </c>
      <c r="BE40" s="40">
        <f t="shared" ca="1" si="68"/>
        <v>5.6694186710452694</v>
      </c>
      <c r="BF40" s="40">
        <f t="shared" ca="1" si="69"/>
        <v>7.3503596843554497</v>
      </c>
      <c r="BG40" s="40">
        <f t="shared" ca="1" si="70"/>
        <v>1013.4503905774706</v>
      </c>
      <c r="BH40" s="40">
        <f t="shared" ca="1" si="71"/>
        <v>1049.4983554582882</v>
      </c>
      <c r="BI40" s="40">
        <f t="shared" ca="1" si="72"/>
        <v>1049.4983554582882</v>
      </c>
      <c r="BJ40" s="40">
        <f t="shared" ca="1" si="73"/>
        <v>1153.4076580356154</v>
      </c>
      <c r="BK40" s="70">
        <f t="shared" ca="1" si="74"/>
        <v>1.1478388117167604</v>
      </c>
      <c r="BL40" s="70">
        <f t="shared" ca="1" si="75"/>
        <v>0.79866224653639539</v>
      </c>
      <c r="BM40" s="70">
        <f t="shared" ca="1" si="76"/>
        <v>9.1407983606368051E-2</v>
      </c>
      <c r="BN40" s="180">
        <f t="shared" ca="1" si="27"/>
        <v>1.1571155240268607E-2</v>
      </c>
      <c r="BO40" s="180">
        <f t="shared" ca="1" si="28"/>
        <v>1.7414794008578732E-2</v>
      </c>
      <c r="BP40" s="180">
        <f t="shared" ca="1" si="29"/>
        <v>6.3349619942575278E-2</v>
      </c>
      <c r="BQ40" s="70">
        <f t="shared" si="77"/>
        <v>0</v>
      </c>
      <c r="BR40" s="40">
        <f t="shared" ca="1" si="78"/>
        <v>0.98240579933418604</v>
      </c>
      <c r="BS40" s="53"/>
      <c r="BT40" s="70">
        <f t="shared" si="79"/>
        <v>0.81993860311791833</v>
      </c>
      <c r="BU40" s="70">
        <f t="shared" si="80"/>
        <v>9.7220166294938348E-2</v>
      </c>
      <c r="BV40" s="70">
        <f t="shared" si="81"/>
        <v>3.6816947960874952E-2</v>
      </c>
      <c r="BW40" s="70">
        <f t="shared" si="82"/>
        <v>1.7330029101953831E-2</v>
      </c>
      <c r="BX40" s="180">
        <f t="shared" si="83"/>
        <v>4.4938151136855245E-2</v>
      </c>
      <c r="BY40" s="70">
        <f t="shared" si="84"/>
        <v>4.1221283020399834E-3</v>
      </c>
      <c r="BZ40" s="70">
        <f t="shared" si="85"/>
        <v>1.0203660259145808</v>
      </c>
      <c r="CA40" s="70">
        <f t="shared" si="86"/>
        <v>0.22247816091954026</v>
      </c>
      <c r="CB40" s="53"/>
      <c r="CC40" s="40"/>
      <c r="CD40" s="40">
        <f t="shared" ca="1" si="87"/>
        <v>1.5498809254527259</v>
      </c>
      <c r="CE40" s="40">
        <f t="shared" ca="1" si="88"/>
        <v>3.6999094554382133</v>
      </c>
      <c r="CF40" s="40">
        <f t="shared" ca="1" si="89"/>
        <v>7.5012813454866309</v>
      </c>
      <c r="CG40" s="40">
        <f t="shared" ca="1" si="90"/>
        <v>1141.9879137999824</v>
      </c>
      <c r="CH40" s="54">
        <f t="shared" ca="1" si="91"/>
        <v>0.26548772434809598</v>
      </c>
      <c r="CJ40" s="40">
        <f t="shared" si="92"/>
        <v>0.19493110653448706</v>
      </c>
      <c r="CK40" s="40">
        <f t="shared" si="93"/>
        <v>-7.9605295924928446E-2</v>
      </c>
      <c r="CL40" s="40">
        <f t="shared" ca="1" si="94"/>
        <v>818.09014579431016</v>
      </c>
      <c r="CM40" s="2"/>
      <c r="CN40" s="1">
        <f t="shared" si="95"/>
        <v>0.85712906699420643</v>
      </c>
      <c r="CO40" s="1">
        <f t="shared" si="96"/>
        <v>1.4897569818274685E-2</v>
      </c>
      <c r="CP40" s="1">
        <f t="shared" si="97"/>
        <v>0.392306862427791</v>
      </c>
      <c r="CQ40" s="1">
        <f t="shared" si="98"/>
        <v>0.12109166221272046</v>
      </c>
      <c r="CR40" s="1">
        <f t="shared" si="99"/>
        <v>2.6784140969162997E-3</v>
      </c>
      <c r="CS40" s="1">
        <f t="shared" si="100"/>
        <v>0.12355971060231638</v>
      </c>
      <c r="CT40" s="1">
        <f t="shared" si="101"/>
        <v>0.1783249580044724</v>
      </c>
      <c r="CU40" s="1">
        <f t="shared" si="102"/>
        <v>0.12004085261274401</v>
      </c>
      <c r="CV40" s="1">
        <f t="shared" si="103"/>
        <v>8.917576117881864E-3</v>
      </c>
      <c r="CW40" s="1">
        <f t="shared" si="104"/>
        <v>0</v>
      </c>
      <c r="CX40" s="1">
        <f t="shared" si="105"/>
        <v>1.9727062006383114E-3</v>
      </c>
      <c r="CY40" s="1">
        <f t="shared" si="106"/>
        <v>1.8209193790879619</v>
      </c>
      <c r="DA40" s="1">
        <f t="shared" si="107"/>
        <v>0.47071225493987218</v>
      </c>
      <c r="DB40" s="1">
        <f t="shared" si="108"/>
        <v>8.1813450882907198E-3</v>
      </c>
      <c r="DC40" s="1">
        <f t="shared" si="109"/>
        <v>0.2154443886605702</v>
      </c>
      <c r="DD40" s="1">
        <f t="shared" si="110"/>
        <v>6.6500287493986288E-2</v>
      </c>
      <c r="DE40" s="1">
        <f t="shared" si="111"/>
        <v>1.470913060553965E-3</v>
      </c>
      <c r="DF40" s="1">
        <f t="shared" si="112"/>
        <v>6.7855673360016272E-2</v>
      </c>
      <c r="DG40" s="1">
        <f t="shared" si="113"/>
        <v>9.7931275844727106E-2</v>
      </c>
      <c r="DH40" s="1">
        <f t="shared" si="114"/>
        <v>6.5923211093985107E-2</v>
      </c>
      <c r="DI40" s="1">
        <f t="shared" si="115"/>
        <v>4.8972932136887807E-3</v>
      </c>
      <c r="DJ40" s="1">
        <f t="shared" si="116"/>
        <v>0</v>
      </c>
      <c r="DK40" s="1">
        <f t="shared" si="117"/>
        <v>1.0833572443093964E-3</v>
      </c>
      <c r="DL40" s="1">
        <f t="shared" si="118"/>
        <v>1</v>
      </c>
      <c r="DM40" s="156">
        <f t="shared" si="119"/>
        <v>50.504401091479224</v>
      </c>
      <c r="DN40" s="1">
        <f t="shared" si="120"/>
        <v>0.83715712756909877</v>
      </c>
      <c r="DO40" s="1">
        <f t="shared" si="121"/>
        <v>9.1388453507063195E-3</v>
      </c>
      <c r="DP40" s="1">
        <f t="shared" si="122"/>
        <v>4.0407606830062476E-2</v>
      </c>
      <c r="DQ40" s="1">
        <f t="shared" si="123"/>
        <v>8.114533226438625E-2</v>
      </c>
      <c r="DR40" s="1">
        <f t="shared" si="124"/>
        <v>0</v>
      </c>
      <c r="DS40" s="1">
        <f t="shared" si="125"/>
        <v>0.37216780301902519</v>
      </c>
      <c r="DT40" s="1">
        <f t="shared" si="126"/>
        <v>0.40479765467015233</v>
      </c>
      <c r="DU40" s="1">
        <f t="shared" si="127"/>
        <v>3.8722855681530325E-3</v>
      </c>
      <c r="DV40" s="1">
        <f t="shared" si="128"/>
        <v>0</v>
      </c>
      <c r="DW40" s="1">
        <f t="shared" si="129"/>
        <v>1.8421270778206586E-3</v>
      </c>
      <c r="DX40" s="1">
        <f t="shared" si="130"/>
        <v>1.7505287823494051</v>
      </c>
      <c r="DZ40" s="1">
        <f t="shared" si="131"/>
        <v>1.6743142551381975</v>
      </c>
      <c r="EA40" s="1">
        <f t="shared" si="132"/>
        <v>1.8277690701412639E-2</v>
      </c>
      <c r="EB40" s="1">
        <f t="shared" si="133"/>
        <v>0.12122282049018743</v>
      </c>
      <c r="EC40" s="1">
        <f t="shared" si="134"/>
        <v>8.114533226438625E-2</v>
      </c>
      <c r="ED40" s="1">
        <f t="shared" si="135"/>
        <v>0</v>
      </c>
      <c r="EE40" s="1">
        <f t="shared" si="136"/>
        <v>0.37216780301902519</v>
      </c>
      <c r="EF40" s="1">
        <f t="shared" si="137"/>
        <v>0.40479765467015233</v>
      </c>
      <c r="EG40" s="1">
        <f t="shared" si="138"/>
        <v>3.8722855681530325E-3</v>
      </c>
      <c r="EH40" s="1">
        <f t="shared" si="139"/>
        <v>0</v>
      </c>
      <c r="EI40" s="1">
        <f t="shared" si="140"/>
        <v>5.5263812334619758E-3</v>
      </c>
      <c r="EJ40" s="1">
        <f t="shared" si="141"/>
        <v>2.6813242230849763</v>
      </c>
      <c r="EK40" s="1">
        <f t="shared" si="142"/>
        <v>2.2377002931397634</v>
      </c>
      <c r="EM40" s="1">
        <f t="shared" si="143"/>
        <v>1.8733067497654146</v>
      </c>
      <c r="EN40" s="1">
        <f t="shared" si="144"/>
        <v>2.0449996920234494E-2</v>
      </c>
      <c r="EO40" s="1">
        <f t="shared" si="145"/>
        <v>0.12669325023458544</v>
      </c>
      <c r="EP40" s="1">
        <f t="shared" si="146"/>
        <v>5.4146977062828783E-2</v>
      </c>
      <c r="EQ40" s="1">
        <f t="shared" si="147"/>
        <v>0.18084022729741422</v>
      </c>
      <c r="ER40" s="1">
        <f t="shared" si="148"/>
        <v>0.18157893379494061</v>
      </c>
      <c r="ES40" s="1">
        <f t="shared" si="149"/>
        <v>0</v>
      </c>
      <c r="ET40" s="1">
        <f t="shared" si="150"/>
        <v>0.83280000191285442</v>
      </c>
      <c r="EU40" s="1">
        <f t="shared" si="151"/>
        <v>0.90581583051768855</v>
      </c>
      <c r="EV40" s="1">
        <f t="shared" si="152"/>
        <v>1.7330029101953831E-2</v>
      </c>
      <c r="EW40" s="1">
        <f t="shared" si="153"/>
        <v>0</v>
      </c>
      <c r="EX40" s="1">
        <f t="shared" si="154"/>
        <v>8.2442566040799668E-3</v>
      </c>
      <c r="EY40" s="1">
        <f t="shared" si="155"/>
        <v>4.0203660259145799</v>
      </c>
      <c r="EZ40" s="1">
        <f t="shared" si="156"/>
        <v>4.0732051829161536E-2</v>
      </c>
      <c r="FA40" s="1">
        <f t="shared" si="157"/>
        <v>6.0788572333875024E-2</v>
      </c>
      <c r="FB40" s="1">
        <f t="shared" si="158"/>
        <v>1.7330029101953831E-2</v>
      </c>
      <c r="FC40" s="1">
        <f t="shared" si="159"/>
        <v>3.6816947960874952E-2</v>
      </c>
      <c r="FD40" s="1">
        <f t="shared" si="160"/>
        <v>4.4938151136855245E-2</v>
      </c>
      <c r="FE40" s="1">
        <f t="shared" si="161"/>
        <v>4.1221283020399834E-3</v>
      </c>
      <c r="FF40" s="2">
        <f t="shared" si="162"/>
        <v>0.81993860311791833</v>
      </c>
      <c r="FG40" s="1">
        <f t="shared" si="163"/>
        <v>9.7220166294938348E-2</v>
      </c>
      <c r="FH40" s="1">
        <f t="shared" si="164"/>
        <v>1.0203660259145808</v>
      </c>
      <c r="FI40" s="1">
        <f t="shared" si="165"/>
        <v>0.81993860311791833</v>
      </c>
      <c r="FJ40" s="1">
        <f t="shared" si="166"/>
        <v>1.7060192373098244</v>
      </c>
      <c r="FK40" s="1">
        <f t="shared" si="167"/>
        <v>-3.9332234276283842</v>
      </c>
      <c r="FL40" s="1">
        <f t="shared" si="168"/>
        <v>-3.9332234276283842</v>
      </c>
      <c r="FM40" s="1">
        <f t="shared" si="169"/>
        <v>0.50504401091479223</v>
      </c>
      <c r="FN40" s="67">
        <f t="shared" ca="1" si="170"/>
        <v>1409.9563543146628</v>
      </c>
      <c r="FO40" s="67">
        <f t="shared" ca="1" si="171"/>
        <v>1.8258195217540099</v>
      </c>
      <c r="FP40" s="1">
        <f t="shared" ca="1" si="172"/>
        <v>0.14099563543146629</v>
      </c>
      <c r="FQ40" s="2">
        <f t="shared" ca="1" si="173"/>
        <v>1.3464092060897148</v>
      </c>
      <c r="FR40" s="2">
        <f t="shared" ca="1" si="174"/>
        <v>5.8873754419107165</v>
      </c>
      <c r="FS40" s="1">
        <f t="shared" ca="1" si="175"/>
        <v>3.4714234950405309</v>
      </c>
      <c r="FT40" s="1">
        <f t="shared" si="176"/>
        <v>6.8922235400902546E-2</v>
      </c>
      <c r="FU40" s="2">
        <f t="shared" si="177"/>
        <v>82.099496805082822</v>
      </c>
      <c r="FV40" s="2">
        <f t="shared" ca="1" si="178"/>
        <v>8.1869253281471348</v>
      </c>
      <c r="FW40" s="2">
        <f t="shared" ca="1" si="179"/>
        <v>0.25927201776262154</v>
      </c>
      <c r="FX40" s="2">
        <f t="shared" si="180"/>
        <v>0.22247816091954026</v>
      </c>
      <c r="FY40" s="1">
        <f t="shared" si="181"/>
        <v>0.92314585961964235</v>
      </c>
      <c r="FZ40" s="1">
        <f t="shared" si="182"/>
        <v>0.12357328241630479</v>
      </c>
      <c r="GA40" s="1">
        <f t="shared" si="183"/>
        <v>0.13064123128324104</v>
      </c>
      <c r="GB40" s="1">
        <f t="shared" si="184"/>
        <v>0.92540302601693669</v>
      </c>
      <c r="GC40" s="1">
        <f t="shared" si="185"/>
        <v>4.8243857861696826E-2</v>
      </c>
      <c r="GD40" s="1">
        <f t="shared" si="186"/>
        <v>0.14084688196577907</v>
      </c>
      <c r="GE40" s="1">
        <f t="shared" si="187"/>
        <v>0.86935876871675899</v>
      </c>
      <c r="GF40" s="1">
        <f t="shared" si="188"/>
        <v>0.31645872048021251</v>
      </c>
      <c r="GG40" s="1">
        <f t="shared" si="189"/>
        <v>-1.0824666038733648E-2</v>
      </c>
      <c r="GH40" s="1">
        <f t="shared" si="190"/>
        <v>2.3794176797551657E-2</v>
      </c>
      <c r="GI40" s="1">
        <f t="shared" si="191"/>
        <v>2.3794176797551657E-2</v>
      </c>
      <c r="GJ40" s="1">
        <f t="shared" si="192"/>
        <v>0.11705270516822741</v>
      </c>
      <c r="GK40" s="1">
        <f t="shared" si="193"/>
        <v>5.3059963582805993E-2</v>
      </c>
      <c r="GL40" s="1">
        <f t="shared" si="194"/>
        <v>0.77974003833004846</v>
      </c>
      <c r="GM40" s="1">
        <f t="shared" si="195"/>
        <v>0.90581583051768855</v>
      </c>
      <c r="GN40" s="1">
        <f t="shared" si="196"/>
        <v>1.7330029101953831E-2</v>
      </c>
      <c r="GO40" s="1">
        <f t="shared" si="197"/>
        <v>439.91002708917955</v>
      </c>
      <c r="GP40" s="1">
        <f t="shared" si="198"/>
        <v>11.788859467150782</v>
      </c>
      <c r="GQ40" s="1">
        <f t="shared" si="199"/>
        <v>2.1847553311657006</v>
      </c>
      <c r="GR40" s="1">
        <f t="shared" si="200"/>
        <v>8.9848062994189425E-6</v>
      </c>
      <c r="GS40" s="1">
        <f t="shared" si="201"/>
        <v>1837.7772740133462</v>
      </c>
      <c r="GT40" s="1">
        <f t="shared" ca="1" si="202"/>
        <v>0.3498652950677823</v>
      </c>
      <c r="GU40" s="2">
        <f t="shared" ca="1" si="203"/>
        <v>20.475906345486631</v>
      </c>
      <c r="GV40" s="4">
        <f t="shared" ca="1" si="204"/>
        <v>3.3206997196703831</v>
      </c>
      <c r="GW40" s="4">
        <f t="shared" ca="1" si="205"/>
        <v>2.8629542403147656</v>
      </c>
      <c r="GX40" s="4">
        <f t="shared" si="206"/>
        <v>4.1400000000000006</v>
      </c>
      <c r="GY40" s="4">
        <f t="shared" si="207"/>
        <v>5.3077524999999994</v>
      </c>
      <c r="GZ40" s="4">
        <f t="shared" ca="1" si="208"/>
        <v>3.3206997196703831</v>
      </c>
      <c r="HA40" s="1">
        <f t="shared" si="209"/>
        <v>439.91002708917955</v>
      </c>
      <c r="HB40" s="1">
        <f t="shared" si="210"/>
        <v>11.788859467150782</v>
      </c>
      <c r="HC40" s="4">
        <f t="shared" si="211"/>
        <v>9.7795680705360155E-2</v>
      </c>
      <c r="HD40" s="4"/>
      <c r="HE40" s="7">
        <f t="shared" si="212"/>
        <v>0.14084688196577907</v>
      </c>
      <c r="HF40" s="7">
        <f t="shared" si="213"/>
        <v>0.83280000191285442</v>
      </c>
      <c r="HG40" s="7">
        <f t="shared" si="214"/>
        <v>1.7330029101953831E-2</v>
      </c>
      <c r="HH40" s="7">
        <f t="shared" si="215"/>
        <v>0</v>
      </c>
      <c r="HI40" s="7">
        <f t="shared" si="216"/>
        <v>2.3402022727207705E-2</v>
      </c>
      <c r="HJ40" s="7">
        <f t="shared" si="217"/>
        <v>0</v>
      </c>
      <c r="HK40" s="7">
        <f t="shared" si="218"/>
        <v>0</v>
      </c>
      <c r="HL40" s="7">
        <f t="shared" si="219"/>
        <v>5.4146977062828783E-2</v>
      </c>
      <c r="HM40" s="7">
        <f t="shared" si="220"/>
        <v>0.10329122750737774</v>
      </c>
      <c r="HN40" s="7">
        <f t="shared" si="221"/>
        <v>0.14465910002679763</v>
      </c>
      <c r="HO40" s="7">
        <f t="shared" si="222"/>
        <v>0.66641540900879304</v>
      </c>
      <c r="HP40" s="7">
        <f t="shared" si="223"/>
        <v>0.11270717127431008</v>
      </c>
      <c r="HQ40" s="7">
        <f t="shared" si="224"/>
        <v>6.5736489599601933E-2</v>
      </c>
      <c r="HR40" s="7">
        <f t="shared" si="225"/>
        <v>1.1117650780755703E-2</v>
      </c>
      <c r="HS40" s="7">
        <f t="shared" si="226"/>
        <v>1.7330029101953831E-2</v>
      </c>
      <c r="HT40" s="7"/>
      <c r="HU40" s="16">
        <f t="shared" si="227"/>
        <v>-8.770683973521862E-7</v>
      </c>
      <c r="HV40" s="16">
        <f t="shared" si="228"/>
        <v>1.6489344763633537E-12</v>
      </c>
      <c r="HW40" s="16">
        <f t="shared" si="229"/>
        <v>2.7212985798354358E-5</v>
      </c>
      <c r="HX40" s="16">
        <f t="shared" si="230"/>
        <v>7.7687057609839341E-9</v>
      </c>
      <c r="HY40" s="7">
        <f t="shared" si="231"/>
        <v>2.1847553311657006</v>
      </c>
      <c r="HZ40" s="7">
        <f t="shared" ca="1" si="232"/>
        <v>456.91943087710541</v>
      </c>
      <c r="IA40" s="7">
        <f t="shared" ca="1" si="233"/>
        <v>3.3206997196703831</v>
      </c>
      <c r="IB40" s="7">
        <f t="shared" ca="1" si="234"/>
        <v>456.9196074875324</v>
      </c>
      <c r="IC40" s="7">
        <f t="shared" ca="1" si="235"/>
        <v>2.8629542403147656</v>
      </c>
      <c r="ID40" s="7">
        <f t="shared" ca="1" si="236"/>
        <v>3.3206997196703831</v>
      </c>
      <c r="IE40" s="7"/>
      <c r="IF40" s="2">
        <f t="shared" si="237"/>
        <v>6.8922235400902546E-2</v>
      </c>
      <c r="IG40" s="17">
        <f t="shared" ca="1" si="238"/>
        <v>1084.9307868106353</v>
      </c>
      <c r="IH40" s="17"/>
      <c r="II40" s="7">
        <f t="shared" si="239"/>
        <v>2.0735940187551152</v>
      </c>
      <c r="IJ40" s="17">
        <f t="shared" si="240"/>
        <v>1837.7772740133462</v>
      </c>
      <c r="IK40" s="16">
        <f t="shared" si="241"/>
        <v>1.2695258267441407E-5</v>
      </c>
      <c r="IM40" s="1">
        <f t="shared" si="242"/>
        <v>1</v>
      </c>
      <c r="IN40" s="166">
        <f t="shared" si="243"/>
        <v>0.43370600553707628</v>
      </c>
      <c r="IO40" s="166">
        <f t="shared" si="244"/>
        <v>9.4562768834053929E-2</v>
      </c>
      <c r="IP40" s="166">
        <f t="shared" si="245"/>
        <v>0.47173122562886988</v>
      </c>
      <c r="IR40" s="167">
        <f t="shared" si="246"/>
        <v>0.38154583018529487</v>
      </c>
      <c r="IS40" s="167">
        <f t="shared" si="247"/>
        <v>0.47173122562886988</v>
      </c>
      <c r="IU40" s="169">
        <v>0.1</v>
      </c>
      <c r="IV40" s="169">
        <v>0.9</v>
      </c>
      <c r="IW40" s="169">
        <v>0</v>
      </c>
      <c r="IX40" s="169"/>
      <c r="IY40" s="167">
        <f t="shared" si="248"/>
        <v>1.0392304845413263</v>
      </c>
      <c r="IZ40" s="167">
        <f t="shared" si="249"/>
        <v>0</v>
      </c>
    </row>
    <row r="41" spans="1:260" ht="13.2">
      <c r="A41" s="139" t="s">
        <v>201</v>
      </c>
      <c r="B41" s="139" t="s">
        <v>202</v>
      </c>
      <c r="C41" s="78">
        <f t="shared" si="43"/>
        <v>1.9</v>
      </c>
      <c r="D41" s="133">
        <f t="shared" ca="1" si="44"/>
        <v>1114.2185784445674</v>
      </c>
      <c r="E41" s="15">
        <f t="shared" ca="1" si="45"/>
        <v>-8.0104605746241786E-3</v>
      </c>
      <c r="F41" s="123">
        <v>51.5</v>
      </c>
      <c r="G41" s="123">
        <v>2</v>
      </c>
      <c r="H41" s="123">
        <v>19.2</v>
      </c>
      <c r="I41" s="123">
        <v>8.6999999999999993</v>
      </c>
      <c r="J41" s="123">
        <v>0.19</v>
      </c>
      <c r="K41" s="132">
        <v>4.9800000000000004</v>
      </c>
      <c r="L41" s="123">
        <v>10</v>
      </c>
      <c r="M41" s="123">
        <v>3.72</v>
      </c>
      <c r="N41" s="123">
        <v>0.42</v>
      </c>
      <c r="O41" s="123">
        <v>0</v>
      </c>
      <c r="P41" s="123">
        <v>0.14000000000000001</v>
      </c>
      <c r="Q41" s="123">
        <v>6.2</v>
      </c>
      <c r="R41" s="119">
        <f t="shared" ca="1" si="46"/>
        <v>4.9873968038777194</v>
      </c>
      <c r="T41" s="123">
        <v>50.3</v>
      </c>
      <c r="U41" s="123">
        <v>0.73</v>
      </c>
      <c r="V41" s="123">
        <v>4.12</v>
      </c>
      <c r="W41" s="123">
        <v>5.83</v>
      </c>
      <c r="X41" s="123">
        <v>0</v>
      </c>
      <c r="Y41" s="123">
        <v>15</v>
      </c>
      <c r="Z41" s="123">
        <v>22.7</v>
      </c>
      <c r="AA41" s="123">
        <v>0.24</v>
      </c>
      <c r="AB41" s="123">
        <v>0</v>
      </c>
      <c r="AC41" s="123">
        <v>0.28000000000000003</v>
      </c>
      <c r="AE41" s="112">
        <f t="shared" ca="1" si="47"/>
        <v>1294.7233724924386</v>
      </c>
      <c r="AF41" s="165">
        <f t="shared" ca="1" si="48"/>
        <v>1021.5733724924386</v>
      </c>
      <c r="AG41" s="165">
        <f t="shared" ca="1" si="49"/>
        <v>1.6203061756584598</v>
      </c>
      <c r="AH41" s="91">
        <f t="shared" ca="1" si="50"/>
        <v>1411.1672258255344</v>
      </c>
      <c r="AI41" s="91">
        <f t="shared" ca="1" si="51"/>
        <v>1.8386475388324452</v>
      </c>
      <c r="AJ41" s="91"/>
      <c r="AK41" s="91">
        <f t="shared" ca="1" si="52"/>
        <v>1387.3685784445672</v>
      </c>
      <c r="AL41" s="91">
        <f t="shared" ca="1" si="53"/>
        <v>0.72629496192470189</v>
      </c>
      <c r="AM41" s="91"/>
      <c r="AN41" s="91">
        <f t="shared" ca="1" si="54"/>
        <v>1273.5009317244485</v>
      </c>
      <c r="AO41" s="91">
        <f t="shared" ca="1" si="55"/>
        <v>1000.3509317244485</v>
      </c>
      <c r="AP41" s="91">
        <f t="shared" ca="1" si="56"/>
        <v>-3.1468053351770351</v>
      </c>
      <c r="AQ41" s="91"/>
      <c r="AR41" s="91">
        <f t="shared" ca="1" si="57"/>
        <v>1288.1773963727821</v>
      </c>
      <c r="AS41" s="91">
        <f t="shared" ca="1" si="58"/>
        <v>1015.0273963727822</v>
      </c>
      <c r="AT41" s="40">
        <f t="shared" ca="1" si="59"/>
        <v>-2.6153112367915075</v>
      </c>
      <c r="AV41" s="40">
        <f t="shared" si="60"/>
        <v>1403.9280476958077</v>
      </c>
      <c r="AW41" s="40">
        <f t="shared" si="61"/>
        <v>1130.7780476958078</v>
      </c>
      <c r="AX41" s="40">
        <f t="shared" ca="1" si="62"/>
        <v>1411.1672258255344</v>
      </c>
      <c r="AY41" s="40">
        <f t="shared" ca="1" si="63"/>
        <v>1138.0172258255343</v>
      </c>
      <c r="AZ41" s="40">
        <f t="shared" ca="1" si="64"/>
        <v>1.8386475388324452</v>
      </c>
      <c r="BA41" s="40"/>
      <c r="BB41" s="40">
        <f t="shared" ca="1" si="65"/>
        <v>1387.3685784445672</v>
      </c>
      <c r="BC41" s="40">
        <f t="shared" ca="1" si="66"/>
        <v>0.72629496192470189</v>
      </c>
      <c r="BD41" s="40">
        <f t="shared" ca="1" si="67"/>
        <v>1114.2185784445674</v>
      </c>
      <c r="BE41" s="40">
        <f t="shared" ca="1" si="68"/>
        <v>5.8361421435856675</v>
      </c>
      <c r="BF41" s="40">
        <f t="shared" ca="1" si="69"/>
        <v>7.4294984096796863</v>
      </c>
      <c r="BG41" s="40">
        <f t="shared" ca="1" si="70"/>
        <v>1022.2537360279845</v>
      </c>
      <c r="BH41" s="40">
        <f t="shared" ca="1" si="71"/>
        <v>1050.0804099466236</v>
      </c>
      <c r="BI41" s="40">
        <f t="shared" ca="1" si="72"/>
        <v>1050.0804099466236</v>
      </c>
      <c r="BJ41" s="40">
        <f t="shared" ca="1" si="73"/>
        <v>1149.9677701712194</v>
      </c>
      <c r="BK41" s="70">
        <f t="shared" ca="1" si="74"/>
        <v>1.1219069918070592</v>
      </c>
      <c r="BL41" s="70">
        <f t="shared" ca="1" si="75"/>
        <v>0.81192814254329415</v>
      </c>
      <c r="BM41" s="70">
        <f t="shared" ca="1" si="76"/>
        <v>9.0895700893982481E-2</v>
      </c>
      <c r="BN41" s="180">
        <f t="shared" ca="1" si="27"/>
        <v>1.1091602524528827E-2</v>
      </c>
      <c r="BO41" s="180">
        <f t="shared" ca="1" si="28"/>
        <v>1.731477173184303E-2</v>
      </c>
      <c r="BP41" s="180">
        <f t="shared" ca="1" si="29"/>
        <v>8.0796792978369905E-2</v>
      </c>
      <c r="BQ41" s="70">
        <f t="shared" si="77"/>
        <v>0</v>
      </c>
      <c r="BR41" s="40">
        <f t="shared" ca="1" si="78"/>
        <v>1.0120270106720184</v>
      </c>
      <c r="BS41" s="53"/>
      <c r="BT41" s="70">
        <f t="shared" si="79"/>
        <v>0.81993860311791833</v>
      </c>
      <c r="BU41" s="70">
        <f t="shared" si="80"/>
        <v>9.7220166294938348E-2</v>
      </c>
      <c r="BV41" s="70">
        <f t="shared" si="81"/>
        <v>3.6816947960874952E-2</v>
      </c>
      <c r="BW41" s="70">
        <f t="shared" si="82"/>
        <v>1.7330029101953831E-2</v>
      </c>
      <c r="BX41" s="180">
        <f t="shared" si="83"/>
        <v>4.4938151136855245E-2</v>
      </c>
      <c r="BY41" s="70">
        <f t="shared" si="84"/>
        <v>4.1221283020399834E-3</v>
      </c>
      <c r="BZ41" s="70">
        <f t="shared" si="85"/>
        <v>1.0203660259145808</v>
      </c>
      <c r="CA41" s="70">
        <f t="shared" si="86"/>
        <v>0.22247816091954026</v>
      </c>
      <c r="CB41" s="53"/>
      <c r="CC41" s="40"/>
      <c r="CD41" s="40">
        <f t="shared" ca="1" si="87"/>
        <v>1.5701877337369297</v>
      </c>
      <c r="CE41" s="40">
        <f t="shared" ca="1" si="88"/>
        <v>3.7315689957717346</v>
      </c>
      <c r="CF41" s="40">
        <f t="shared" ca="1" si="89"/>
        <v>7.7299398395021264</v>
      </c>
      <c r="CG41" s="40">
        <f t="shared" ca="1" si="90"/>
        <v>1142.0928677397005</v>
      </c>
      <c r="CH41" s="54">
        <f t="shared" ca="1" si="91"/>
        <v>0.26576560698959678</v>
      </c>
      <c r="CJ41" s="40">
        <f t="shared" si="92"/>
        <v>0.19493110653448706</v>
      </c>
      <c r="CK41" s="40">
        <f t="shared" si="93"/>
        <v>-7.9605295924928446E-2</v>
      </c>
      <c r="CL41" s="40">
        <f t="shared" ca="1" si="94"/>
        <v>818.11380814370943</v>
      </c>
      <c r="CM41" s="2"/>
      <c r="CN41" s="1">
        <f t="shared" si="95"/>
        <v>0.85712906699420643</v>
      </c>
      <c r="CO41" s="1">
        <f t="shared" si="96"/>
        <v>2.503793246768855E-2</v>
      </c>
      <c r="CP41" s="1">
        <f t="shared" si="97"/>
        <v>0.37661458793067937</v>
      </c>
      <c r="CQ41" s="1">
        <f t="shared" si="98"/>
        <v>0.12109166221272046</v>
      </c>
      <c r="CR41" s="1">
        <f t="shared" si="99"/>
        <v>2.6784140969162997E-3</v>
      </c>
      <c r="CS41" s="1">
        <f t="shared" si="100"/>
        <v>0.12355971060231638</v>
      </c>
      <c r="CT41" s="1">
        <f t="shared" si="101"/>
        <v>0.1783249580044724</v>
      </c>
      <c r="CU41" s="1">
        <f t="shared" si="102"/>
        <v>0.12004085261274401</v>
      </c>
      <c r="CV41" s="1">
        <f t="shared" si="103"/>
        <v>8.917576117881864E-3</v>
      </c>
      <c r="CW41" s="1">
        <f t="shared" si="104"/>
        <v>0</v>
      </c>
      <c r="CX41" s="1">
        <f t="shared" si="105"/>
        <v>1.9727062006383114E-3</v>
      </c>
      <c r="CY41" s="1">
        <f t="shared" si="106"/>
        <v>1.8153674672402642</v>
      </c>
      <c r="DA41" s="1">
        <f t="shared" si="107"/>
        <v>0.47215182736375721</v>
      </c>
      <c r="DB41" s="1">
        <f t="shared" si="108"/>
        <v>1.3792211725459315E-2</v>
      </c>
      <c r="DC41" s="1">
        <f t="shared" si="109"/>
        <v>0.20745914792844217</v>
      </c>
      <c r="DD41" s="1">
        <f t="shared" si="110"/>
        <v>6.6703664353314068E-2</v>
      </c>
      <c r="DE41" s="1">
        <f t="shared" si="111"/>
        <v>1.4754115325136049E-3</v>
      </c>
      <c r="DF41" s="1">
        <f t="shared" si="112"/>
        <v>6.8063195376169658E-2</v>
      </c>
      <c r="DG41" s="1">
        <f t="shared" si="113"/>
        <v>9.8230777637303035E-2</v>
      </c>
      <c r="DH41" s="1">
        <f t="shared" si="114"/>
        <v>6.6124823088975507E-2</v>
      </c>
      <c r="DI41" s="1">
        <f t="shared" si="115"/>
        <v>4.9122705340965663E-3</v>
      </c>
      <c r="DJ41" s="1">
        <f t="shared" si="116"/>
        <v>0</v>
      </c>
      <c r="DK41" s="1">
        <f t="shared" si="117"/>
        <v>1.0866704599687659E-3</v>
      </c>
      <c r="DL41" s="1">
        <f t="shared" si="118"/>
        <v>1</v>
      </c>
      <c r="DM41" s="156">
        <f t="shared" si="119"/>
        <v>50.504401091479231</v>
      </c>
      <c r="DN41" s="1">
        <f t="shared" si="120"/>
        <v>0.83715712756909877</v>
      </c>
      <c r="DO41" s="1">
        <f t="shared" si="121"/>
        <v>9.1388453507063195E-3</v>
      </c>
      <c r="DP41" s="1">
        <f t="shared" si="122"/>
        <v>4.0407606830062476E-2</v>
      </c>
      <c r="DQ41" s="1">
        <f t="shared" si="123"/>
        <v>8.114533226438625E-2</v>
      </c>
      <c r="DR41" s="1">
        <f t="shared" si="124"/>
        <v>0</v>
      </c>
      <c r="DS41" s="1">
        <f t="shared" si="125"/>
        <v>0.37216780301902519</v>
      </c>
      <c r="DT41" s="1">
        <f t="shared" si="126"/>
        <v>0.40479765467015233</v>
      </c>
      <c r="DU41" s="1">
        <f t="shared" si="127"/>
        <v>3.8722855681530325E-3</v>
      </c>
      <c r="DV41" s="1">
        <f t="shared" si="128"/>
        <v>0</v>
      </c>
      <c r="DW41" s="1">
        <f t="shared" si="129"/>
        <v>1.8421270778206586E-3</v>
      </c>
      <c r="DX41" s="1">
        <f t="shared" si="130"/>
        <v>1.7505287823494051</v>
      </c>
      <c r="DZ41" s="1">
        <f t="shared" si="131"/>
        <v>1.6743142551381975</v>
      </c>
      <c r="EA41" s="1">
        <f t="shared" si="132"/>
        <v>1.8277690701412639E-2</v>
      </c>
      <c r="EB41" s="1">
        <f t="shared" si="133"/>
        <v>0.12122282049018743</v>
      </c>
      <c r="EC41" s="1">
        <f t="shared" si="134"/>
        <v>8.114533226438625E-2</v>
      </c>
      <c r="ED41" s="1">
        <f t="shared" si="135"/>
        <v>0</v>
      </c>
      <c r="EE41" s="1">
        <f t="shared" si="136"/>
        <v>0.37216780301902519</v>
      </c>
      <c r="EF41" s="1">
        <f t="shared" si="137"/>
        <v>0.40479765467015233</v>
      </c>
      <c r="EG41" s="1">
        <f t="shared" si="138"/>
        <v>3.8722855681530325E-3</v>
      </c>
      <c r="EH41" s="1">
        <f t="shared" si="139"/>
        <v>0</v>
      </c>
      <c r="EI41" s="1">
        <f t="shared" si="140"/>
        <v>5.5263812334619758E-3</v>
      </c>
      <c r="EJ41" s="1">
        <f t="shared" si="141"/>
        <v>2.6813242230849763</v>
      </c>
      <c r="EK41" s="1">
        <f t="shared" si="142"/>
        <v>2.2377002931397634</v>
      </c>
      <c r="EM41" s="1">
        <f t="shared" si="143"/>
        <v>1.8733067497654146</v>
      </c>
      <c r="EN41" s="1">
        <f t="shared" si="144"/>
        <v>2.0449996920234494E-2</v>
      </c>
      <c r="EO41" s="1">
        <f t="shared" si="145"/>
        <v>0.12669325023458544</v>
      </c>
      <c r="EP41" s="1">
        <f t="shared" si="146"/>
        <v>5.4146977062828783E-2</v>
      </c>
      <c r="EQ41" s="1">
        <f t="shared" si="147"/>
        <v>0.18084022729741422</v>
      </c>
      <c r="ER41" s="1">
        <f t="shared" si="148"/>
        <v>0.18157893379494061</v>
      </c>
      <c r="ES41" s="1">
        <f t="shared" si="149"/>
        <v>0</v>
      </c>
      <c r="ET41" s="1">
        <f t="shared" si="150"/>
        <v>0.83280000191285442</v>
      </c>
      <c r="EU41" s="1">
        <f t="shared" si="151"/>
        <v>0.90581583051768855</v>
      </c>
      <c r="EV41" s="1">
        <f t="shared" si="152"/>
        <v>1.7330029101953831E-2</v>
      </c>
      <c r="EW41" s="1">
        <f t="shared" si="153"/>
        <v>0</v>
      </c>
      <c r="EX41" s="1">
        <f t="shared" si="154"/>
        <v>8.2442566040799668E-3</v>
      </c>
      <c r="EY41" s="1">
        <f t="shared" si="155"/>
        <v>4.0203660259145799</v>
      </c>
      <c r="EZ41" s="1">
        <f t="shared" si="156"/>
        <v>4.0732051829161536E-2</v>
      </c>
      <c r="FA41" s="1">
        <f t="shared" si="157"/>
        <v>6.0788572333875024E-2</v>
      </c>
      <c r="FB41" s="1">
        <f t="shared" si="158"/>
        <v>1.7330029101953831E-2</v>
      </c>
      <c r="FC41" s="1">
        <f t="shared" si="159"/>
        <v>3.6816947960874952E-2</v>
      </c>
      <c r="FD41" s="1">
        <f t="shared" si="160"/>
        <v>4.4938151136855245E-2</v>
      </c>
      <c r="FE41" s="1">
        <f t="shared" si="161"/>
        <v>4.1221283020399834E-3</v>
      </c>
      <c r="FF41" s="2">
        <f t="shared" si="162"/>
        <v>0.81993860311791833</v>
      </c>
      <c r="FG41" s="1">
        <f t="shared" si="163"/>
        <v>9.7220166294938348E-2</v>
      </c>
      <c r="FH41" s="1">
        <f t="shared" si="164"/>
        <v>1.0203660259145808</v>
      </c>
      <c r="FI41" s="1">
        <f t="shared" si="165"/>
        <v>0.81993860311791833</v>
      </c>
      <c r="FJ41" s="1">
        <f t="shared" si="166"/>
        <v>1.7346267583379034</v>
      </c>
      <c r="FK41" s="1">
        <f t="shared" si="167"/>
        <v>-3.8924014331081294</v>
      </c>
      <c r="FL41" s="1">
        <f t="shared" si="168"/>
        <v>-3.8924014331081294</v>
      </c>
      <c r="FM41" s="1">
        <f t="shared" si="169"/>
        <v>0.50504401091479234</v>
      </c>
      <c r="FN41" s="67">
        <f t="shared" ca="1" si="170"/>
        <v>1411.1672258255344</v>
      </c>
      <c r="FO41" s="67">
        <f t="shared" ca="1" si="171"/>
        <v>1.8386475388324452</v>
      </c>
      <c r="FP41" s="1">
        <f t="shared" ca="1" si="172"/>
        <v>0.14111672258255345</v>
      </c>
      <c r="FQ41" s="2">
        <f t="shared" ca="1" si="173"/>
        <v>1.3856678160698326</v>
      </c>
      <c r="FR41" s="2">
        <f t="shared" ca="1" si="174"/>
        <v>5.8891184166196684</v>
      </c>
      <c r="FS41" s="1">
        <f t="shared" ca="1" si="175"/>
        <v>3.570132166273984</v>
      </c>
      <c r="FT41" s="1">
        <f t="shared" si="176"/>
        <v>6.8922235400902546E-2</v>
      </c>
      <c r="FU41" s="2">
        <f t="shared" si="177"/>
        <v>82.099496805082822</v>
      </c>
      <c r="FV41" s="2">
        <f t="shared" ca="1" si="178"/>
        <v>8.2737014398768398</v>
      </c>
      <c r="FW41" s="2">
        <f t="shared" ca="1" si="179"/>
        <v>0.26026985607180475</v>
      </c>
      <c r="FX41" s="2">
        <f t="shared" si="180"/>
        <v>0.22247816091954026</v>
      </c>
      <c r="FY41" s="1">
        <f t="shared" si="181"/>
        <v>0.92314585961964235</v>
      </c>
      <c r="FZ41" s="1">
        <f t="shared" si="182"/>
        <v>0.12357328241630479</v>
      </c>
      <c r="GA41" s="1">
        <f t="shared" si="183"/>
        <v>0.13064123128324104</v>
      </c>
      <c r="GB41" s="1">
        <f t="shared" si="184"/>
        <v>0.92540302601693669</v>
      </c>
      <c r="GC41" s="1">
        <f t="shared" si="185"/>
        <v>4.8243857861696826E-2</v>
      </c>
      <c r="GD41" s="1">
        <f t="shared" si="186"/>
        <v>0.14084688196577907</v>
      </c>
      <c r="GE41" s="1">
        <f t="shared" si="187"/>
        <v>0.86935876871675899</v>
      </c>
      <c r="GF41" s="1">
        <f t="shared" si="188"/>
        <v>0.31645872048021251</v>
      </c>
      <c r="GG41" s="1">
        <f t="shared" si="189"/>
        <v>-1.0824666038733648E-2</v>
      </c>
      <c r="GH41" s="1">
        <f t="shared" si="190"/>
        <v>2.3794176797551657E-2</v>
      </c>
      <c r="GI41" s="1">
        <f t="shared" si="191"/>
        <v>2.3794176797551657E-2</v>
      </c>
      <c r="GJ41" s="1">
        <f t="shared" si="192"/>
        <v>0.11705270516822741</v>
      </c>
      <c r="GK41" s="1">
        <f t="shared" si="193"/>
        <v>5.3059963582805993E-2</v>
      </c>
      <c r="GL41" s="1">
        <f t="shared" si="194"/>
        <v>0.77974003833004846</v>
      </c>
      <c r="GM41" s="1">
        <f t="shared" si="195"/>
        <v>0.90581583051768855</v>
      </c>
      <c r="GN41" s="1">
        <f t="shared" si="196"/>
        <v>1.7330029101953831E-2</v>
      </c>
      <c r="GO41" s="1">
        <f t="shared" si="197"/>
        <v>439.91002708917955</v>
      </c>
      <c r="GP41" s="1">
        <f t="shared" si="198"/>
        <v>11.788859467150782</v>
      </c>
      <c r="GQ41" s="1">
        <f t="shared" si="199"/>
        <v>2.1847553311657006</v>
      </c>
      <c r="GR41" s="1">
        <f t="shared" si="200"/>
        <v>8.9848062994189425E-6</v>
      </c>
      <c r="GS41" s="1">
        <f t="shared" si="201"/>
        <v>1837.7772740133462</v>
      </c>
      <c r="GT41" s="1">
        <f t="shared" ca="1" si="202"/>
        <v>0.3512686096607685</v>
      </c>
      <c r="GU41" s="2">
        <f t="shared" ca="1" si="203"/>
        <v>20.70456483950213</v>
      </c>
      <c r="GV41" s="4">
        <f t="shared" ca="1" si="204"/>
        <v>3.2360561109939816</v>
      </c>
      <c r="GW41" s="4">
        <f t="shared" ca="1" si="205"/>
        <v>2.7614152013912321</v>
      </c>
      <c r="GX41" s="4">
        <f t="shared" si="206"/>
        <v>4.1400000000000006</v>
      </c>
      <c r="GY41" s="4">
        <f t="shared" si="207"/>
        <v>5.3077524999999994</v>
      </c>
      <c r="GZ41" s="4">
        <f t="shared" ca="1" si="208"/>
        <v>3.2360561109939816</v>
      </c>
      <c r="HA41" s="1">
        <f t="shared" si="209"/>
        <v>439.91002708917955</v>
      </c>
      <c r="HB41" s="1">
        <f t="shared" si="210"/>
        <v>11.788859467150782</v>
      </c>
      <c r="HC41" s="4">
        <f t="shared" si="211"/>
        <v>9.7795680705360155E-2</v>
      </c>
      <c r="HD41" s="4"/>
      <c r="HE41" s="7">
        <f t="shared" si="212"/>
        <v>0.14084688196577907</v>
      </c>
      <c r="HF41" s="7">
        <f t="shared" si="213"/>
        <v>0.83280000191285442</v>
      </c>
      <c r="HG41" s="7">
        <f t="shared" si="214"/>
        <v>1.7330029101953831E-2</v>
      </c>
      <c r="HH41" s="7">
        <f t="shared" si="215"/>
        <v>0</v>
      </c>
      <c r="HI41" s="7">
        <f t="shared" si="216"/>
        <v>2.3402022727207705E-2</v>
      </c>
      <c r="HJ41" s="7">
        <f t="shared" si="217"/>
        <v>0</v>
      </c>
      <c r="HK41" s="7">
        <f t="shared" si="218"/>
        <v>0</v>
      </c>
      <c r="HL41" s="7">
        <f t="shared" si="219"/>
        <v>5.4146977062828783E-2</v>
      </c>
      <c r="HM41" s="7">
        <f t="shared" si="220"/>
        <v>0.10329122750737774</v>
      </c>
      <c r="HN41" s="7">
        <f t="shared" si="221"/>
        <v>0.14465910002679763</v>
      </c>
      <c r="HO41" s="7">
        <f t="shared" si="222"/>
        <v>0.66641540900879304</v>
      </c>
      <c r="HP41" s="7">
        <f t="shared" si="223"/>
        <v>0.11270717127431008</v>
      </c>
      <c r="HQ41" s="7">
        <f t="shared" si="224"/>
        <v>6.5736489599601933E-2</v>
      </c>
      <c r="HR41" s="7">
        <f t="shared" si="225"/>
        <v>1.1117650780755703E-2</v>
      </c>
      <c r="HS41" s="7">
        <f t="shared" si="226"/>
        <v>1.7330029101953831E-2</v>
      </c>
      <c r="HT41" s="7"/>
      <c r="HU41" s="16">
        <f t="shared" si="227"/>
        <v>-8.770683973521862E-7</v>
      </c>
      <c r="HV41" s="16">
        <f t="shared" si="228"/>
        <v>1.6489344763633537E-12</v>
      </c>
      <c r="HW41" s="16">
        <f t="shared" si="229"/>
        <v>2.7212985798354358E-5</v>
      </c>
      <c r="HX41" s="16">
        <f t="shared" si="230"/>
        <v>7.7687057609839341E-9</v>
      </c>
      <c r="HY41" s="7">
        <f t="shared" si="231"/>
        <v>2.1847553311657006</v>
      </c>
      <c r="HZ41" s="7">
        <f t="shared" ca="1" si="232"/>
        <v>457.00265307876236</v>
      </c>
      <c r="IA41" s="7">
        <f t="shared" ca="1" si="233"/>
        <v>3.2360561109939816</v>
      </c>
      <c r="IB41" s="7">
        <f t="shared" ca="1" si="234"/>
        <v>457.00283620796154</v>
      </c>
      <c r="IC41" s="7">
        <f t="shared" ca="1" si="235"/>
        <v>2.7614152013912321</v>
      </c>
      <c r="ID41" s="7">
        <f t="shared" ca="1" si="236"/>
        <v>3.2360561109939816</v>
      </c>
      <c r="IE41" s="7"/>
      <c r="IF41" s="2">
        <f t="shared" si="237"/>
        <v>6.8922235400902546E-2</v>
      </c>
      <c r="IG41" s="17">
        <f t="shared" ca="1" si="238"/>
        <v>1089.2185784445674</v>
      </c>
      <c r="IH41" s="17"/>
      <c r="II41" s="7">
        <f t="shared" si="239"/>
        <v>2.0735940187551152</v>
      </c>
      <c r="IJ41" s="17">
        <f t="shared" si="240"/>
        <v>1837.7772740133462</v>
      </c>
      <c r="IK41" s="16">
        <f t="shared" si="241"/>
        <v>1.2695258267441407E-5</v>
      </c>
      <c r="IM41" s="1">
        <f t="shared" si="242"/>
        <v>1</v>
      </c>
      <c r="IN41" s="166">
        <f t="shared" si="243"/>
        <v>0.43370600553707628</v>
      </c>
      <c r="IO41" s="166">
        <f t="shared" si="244"/>
        <v>9.4562768834053929E-2</v>
      </c>
      <c r="IP41" s="166">
        <f t="shared" si="245"/>
        <v>0.47173122562886988</v>
      </c>
      <c r="IR41" s="167">
        <f t="shared" si="246"/>
        <v>0.38154583018529487</v>
      </c>
      <c r="IS41" s="167">
        <f t="shared" si="247"/>
        <v>0.47173122562886988</v>
      </c>
      <c r="IU41" s="169">
        <v>0.1</v>
      </c>
      <c r="IV41" s="169">
        <v>0.9</v>
      </c>
      <c r="IW41" s="169">
        <v>0</v>
      </c>
      <c r="IX41" s="169"/>
      <c r="IY41" s="167">
        <f t="shared" si="248"/>
        <v>1.0392304845413263</v>
      </c>
      <c r="IZ41" s="167">
        <f t="shared" si="249"/>
        <v>0</v>
      </c>
    </row>
    <row r="42" spans="1:260" ht="13.2">
      <c r="A42" s="139" t="s">
        <v>201</v>
      </c>
      <c r="B42" s="139" t="s">
        <v>202</v>
      </c>
      <c r="C42" s="78">
        <f t="shared" si="43"/>
        <v>1.9</v>
      </c>
      <c r="D42" s="133">
        <f t="shared" ca="1" si="44"/>
        <v>1115.2314457049829</v>
      </c>
      <c r="E42" s="15">
        <f t="shared" ca="1" si="45"/>
        <v>-8.6355350625640925E-3</v>
      </c>
      <c r="F42" s="123">
        <v>51.5</v>
      </c>
      <c r="G42" s="123">
        <v>1.19</v>
      </c>
      <c r="H42" s="123">
        <v>19.2</v>
      </c>
      <c r="I42" s="123">
        <v>8.6999999999999993</v>
      </c>
      <c r="J42" s="123">
        <v>0.19</v>
      </c>
      <c r="K42" s="132">
        <v>4.9800000000000004</v>
      </c>
      <c r="L42" s="123">
        <v>10</v>
      </c>
      <c r="M42" s="123">
        <v>3.72</v>
      </c>
      <c r="N42" s="123">
        <v>0.42</v>
      </c>
      <c r="O42" s="123">
        <v>0</v>
      </c>
      <c r="P42" s="123">
        <v>0.14000000000000001</v>
      </c>
      <c r="Q42" s="123">
        <v>6.2</v>
      </c>
      <c r="R42" s="119">
        <f t="shared" ca="1" si="46"/>
        <v>4.8457944469974388</v>
      </c>
      <c r="T42" s="123">
        <v>50.3</v>
      </c>
      <c r="U42" s="123">
        <v>0.73</v>
      </c>
      <c r="V42" s="123">
        <v>4.12</v>
      </c>
      <c r="W42" s="123">
        <v>5.83</v>
      </c>
      <c r="X42" s="123">
        <v>0</v>
      </c>
      <c r="Y42" s="123">
        <v>15</v>
      </c>
      <c r="Z42" s="123">
        <v>22.7</v>
      </c>
      <c r="AA42" s="123">
        <v>0.24</v>
      </c>
      <c r="AB42" s="123">
        <v>0</v>
      </c>
      <c r="AC42" s="123">
        <v>0.28000000000000003</v>
      </c>
      <c r="AE42" s="112">
        <f t="shared" ca="1" si="47"/>
        <v>1289.2408589429026</v>
      </c>
      <c r="AF42" s="165">
        <f t="shared" ca="1" si="48"/>
        <v>1016.0908589429026</v>
      </c>
      <c r="AG42" s="165">
        <f t="shared" ca="1" si="49"/>
        <v>1.5837308153621108</v>
      </c>
      <c r="AH42" s="91">
        <f t="shared" ca="1" si="50"/>
        <v>1410.5962433643192</v>
      </c>
      <c r="AI42" s="91">
        <f t="shared" ca="1" si="51"/>
        <v>1.7596442345133916</v>
      </c>
      <c r="AJ42" s="91"/>
      <c r="AK42" s="91">
        <f t="shared" ca="1" si="52"/>
        <v>1388.3814457049828</v>
      </c>
      <c r="AL42" s="91">
        <f t="shared" ca="1" si="53"/>
        <v>0.45396961058632002</v>
      </c>
      <c r="AM42" s="91"/>
      <c r="AN42" s="91">
        <f t="shared" ca="1" si="54"/>
        <v>1267.1556703021745</v>
      </c>
      <c r="AO42" s="91">
        <f t="shared" ca="1" si="55"/>
        <v>994.00567030217451</v>
      </c>
      <c r="AP42" s="91">
        <f t="shared" ca="1" si="56"/>
        <v>-3.4232199032547186</v>
      </c>
      <c r="AQ42" s="91"/>
      <c r="AR42" s="91">
        <f t="shared" ca="1" si="57"/>
        <v>1288.8215935929582</v>
      </c>
      <c r="AS42" s="91">
        <f t="shared" ca="1" si="58"/>
        <v>1015.6715935929582</v>
      </c>
      <c r="AT42" s="40">
        <f t="shared" ca="1" si="59"/>
        <v>-2.6403762876844699</v>
      </c>
      <c r="AV42" s="40">
        <f t="shared" si="60"/>
        <v>1403.3541688642288</v>
      </c>
      <c r="AW42" s="40">
        <f t="shared" si="61"/>
        <v>1130.2041688642289</v>
      </c>
      <c r="AX42" s="40">
        <f t="shared" ca="1" si="62"/>
        <v>1410.5962433643192</v>
      </c>
      <c r="AY42" s="40">
        <f t="shared" ca="1" si="63"/>
        <v>1137.4462433643193</v>
      </c>
      <c r="AZ42" s="40">
        <f t="shared" ca="1" si="64"/>
        <v>1.7596442345133916</v>
      </c>
      <c r="BA42" s="40"/>
      <c r="BB42" s="40">
        <f t="shared" ca="1" si="65"/>
        <v>1388.3814457049828</v>
      </c>
      <c r="BC42" s="40">
        <f t="shared" ca="1" si="66"/>
        <v>0.45396961058632002</v>
      </c>
      <c r="BD42" s="40">
        <f t="shared" ca="1" si="67"/>
        <v>1115.2314457049829</v>
      </c>
      <c r="BE42" s="40">
        <f t="shared" ca="1" si="68"/>
        <v>5.7133563403214911</v>
      </c>
      <c r="BF42" s="40">
        <f t="shared" ca="1" si="69"/>
        <v>7.2344104799515776</v>
      </c>
      <c r="BG42" s="40">
        <f t="shared" ca="1" si="70"/>
        <v>1016.5880340579228</v>
      </c>
      <c r="BH42" s="40">
        <f t="shared" ca="1" si="71"/>
        <v>1050.3414439809308</v>
      </c>
      <c r="BI42" s="40">
        <f t="shared" ca="1" si="72"/>
        <v>1050.3414439809308</v>
      </c>
      <c r="BJ42" s="40">
        <f t="shared" ca="1" si="73"/>
        <v>1151.4905101457266</v>
      </c>
      <c r="BK42" s="70">
        <f t="shared" ca="1" si="74"/>
        <v>1.1514419075560551</v>
      </c>
      <c r="BL42" s="70">
        <f t="shared" ca="1" si="75"/>
        <v>0.81130306805535424</v>
      </c>
      <c r="BM42" s="70">
        <f t="shared" ca="1" si="76"/>
        <v>9.4631397596101688E-2</v>
      </c>
      <c r="BN42" s="180">
        <f ca="1">EXP(2.58+0.12*AG42/AE42-9*10^-7*AG42^2/AE42+0.78*LN(DG42*DC42^2*DA42)-4.3*10^3*(FF42^2/AE42))</f>
        <v>1.1180454468523057E-2</v>
      </c>
      <c r="BO42" s="180">
        <f t="shared" ca="1" si="28"/>
        <v>1.7419744754583053E-2</v>
      </c>
      <c r="BP42" s="180">
        <f t="shared" ca="1" si="29"/>
        <v>6.1192912941690818E-2</v>
      </c>
      <c r="BQ42" s="70">
        <f t="shared" si="77"/>
        <v>0</v>
      </c>
      <c r="BR42" s="40">
        <f t="shared" ca="1" si="78"/>
        <v>0.99572757781625287</v>
      </c>
      <c r="BS42" s="53"/>
      <c r="BT42" s="70">
        <f t="shared" si="79"/>
        <v>0.81993860311791833</v>
      </c>
      <c r="BU42" s="70">
        <f t="shared" si="80"/>
        <v>9.7220166294938348E-2</v>
      </c>
      <c r="BV42" s="70">
        <f t="shared" si="81"/>
        <v>3.6816947960874952E-2</v>
      </c>
      <c r="BW42" s="70">
        <f t="shared" si="82"/>
        <v>1.7330029101953831E-2</v>
      </c>
      <c r="BX42" s="180">
        <f t="shared" si="83"/>
        <v>4.4938151136855245E-2</v>
      </c>
      <c r="BY42" s="70">
        <f t="shared" si="84"/>
        <v>4.1221283020399834E-3</v>
      </c>
      <c r="BZ42" s="70">
        <f t="shared" si="85"/>
        <v>1.0203660259145808</v>
      </c>
      <c r="CA42" s="70">
        <f t="shared" si="86"/>
        <v>0.22247816091954029</v>
      </c>
      <c r="CB42" s="53"/>
      <c r="CC42" s="40"/>
      <c r="CD42" s="40">
        <f t="shared" ca="1" si="87"/>
        <v>1.5605645660134542</v>
      </c>
      <c r="CE42" s="40">
        <f t="shared" ca="1" si="88"/>
        <v>3.71661791706941</v>
      </c>
      <c r="CF42" s="40">
        <f t="shared" ca="1" si="89"/>
        <v>7.5741126487404928</v>
      </c>
      <c r="CG42" s="40">
        <f t="shared" ca="1" si="90"/>
        <v>1141.4464928566354</v>
      </c>
      <c r="CH42" s="54">
        <f t="shared" ca="1" si="91"/>
        <v>0.26563459557023961</v>
      </c>
      <c r="CJ42" s="40">
        <f t="shared" si="92"/>
        <v>0.19493110653448706</v>
      </c>
      <c r="CK42" s="40">
        <f t="shared" si="93"/>
        <v>-7.9605295924928446E-2</v>
      </c>
      <c r="CL42" s="40">
        <f t="shared" ca="1" si="94"/>
        <v>817.96807994744438</v>
      </c>
      <c r="CM42" s="2"/>
      <c r="CN42" s="1">
        <f t="shared" si="95"/>
        <v>0.85712906699420643</v>
      </c>
      <c r="CO42" s="1">
        <f t="shared" si="96"/>
        <v>1.4897569818274685E-2</v>
      </c>
      <c r="CP42" s="1">
        <f t="shared" si="97"/>
        <v>0.37661458793067937</v>
      </c>
      <c r="CQ42" s="1">
        <f t="shared" si="98"/>
        <v>0.12109166221272046</v>
      </c>
      <c r="CR42" s="1">
        <f t="shared" si="99"/>
        <v>2.6784140969162997E-3</v>
      </c>
      <c r="CS42" s="1">
        <f t="shared" si="100"/>
        <v>0.12355971060231638</v>
      </c>
      <c r="CT42" s="1">
        <f t="shared" si="101"/>
        <v>0.1783249580044724</v>
      </c>
      <c r="CU42" s="1">
        <f t="shared" si="102"/>
        <v>0.12004085261274401</v>
      </c>
      <c r="CV42" s="1">
        <f t="shared" si="103"/>
        <v>8.917576117881864E-3</v>
      </c>
      <c r="CW42" s="1">
        <f t="shared" si="104"/>
        <v>0</v>
      </c>
      <c r="CX42" s="1">
        <f t="shared" si="105"/>
        <v>1.9727062006383114E-3</v>
      </c>
      <c r="CY42" s="1">
        <f t="shared" si="106"/>
        <v>1.8052271045908503</v>
      </c>
      <c r="DA42" s="1">
        <f t="shared" si="107"/>
        <v>0.47480400932073991</v>
      </c>
      <c r="DB42" s="1">
        <f t="shared" si="108"/>
        <v>8.2524629618006863E-3</v>
      </c>
      <c r="DC42" s="1">
        <f t="shared" si="109"/>
        <v>0.20862449216107798</v>
      </c>
      <c r="DD42" s="1">
        <f t="shared" si="110"/>
        <v>6.7078353690111212E-2</v>
      </c>
      <c r="DE42" s="1">
        <f t="shared" si="111"/>
        <v>1.4836992476485969E-3</v>
      </c>
      <c r="DF42" s="1">
        <f t="shared" si="112"/>
        <v>6.8445521501473816E-2</v>
      </c>
      <c r="DG42" s="1">
        <f t="shared" si="113"/>
        <v>9.8782561790135129E-2</v>
      </c>
      <c r="DH42" s="1">
        <f t="shared" si="114"/>
        <v>6.6496260945489702E-2</v>
      </c>
      <c r="DI42" s="1">
        <f t="shared" si="115"/>
        <v>4.9398638515916853E-3</v>
      </c>
      <c r="DJ42" s="1">
        <f t="shared" si="116"/>
        <v>0</v>
      </c>
      <c r="DK42" s="1">
        <f t="shared" si="117"/>
        <v>1.0927745299311909E-3</v>
      </c>
      <c r="DL42" s="1">
        <f t="shared" si="118"/>
        <v>0.99999999999999989</v>
      </c>
      <c r="DM42" s="156">
        <f t="shared" si="119"/>
        <v>50.504401091479224</v>
      </c>
      <c r="DN42" s="1">
        <f t="shared" si="120"/>
        <v>0.83715712756909877</v>
      </c>
      <c r="DO42" s="1">
        <f t="shared" si="121"/>
        <v>9.1388453507063195E-3</v>
      </c>
      <c r="DP42" s="1">
        <f t="shared" si="122"/>
        <v>4.0407606830062476E-2</v>
      </c>
      <c r="DQ42" s="1">
        <f t="shared" si="123"/>
        <v>8.114533226438625E-2</v>
      </c>
      <c r="DR42" s="1">
        <f t="shared" si="124"/>
        <v>0</v>
      </c>
      <c r="DS42" s="1">
        <f t="shared" si="125"/>
        <v>0.37216780301902519</v>
      </c>
      <c r="DT42" s="1">
        <f t="shared" si="126"/>
        <v>0.40479765467015233</v>
      </c>
      <c r="DU42" s="1">
        <f t="shared" si="127"/>
        <v>3.8722855681530325E-3</v>
      </c>
      <c r="DV42" s="1">
        <f t="shared" si="128"/>
        <v>0</v>
      </c>
      <c r="DW42" s="1">
        <f t="shared" si="129"/>
        <v>1.8421270778206586E-3</v>
      </c>
      <c r="DX42" s="1">
        <f t="shared" si="130"/>
        <v>1.7505287823494051</v>
      </c>
      <c r="DZ42" s="1">
        <f t="shared" si="131"/>
        <v>1.6743142551381975</v>
      </c>
      <c r="EA42" s="1">
        <f t="shared" si="132"/>
        <v>1.8277690701412639E-2</v>
      </c>
      <c r="EB42" s="1">
        <f t="shared" si="133"/>
        <v>0.12122282049018743</v>
      </c>
      <c r="EC42" s="1">
        <f t="shared" si="134"/>
        <v>8.114533226438625E-2</v>
      </c>
      <c r="ED42" s="1">
        <f t="shared" si="135"/>
        <v>0</v>
      </c>
      <c r="EE42" s="1">
        <f t="shared" si="136"/>
        <v>0.37216780301902519</v>
      </c>
      <c r="EF42" s="1">
        <f t="shared" si="137"/>
        <v>0.40479765467015233</v>
      </c>
      <c r="EG42" s="1">
        <f t="shared" si="138"/>
        <v>3.8722855681530325E-3</v>
      </c>
      <c r="EH42" s="1">
        <f t="shared" si="139"/>
        <v>0</v>
      </c>
      <c r="EI42" s="1">
        <f t="shared" si="140"/>
        <v>5.5263812334619758E-3</v>
      </c>
      <c r="EJ42" s="1">
        <f t="shared" si="141"/>
        <v>2.6813242230849763</v>
      </c>
      <c r="EK42" s="1">
        <f t="shared" si="142"/>
        <v>2.2377002931397634</v>
      </c>
      <c r="EM42" s="1">
        <f t="shared" si="143"/>
        <v>1.8733067497654146</v>
      </c>
      <c r="EN42" s="1">
        <f t="shared" si="144"/>
        <v>2.0449996920234494E-2</v>
      </c>
      <c r="EO42" s="1">
        <f t="shared" si="145"/>
        <v>0.12669325023458544</v>
      </c>
      <c r="EP42" s="1">
        <f t="shared" si="146"/>
        <v>5.4146977062828783E-2</v>
      </c>
      <c r="EQ42" s="1">
        <f t="shared" si="147"/>
        <v>0.18084022729741422</v>
      </c>
      <c r="ER42" s="1">
        <f t="shared" si="148"/>
        <v>0.18157893379494061</v>
      </c>
      <c r="ES42" s="1">
        <f t="shared" si="149"/>
        <v>0</v>
      </c>
      <c r="ET42" s="1">
        <f t="shared" si="150"/>
        <v>0.83280000191285442</v>
      </c>
      <c r="EU42" s="1">
        <f t="shared" si="151"/>
        <v>0.90581583051768855</v>
      </c>
      <c r="EV42" s="1">
        <f t="shared" si="152"/>
        <v>1.7330029101953831E-2</v>
      </c>
      <c r="EW42" s="1">
        <f t="shared" si="153"/>
        <v>0</v>
      </c>
      <c r="EX42" s="1">
        <f t="shared" si="154"/>
        <v>8.2442566040799668E-3</v>
      </c>
      <c r="EY42" s="1">
        <f t="shared" si="155"/>
        <v>4.0203660259145799</v>
      </c>
      <c r="EZ42" s="1">
        <f t="shared" si="156"/>
        <v>4.0732051829161536E-2</v>
      </c>
      <c r="FA42" s="1">
        <f t="shared" si="157"/>
        <v>6.0788572333875024E-2</v>
      </c>
      <c r="FB42" s="1">
        <f t="shared" si="158"/>
        <v>1.7330029101953831E-2</v>
      </c>
      <c r="FC42" s="1">
        <f t="shared" si="159"/>
        <v>3.6816947960874952E-2</v>
      </c>
      <c r="FD42" s="1">
        <f t="shared" si="160"/>
        <v>4.4938151136855245E-2</v>
      </c>
      <c r="FE42" s="1">
        <f t="shared" si="161"/>
        <v>4.1221283020399834E-3</v>
      </c>
      <c r="FF42" s="2">
        <f t="shared" si="162"/>
        <v>0.81993860311791833</v>
      </c>
      <c r="FG42" s="1">
        <f t="shared" si="163"/>
        <v>9.7220166294938348E-2</v>
      </c>
      <c r="FH42" s="1">
        <f t="shared" si="164"/>
        <v>1.0203660259145808</v>
      </c>
      <c r="FI42" s="1">
        <f t="shared" si="165"/>
        <v>0.81993860311791833</v>
      </c>
      <c r="FJ42" s="1">
        <f t="shared" si="166"/>
        <v>1.7122207386356436</v>
      </c>
      <c r="FK42" s="1">
        <f t="shared" si="167"/>
        <v>-3.8924014331081289</v>
      </c>
      <c r="FL42" s="1">
        <f t="shared" si="168"/>
        <v>-3.8924014331081289</v>
      </c>
      <c r="FM42" s="1">
        <f t="shared" si="169"/>
        <v>0.50504401091479223</v>
      </c>
      <c r="FN42" s="67">
        <f t="shared" ca="1" si="170"/>
        <v>1410.5962433643192</v>
      </c>
      <c r="FO42" s="67">
        <f t="shared" ca="1" si="171"/>
        <v>1.7596442345133916</v>
      </c>
      <c r="FP42" s="1">
        <f t="shared" ca="1" si="172"/>
        <v>0.14105962433643193</v>
      </c>
      <c r="FQ42" s="2">
        <f t="shared" ca="1" si="173"/>
        <v>1.3746549112245701</v>
      </c>
      <c r="FR42" s="2">
        <f t="shared" ca="1" si="174"/>
        <v>5.8868115571597679</v>
      </c>
      <c r="FS42" s="1">
        <f t="shared" ca="1" si="175"/>
        <v>3.5937858900548374</v>
      </c>
      <c r="FT42" s="1">
        <f t="shared" si="176"/>
        <v>6.8922235400902546E-2</v>
      </c>
      <c r="FU42" s="2">
        <f t="shared" si="177"/>
        <v>82.099496805082822</v>
      </c>
      <c r="FV42" s="2">
        <f t="shared" ca="1" si="178"/>
        <v>8.2947585411526408</v>
      </c>
      <c r="FW42" s="2">
        <f t="shared" ca="1" si="179"/>
        <v>0.26050522434662443</v>
      </c>
      <c r="FX42" s="2">
        <f t="shared" si="180"/>
        <v>0.22247816091954029</v>
      </c>
      <c r="FY42" s="1">
        <f t="shared" si="181"/>
        <v>0.92314585961964235</v>
      </c>
      <c r="FZ42" s="1">
        <f t="shared" si="182"/>
        <v>0.12357328241630479</v>
      </c>
      <c r="GA42" s="1">
        <f t="shared" si="183"/>
        <v>0.13064123128324104</v>
      </c>
      <c r="GB42" s="1">
        <f t="shared" si="184"/>
        <v>0.92540302601693669</v>
      </c>
      <c r="GC42" s="1">
        <f t="shared" si="185"/>
        <v>4.8243857861696826E-2</v>
      </c>
      <c r="GD42" s="1">
        <f t="shared" si="186"/>
        <v>0.14084688196577907</v>
      </c>
      <c r="GE42" s="1">
        <f t="shared" si="187"/>
        <v>0.86935876871675899</v>
      </c>
      <c r="GF42" s="1">
        <f t="shared" si="188"/>
        <v>0.31645872048021251</v>
      </c>
      <c r="GG42" s="1">
        <f t="shared" si="189"/>
        <v>-1.0824666038733648E-2</v>
      </c>
      <c r="GH42" s="1">
        <f t="shared" si="190"/>
        <v>2.3794176797551657E-2</v>
      </c>
      <c r="GI42" s="1">
        <f t="shared" si="191"/>
        <v>2.3794176797551657E-2</v>
      </c>
      <c r="GJ42" s="1">
        <f t="shared" si="192"/>
        <v>0.11705270516822741</v>
      </c>
      <c r="GK42" s="1">
        <f t="shared" si="193"/>
        <v>5.3059963582805993E-2</v>
      </c>
      <c r="GL42" s="1">
        <f t="shared" si="194"/>
        <v>0.77974003833004846</v>
      </c>
      <c r="GM42" s="1">
        <f t="shared" si="195"/>
        <v>0.90581583051768855</v>
      </c>
      <c r="GN42" s="1">
        <f t="shared" si="196"/>
        <v>1.7330029101953831E-2</v>
      </c>
      <c r="GO42" s="1">
        <f t="shared" si="197"/>
        <v>439.91002708917955</v>
      </c>
      <c r="GP42" s="1">
        <f t="shared" si="198"/>
        <v>11.788859467150782</v>
      </c>
      <c r="GQ42" s="1">
        <f t="shared" si="199"/>
        <v>2.1847553311657006</v>
      </c>
      <c r="GR42" s="1">
        <f t="shared" si="200"/>
        <v>8.9848062994189425E-6</v>
      </c>
      <c r="GS42" s="1">
        <f t="shared" si="201"/>
        <v>1837.7772740133462</v>
      </c>
      <c r="GT42" s="1">
        <f t="shared" ca="1" si="202"/>
        <v>0.3516001263441631</v>
      </c>
      <c r="GU42" s="2">
        <f t="shared" ca="1" si="203"/>
        <v>20.548737648740492</v>
      </c>
      <c r="GV42" s="4">
        <f t="shared" ca="1" si="204"/>
        <v>3.2160428276957553</v>
      </c>
      <c r="GW42" s="4">
        <f t="shared" ca="1" si="205"/>
        <v>2.7374071329311978</v>
      </c>
      <c r="GX42" s="4">
        <f t="shared" si="206"/>
        <v>4.1400000000000006</v>
      </c>
      <c r="GY42" s="4">
        <f t="shared" si="207"/>
        <v>5.3077524999999994</v>
      </c>
      <c r="GZ42" s="4">
        <f t="shared" ca="1" si="208"/>
        <v>3.2160428276957553</v>
      </c>
      <c r="HA42" s="1">
        <f t="shared" si="209"/>
        <v>439.91002708917955</v>
      </c>
      <c r="HB42" s="1">
        <f t="shared" si="210"/>
        <v>11.788859467150782</v>
      </c>
      <c r="HC42" s="4">
        <f t="shared" si="211"/>
        <v>9.7795680705360155E-2</v>
      </c>
      <c r="HD42" s="4"/>
      <c r="HE42" s="7">
        <f t="shared" si="212"/>
        <v>0.14084688196577907</v>
      </c>
      <c r="HF42" s="7">
        <f t="shared" si="213"/>
        <v>0.83280000191285442</v>
      </c>
      <c r="HG42" s="7">
        <f t="shared" si="214"/>
        <v>1.7330029101953831E-2</v>
      </c>
      <c r="HH42" s="7">
        <f t="shared" si="215"/>
        <v>0</v>
      </c>
      <c r="HI42" s="7">
        <f t="shared" si="216"/>
        <v>2.3402022727207705E-2</v>
      </c>
      <c r="HJ42" s="7">
        <f t="shared" si="217"/>
        <v>0</v>
      </c>
      <c r="HK42" s="7">
        <f t="shared" si="218"/>
        <v>0</v>
      </c>
      <c r="HL42" s="7">
        <f t="shared" si="219"/>
        <v>5.4146977062828783E-2</v>
      </c>
      <c r="HM42" s="7">
        <f t="shared" si="220"/>
        <v>0.10329122750737774</v>
      </c>
      <c r="HN42" s="7">
        <f t="shared" si="221"/>
        <v>0.14465910002679763</v>
      </c>
      <c r="HO42" s="7">
        <f t="shared" si="222"/>
        <v>0.66641540900879304</v>
      </c>
      <c r="HP42" s="7">
        <f t="shared" si="223"/>
        <v>0.11270717127431008</v>
      </c>
      <c r="HQ42" s="7">
        <f t="shared" si="224"/>
        <v>6.5736489599601933E-2</v>
      </c>
      <c r="HR42" s="7">
        <f t="shared" si="225"/>
        <v>1.1117650780755703E-2</v>
      </c>
      <c r="HS42" s="7">
        <f t="shared" si="226"/>
        <v>1.7330029101953831E-2</v>
      </c>
      <c r="HT42" s="7"/>
      <c r="HU42" s="16">
        <f t="shared" si="227"/>
        <v>-8.770683973521862E-7</v>
      </c>
      <c r="HV42" s="16">
        <f t="shared" si="228"/>
        <v>1.6489344763633537E-12</v>
      </c>
      <c r="HW42" s="16">
        <f t="shared" si="229"/>
        <v>2.7212985798354358E-5</v>
      </c>
      <c r="HX42" s="16">
        <f t="shared" si="230"/>
        <v>7.7687057609839341E-9</v>
      </c>
      <c r="HY42" s="7">
        <f t="shared" si="231"/>
        <v>2.1847553311657006</v>
      </c>
      <c r="HZ42" s="7">
        <f t="shared" ca="1" si="232"/>
        <v>457.0223302820911</v>
      </c>
      <c r="IA42" s="7">
        <f t="shared" ca="1" si="233"/>
        <v>3.2160428276957553</v>
      </c>
      <c r="IB42" s="7">
        <f t="shared" ca="1" si="234"/>
        <v>457.02251495260089</v>
      </c>
      <c r="IC42" s="7">
        <f t="shared" ca="1" si="235"/>
        <v>2.7374071329311978</v>
      </c>
      <c r="ID42" s="7">
        <f t="shared" ca="1" si="236"/>
        <v>3.2160428276957553</v>
      </c>
      <c r="IE42" s="7"/>
      <c r="IF42" s="2">
        <f t="shared" si="237"/>
        <v>6.8922235400902546E-2</v>
      </c>
      <c r="IG42" s="17">
        <f t="shared" ca="1" si="238"/>
        <v>1090.2314457049829</v>
      </c>
      <c r="IH42" s="17"/>
      <c r="II42" s="7">
        <f t="shared" si="239"/>
        <v>2.0735940187551152</v>
      </c>
      <c r="IJ42" s="17">
        <f t="shared" si="240"/>
        <v>1837.7772740133462</v>
      </c>
      <c r="IK42" s="16">
        <f t="shared" si="241"/>
        <v>1.2695258267441407E-5</v>
      </c>
      <c r="IM42" s="1">
        <f t="shared" si="242"/>
        <v>1</v>
      </c>
      <c r="IN42" s="166">
        <f t="shared" si="243"/>
        <v>0.43370600553707628</v>
      </c>
      <c r="IO42" s="166">
        <f t="shared" si="244"/>
        <v>9.4562768834053929E-2</v>
      </c>
      <c r="IP42" s="166">
        <f t="shared" si="245"/>
        <v>0.47173122562886988</v>
      </c>
      <c r="IR42" s="167">
        <f t="shared" si="246"/>
        <v>0.38154583018529487</v>
      </c>
      <c r="IS42" s="167">
        <f t="shared" si="247"/>
        <v>0.47173122562886988</v>
      </c>
      <c r="IU42" s="169">
        <v>0.1</v>
      </c>
      <c r="IV42" s="169">
        <v>0.9</v>
      </c>
      <c r="IW42" s="169">
        <v>0</v>
      </c>
      <c r="IX42" s="169"/>
      <c r="IY42" s="167">
        <f t="shared" si="248"/>
        <v>1.0392304845413263</v>
      </c>
      <c r="IZ42" s="167">
        <f t="shared" si="249"/>
        <v>0</v>
      </c>
    </row>
    <row r="43" spans="1:260">
      <c r="IN43"/>
      <c r="IO43"/>
      <c r="IP43"/>
      <c r="IQ43"/>
      <c r="IR43"/>
      <c r="IS43"/>
    </row>
  </sheetData>
  <phoneticPr fontId="3"/>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T162"/>
  <sheetViews>
    <sheetView workbookViewId="0">
      <selection activeCell="C4" sqref="C4"/>
    </sheetView>
  </sheetViews>
  <sheetFormatPr defaultColWidth="11.08984375" defaultRowHeight="12.6"/>
  <cols>
    <col min="3" max="3" width="14.453125" customWidth="1"/>
    <col min="5" max="5" width="7" customWidth="1"/>
    <col min="10" max="10" width="4.453125" customWidth="1"/>
  </cols>
  <sheetData>
    <row r="1" spans="1:14" ht="22.8">
      <c r="A1" s="145" t="s">
        <v>231</v>
      </c>
    </row>
    <row r="3" spans="1:14" ht="18" thickBot="1">
      <c r="B3" s="146" t="s">
        <v>222</v>
      </c>
      <c r="C3" s="147"/>
      <c r="D3" s="148"/>
    </row>
    <row r="4" spans="1:14" ht="18" thickBot="1">
      <c r="B4" s="149"/>
      <c r="C4" s="150">
        <v>0.27</v>
      </c>
      <c r="D4" s="151"/>
    </row>
    <row r="5" spans="1:14" ht="18" thickBot="1">
      <c r="B5" s="146" t="s">
        <v>223</v>
      </c>
      <c r="C5" s="152"/>
      <c r="D5" s="148"/>
      <c r="G5" s="153" t="s">
        <v>224</v>
      </c>
      <c r="L5" s="153" t="s">
        <v>225</v>
      </c>
    </row>
    <row r="6" spans="1:14" ht="18" thickBot="1">
      <c r="B6" s="154"/>
      <c r="C6" s="150">
        <v>0.03</v>
      </c>
      <c r="D6" s="151"/>
      <c r="G6" s="155">
        <f>C4-C6</f>
        <v>0.24000000000000002</v>
      </c>
      <c r="L6" s="155">
        <f>C4+C6</f>
        <v>0.30000000000000004</v>
      </c>
    </row>
    <row r="7" spans="1:14" ht="16.2">
      <c r="A7" s="153"/>
      <c r="B7" s="153"/>
    </row>
    <row r="8" spans="1:14">
      <c r="C8" t="s">
        <v>226</v>
      </c>
      <c r="D8" t="s">
        <v>226</v>
      </c>
      <c r="H8" t="s">
        <v>226</v>
      </c>
      <c r="I8" t="s">
        <v>226</v>
      </c>
      <c r="M8" t="s">
        <v>226</v>
      </c>
      <c r="N8" t="s">
        <v>226</v>
      </c>
    </row>
    <row r="9" spans="1:14">
      <c r="A9" s="63" t="s">
        <v>227</v>
      </c>
      <c r="B9" s="63" t="s">
        <v>228</v>
      </c>
      <c r="C9" s="63" t="s">
        <v>229</v>
      </c>
      <c r="D9" s="63" t="s">
        <v>230</v>
      </c>
      <c r="F9" s="63" t="s">
        <v>227</v>
      </c>
      <c r="G9" s="63" t="s">
        <v>228</v>
      </c>
      <c r="H9" s="63" t="s">
        <v>229</v>
      </c>
      <c r="I9" s="63" t="s">
        <v>230</v>
      </c>
      <c r="K9" s="63" t="s">
        <v>227</v>
      </c>
      <c r="L9" s="63" t="s">
        <v>228</v>
      </c>
      <c r="M9" s="63" t="s">
        <v>229</v>
      </c>
      <c r="N9" s="63" t="s">
        <v>230</v>
      </c>
    </row>
    <row r="10" spans="1:14" ht="16.2">
      <c r="A10">
        <v>0</v>
      </c>
      <c r="B10">
        <f t="shared" ref="B10:B41" si="0">$C$4*A10</f>
        <v>0</v>
      </c>
      <c r="C10" s="153">
        <f>100*B10/(B10+1)</f>
        <v>0</v>
      </c>
      <c r="D10" s="153">
        <f>100*A10/(A10+1)</f>
        <v>0</v>
      </c>
      <c r="F10">
        <f>A10</f>
        <v>0</v>
      </c>
      <c r="G10">
        <f t="shared" ref="G10:G41" si="1">$G$6*A10</f>
        <v>0</v>
      </c>
      <c r="H10" s="153">
        <f t="shared" ref="H10:H40" si="2">100*G10/(G10+1)</f>
        <v>0</v>
      </c>
      <c r="I10" s="153">
        <f t="shared" ref="I10:I41" si="3">100*F10/(F10+1)</f>
        <v>0</v>
      </c>
      <c r="K10">
        <f>A10</f>
        <v>0</v>
      </c>
      <c r="L10">
        <f t="shared" ref="L10:L41" si="4">$L$6*K10</f>
        <v>0</v>
      </c>
      <c r="M10" s="153">
        <f>100*L10/(L10+1)</f>
        <v>0</v>
      </c>
      <c r="N10" s="153">
        <f>100*K10/(K10+1)</f>
        <v>0</v>
      </c>
    </row>
    <row r="11" spans="1:14" ht="16.2">
      <c r="A11">
        <v>0.1</v>
      </c>
      <c r="B11">
        <f t="shared" si="0"/>
        <v>2.7000000000000003E-2</v>
      </c>
      <c r="C11" s="153">
        <f t="shared" ref="C11:C41" si="5">100*B11/(B11+1)</f>
        <v>2.6290165530671863</v>
      </c>
      <c r="D11" s="153">
        <f t="shared" ref="D11:D41" si="6">100*A11/(A11+1)</f>
        <v>9.0909090909090899</v>
      </c>
      <c r="F11">
        <f t="shared" ref="F11:F41" si="7">A11</f>
        <v>0.1</v>
      </c>
      <c r="G11">
        <f t="shared" si="1"/>
        <v>2.4000000000000004E-2</v>
      </c>
      <c r="H11" s="153">
        <f t="shared" si="2"/>
        <v>2.3437500000000004</v>
      </c>
      <c r="I11" s="153">
        <f t="shared" si="3"/>
        <v>9.0909090909090899</v>
      </c>
      <c r="K11">
        <f t="shared" ref="K11:K41" si="8">A11</f>
        <v>0.1</v>
      </c>
      <c r="L11">
        <f t="shared" si="4"/>
        <v>3.0000000000000006E-2</v>
      </c>
      <c r="M11" s="153">
        <f t="shared" ref="M11:M41" si="9">100*L11/(L11+1)</f>
        <v>2.9126213592233015</v>
      </c>
      <c r="N11" s="153">
        <f t="shared" ref="N11:N41" si="10">100*K11/(K11+1)</f>
        <v>9.0909090909090899</v>
      </c>
    </row>
    <row r="12" spans="1:14" ht="16.2">
      <c r="A12">
        <v>0.2</v>
      </c>
      <c r="B12">
        <f t="shared" si="0"/>
        <v>5.4000000000000006E-2</v>
      </c>
      <c r="C12" s="153">
        <f t="shared" si="5"/>
        <v>5.1233396584440225</v>
      </c>
      <c r="D12" s="153">
        <f t="shared" si="6"/>
        <v>16.666666666666668</v>
      </c>
      <c r="F12">
        <f t="shared" si="7"/>
        <v>0.2</v>
      </c>
      <c r="G12">
        <f t="shared" si="1"/>
        <v>4.8000000000000008E-2</v>
      </c>
      <c r="H12" s="153">
        <f t="shared" si="2"/>
        <v>4.5801526717557257</v>
      </c>
      <c r="I12" s="153">
        <f t="shared" si="3"/>
        <v>16.666666666666668</v>
      </c>
      <c r="K12">
        <f t="shared" si="8"/>
        <v>0.2</v>
      </c>
      <c r="L12">
        <f t="shared" si="4"/>
        <v>6.0000000000000012E-2</v>
      </c>
      <c r="M12" s="153">
        <f t="shared" si="9"/>
        <v>5.6603773584905666</v>
      </c>
      <c r="N12" s="153">
        <f t="shared" si="10"/>
        <v>16.666666666666668</v>
      </c>
    </row>
    <row r="13" spans="1:14" ht="16.2">
      <c r="A13">
        <v>0.3</v>
      </c>
      <c r="B13">
        <f t="shared" si="0"/>
        <v>8.1000000000000003E-2</v>
      </c>
      <c r="C13" s="153">
        <f>100*B13/(B13+1)</f>
        <v>7.4930619796484734</v>
      </c>
      <c r="D13" s="153">
        <f t="shared" si="6"/>
        <v>23.076923076923077</v>
      </c>
      <c r="F13">
        <f t="shared" si="7"/>
        <v>0.3</v>
      </c>
      <c r="G13">
        <f t="shared" si="1"/>
        <v>7.2000000000000008E-2</v>
      </c>
      <c r="H13" s="153">
        <f t="shared" si="2"/>
        <v>6.7164179104477615</v>
      </c>
      <c r="I13" s="153">
        <f t="shared" si="3"/>
        <v>23.076923076923077</v>
      </c>
      <c r="K13">
        <f t="shared" si="8"/>
        <v>0.3</v>
      </c>
      <c r="L13">
        <f t="shared" si="4"/>
        <v>9.0000000000000011E-2</v>
      </c>
      <c r="M13" s="153">
        <f t="shared" si="9"/>
        <v>8.2568807339449553</v>
      </c>
      <c r="N13" s="153">
        <f t="shared" si="10"/>
        <v>23.076923076923077</v>
      </c>
    </row>
    <row r="14" spans="1:14" ht="16.2">
      <c r="A14">
        <v>0.4</v>
      </c>
      <c r="B14">
        <f t="shared" si="0"/>
        <v>0.10800000000000001</v>
      </c>
      <c r="C14" s="153">
        <f t="shared" si="5"/>
        <v>9.7472924187725631</v>
      </c>
      <c r="D14" s="153">
        <f t="shared" si="6"/>
        <v>28.571428571428573</v>
      </c>
      <c r="F14">
        <f t="shared" si="7"/>
        <v>0.4</v>
      </c>
      <c r="G14">
        <f t="shared" si="1"/>
        <v>9.6000000000000016E-2</v>
      </c>
      <c r="H14" s="153">
        <f t="shared" si="2"/>
        <v>8.7591240875912408</v>
      </c>
      <c r="I14" s="153">
        <f t="shared" si="3"/>
        <v>28.571428571428573</v>
      </c>
      <c r="K14">
        <f t="shared" si="8"/>
        <v>0.4</v>
      </c>
      <c r="L14">
        <f t="shared" si="4"/>
        <v>0.12000000000000002</v>
      </c>
      <c r="M14" s="153">
        <f t="shared" si="9"/>
        <v>10.714285714285715</v>
      </c>
      <c r="N14" s="153">
        <f t="shared" si="10"/>
        <v>28.571428571428573</v>
      </c>
    </row>
    <row r="15" spans="1:14" ht="16.2">
      <c r="A15">
        <v>0.5</v>
      </c>
      <c r="B15">
        <f t="shared" si="0"/>
        <v>0.13500000000000001</v>
      </c>
      <c r="C15" s="153">
        <f t="shared" si="5"/>
        <v>11.894273127753303</v>
      </c>
      <c r="D15" s="153">
        <f t="shared" si="6"/>
        <v>33.333333333333336</v>
      </c>
      <c r="F15">
        <f t="shared" si="7"/>
        <v>0.5</v>
      </c>
      <c r="G15">
        <f t="shared" si="1"/>
        <v>0.12000000000000001</v>
      </c>
      <c r="H15" s="153">
        <f t="shared" si="2"/>
        <v>10.714285714285715</v>
      </c>
      <c r="I15" s="153">
        <f t="shared" si="3"/>
        <v>33.333333333333336</v>
      </c>
      <c r="K15">
        <f t="shared" si="8"/>
        <v>0.5</v>
      </c>
      <c r="L15">
        <f t="shared" si="4"/>
        <v>0.15000000000000002</v>
      </c>
      <c r="M15" s="153">
        <f t="shared" si="9"/>
        <v>13.043478260869568</v>
      </c>
      <c r="N15" s="153">
        <f t="shared" si="10"/>
        <v>33.333333333333336</v>
      </c>
    </row>
    <row r="16" spans="1:14" ht="16.2">
      <c r="A16">
        <v>0.6</v>
      </c>
      <c r="B16">
        <f t="shared" si="0"/>
        <v>0.16200000000000001</v>
      </c>
      <c r="C16" s="153">
        <f t="shared" si="5"/>
        <v>13.941480206540447</v>
      </c>
      <c r="D16" s="153">
        <f t="shared" si="6"/>
        <v>37.5</v>
      </c>
      <c r="F16">
        <f t="shared" si="7"/>
        <v>0.6</v>
      </c>
      <c r="G16">
        <f t="shared" si="1"/>
        <v>0.14400000000000002</v>
      </c>
      <c r="H16" s="153">
        <f t="shared" si="2"/>
        <v>12.587412587412588</v>
      </c>
      <c r="I16" s="153">
        <f t="shared" si="3"/>
        <v>37.5</v>
      </c>
      <c r="K16">
        <f t="shared" si="8"/>
        <v>0.6</v>
      </c>
      <c r="L16">
        <f t="shared" si="4"/>
        <v>0.18000000000000002</v>
      </c>
      <c r="M16" s="153">
        <f t="shared" si="9"/>
        <v>15.254237288135597</v>
      </c>
      <c r="N16" s="153">
        <f t="shared" si="10"/>
        <v>37.5</v>
      </c>
    </row>
    <row r="17" spans="1:14" ht="16.2">
      <c r="A17">
        <v>0.7</v>
      </c>
      <c r="B17">
        <f t="shared" si="0"/>
        <v>0.189</v>
      </c>
      <c r="C17" s="153">
        <f t="shared" si="5"/>
        <v>15.895710681244742</v>
      </c>
      <c r="D17" s="153">
        <f t="shared" si="6"/>
        <v>41.176470588235297</v>
      </c>
      <c r="F17">
        <f t="shared" si="7"/>
        <v>0.7</v>
      </c>
      <c r="G17">
        <f t="shared" si="1"/>
        <v>0.16800000000000001</v>
      </c>
      <c r="H17" s="153">
        <f t="shared" si="2"/>
        <v>14.383561643835618</v>
      </c>
      <c r="I17" s="153">
        <f t="shared" si="3"/>
        <v>41.176470588235297</v>
      </c>
      <c r="K17">
        <f t="shared" si="8"/>
        <v>0.7</v>
      </c>
      <c r="L17">
        <f t="shared" si="4"/>
        <v>0.21000000000000002</v>
      </c>
      <c r="M17" s="153">
        <f t="shared" si="9"/>
        <v>17.355371900826448</v>
      </c>
      <c r="N17" s="153">
        <f t="shared" si="10"/>
        <v>41.176470588235297</v>
      </c>
    </row>
    <row r="18" spans="1:14" ht="16.2">
      <c r="A18">
        <v>0.8</v>
      </c>
      <c r="B18">
        <f t="shared" si="0"/>
        <v>0.21600000000000003</v>
      </c>
      <c r="C18" s="153">
        <f t="shared" si="5"/>
        <v>17.763157894736842</v>
      </c>
      <c r="D18" s="153">
        <f t="shared" si="6"/>
        <v>44.444444444444443</v>
      </c>
      <c r="F18">
        <f t="shared" si="7"/>
        <v>0.8</v>
      </c>
      <c r="G18">
        <f t="shared" si="1"/>
        <v>0.19200000000000003</v>
      </c>
      <c r="H18" s="153">
        <f t="shared" si="2"/>
        <v>16.107382550335572</v>
      </c>
      <c r="I18" s="153">
        <f t="shared" si="3"/>
        <v>44.444444444444443</v>
      </c>
      <c r="K18">
        <f t="shared" si="8"/>
        <v>0.8</v>
      </c>
      <c r="L18">
        <f t="shared" si="4"/>
        <v>0.24000000000000005</v>
      </c>
      <c r="M18" s="153">
        <f t="shared" si="9"/>
        <v>19.354838709677423</v>
      </c>
      <c r="N18" s="153">
        <f t="shared" si="10"/>
        <v>44.444444444444443</v>
      </c>
    </row>
    <row r="19" spans="1:14" ht="16.2">
      <c r="A19">
        <v>0.9</v>
      </c>
      <c r="B19">
        <f t="shared" si="0"/>
        <v>0.24300000000000002</v>
      </c>
      <c r="C19" s="153">
        <f t="shared" si="5"/>
        <v>19.549477071600965</v>
      </c>
      <c r="D19" s="153">
        <f t="shared" si="6"/>
        <v>47.368421052631582</v>
      </c>
      <c r="F19">
        <f t="shared" si="7"/>
        <v>0.9</v>
      </c>
      <c r="G19">
        <f t="shared" si="1"/>
        <v>0.21600000000000003</v>
      </c>
      <c r="H19" s="153">
        <f t="shared" si="2"/>
        <v>17.763157894736842</v>
      </c>
      <c r="I19" s="153">
        <f t="shared" si="3"/>
        <v>47.368421052631582</v>
      </c>
      <c r="K19">
        <f t="shared" si="8"/>
        <v>0.9</v>
      </c>
      <c r="L19">
        <f t="shared" si="4"/>
        <v>0.27000000000000007</v>
      </c>
      <c r="M19" s="153">
        <f t="shared" si="9"/>
        <v>21.259842519685044</v>
      </c>
      <c r="N19" s="153">
        <f t="shared" si="10"/>
        <v>47.368421052631582</v>
      </c>
    </row>
    <row r="20" spans="1:14" ht="16.2">
      <c r="A20">
        <v>1</v>
      </c>
      <c r="B20">
        <f t="shared" si="0"/>
        <v>0.27</v>
      </c>
      <c r="C20" s="153">
        <f t="shared" si="5"/>
        <v>21.259842519685041</v>
      </c>
      <c r="D20" s="153">
        <f t="shared" si="6"/>
        <v>50</v>
      </c>
      <c r="F20">
        <f t="shared" si="7"/>
        <v>1</v>
      </c>
      <c r="G20">
        <f t="shared" si="1"/>
        <v>0.24000000000000002</v>
      </c>
      <c r="H20" s="153">
        <f t="shared" si="2"/>
        <v>19.354838709677423</v>
      </c>
      <c r="I20" s="153">
        <f t="shared" si="3"/>
        <v>50</v>
      </c>
      <c r="K20">
        <f t="shared" si="8"/>
        <v>1</v>
      </c>
      <c r="L20">
        <f t="shared" si="4"/>
        <v>0.30000000000000004</v>
      </c>
      <c r="M20" s="153">
        <f t="shared" si="9"/>
        <v>23.07692307692308</v>
      </c>
      <c r="N20" s="153">
        <f t="shared" si="10"/>
        <v>50</v>
      </c>
    </row>
    <row r="21" spans="1:14" ht="16.2">
      <c r="A21">
        <v>1.1000000000000001</v>
      </c>
      <c r="B21">
        <f t="shared" si="0"/>
        <v>0.29700000000000004</v>
      </c>
      <c r="C21" s="153">
        <f t="shared" si="5"/>
        <v>22.898997686969931</v>
      </c>
      <c r="D21" s="153">
        <f t="shared" si="6"/>
        <v>52.380952380952387</v>
      </c>
      <c r="F21">
        <f t="shared" si="7"/>
        <v>1.1000000000000001</v>
      </c>
      <c r="G21">
        <f t="shared" si="1"/>
        <v>0.26400000000000007</v>
      </c>
      <c r="H21" s="153">
        <f t="shared" si="2"/>
        <v>20.886075949367093</v>
      </c>
      <c r="I21" s="153">
        <f t="shared" si="3"/>
        <v>52.380952380952387</v>
      </c>
      <c r="K21">
        <f t="shared" si="8"/>
        <v>1.1000000000000001</v>
      </c>
      <c r="L21">
        <f t="shared" si="4"/>
        <v>0.33000000000000007</v>
      </c>
      <c r="M21" s="153">
        <f t="shared" si="9"/>
        <v>24.812030075187973</v>
      </c>
      <c r="N21" s="153">
        <f t="shared" si="10"/>
        <v>52.380952380952387</v>
      </c>
    </row>
    <row r="22" spans="1:14" ht="16.2">
      <c r="A22">
        <v>1.2</v>
      </c>
      <c r="B22">
        <f t="shared" si="0"/>
        <v>0.32400000000000001</v>
      </c>
      <c r="C22" s="153">
        <f t="shared" si="5"/>
        <v>24.471299093655588</v>
      </c>
      <c r="D22" s="153">
        <f t="shared" si="6"/>
        <v>54.54545454545454</v>
      </c>
      <c r="F22">
        <f t="shared" si="7"/>
        <v>1.2</v>
      </c>
      <c r="G22">
        <f t="shared" si="1"/>
        <v>0.28800000000000003</v>
      </c>
      <c r="H22" s="153">
        <f t="shared" si="2"/>
        <v>22.36024844720497</v>
      </c>
      <c r="I22" s="153">
        <f t="shared" si="3"/>
        <v>54.54545454545454</v>
      </c>
      <c r="K22">
        <f t="shared" si="8"/>
        <v>1.2</v>
      </c>
      <c r="L22">
        <f t="shared" si="4"/>
        <v>0.36000000000000004</v>
      </c>
      <c r="M22" s="153">
        <f t="shared" si="9"/>
        <v>26.47058823529412</v>
      </c>
      <c r="N22" s="153">
        <f t="shared" si="10"/>
        <v>54.54545454545454</v>
      </c>
    </row>
    <row r="23" spans="1:14" ht="16.2">
      <c r="A23">
        <v>1.3</v>
      </c>
      <c r="B23">
        <f t="shared" si="0"/>
        <v>0.35100000000000003</v>
      </c>
      <c r="C23" s="153">
        <f t="shared" si="5"/>
        <v>25.980754996299041</v>
      </c>
      <c r="D23" s="153">
        <f t="shared" si="6"/>
        <v>56.521739130434788</v>
      </c>
      <c r="F23">
        <f t="shared" si="7"/>
        <v>1.3</v>
      </c>
      <c r="G23">
        <f t="shared" si="1"/>
        <v>0.31200000000000006</v>
      </c>
      <c r="H23" s="153">
        <f t="shared" si="2"/>
        <v>23.780487804878053</v>
      </c>
      <c r="I23" s="153">
        <f t="shared" si="3"/>
        <v>56.521739130434788</v>
      </c>
      <c r="K23">
        <f t="shared" si="8"/>
        <v>1.3</v>
      </c>
      <c r="L23">
        <f t="shared" si="4"/>
        <v>0.39000000000000007</v>
      </c>
      <c r="M23" s="153">
        <f t="shared" si="9"/>
        <v>28.057553956834536</v>
      </c>
      <c r="N23" s="153">
        <f t="shared" si="10"/>
        <v>56.521739130434788</v>
      </c>
    </row>
    <row r="24" spans="1:14" ht="16.2">
      <c r="A24">
        <v>1.4</v>
      </c>
      <c r="B24">
        <f t="shared" si="0"/>
        <v>0.378</v>
      </c>
      <c r="C24" s="153">
        <f t="shared" si="5"/>
        <v>27.431059506531199</v>
      </c>
      <c r="D24" s="153">
        <f t="shared" si="6"/>
        <v>58.333333333333336</v>
      </c>
      <c r="F24">
        <f t="shared" si="7"/>
        <v>1.4</v>
      </c>
      <c r="G24">
        <f t="shared" si="1"/>
        <v>0.33600000000000002</v>
      </c>
      <c r="H24" s="153">
        <f t="shared" si="2"/>
        <v>25.149700598802394</v>
      </c>
      <c r="I24" s="153">
        <f t="shared" si="3"/>
        <v>58.333333333333336</v>
      </c>
      <c r="K24">
        <f t="shared" si="8"/>
        <v>1.4</v>
      </c>
      <c r="L24">
        <f t="shared" si="4"/>
        <v>0.42000000000000004</v>
      </c>
      <c r="M24" s="153">
        <f t="shared" si="9"/>
        <v>29.577464788732399</v>
      </c>
      <c r="N24" s="153">
        <f t="shared" si="10"/>
        <v>58.333333333333336</v>
      </c>
    </row>
    <row r="25" spans="1:14" ht="16.2">
      <c r="A25">
        <v>1.5</v>
      </c>
      <c r="B25">
        <f t="shared" si="0"/>
        <v>0.40500000000000003</v>
      </c>
      <c r="C25" s="153">
        <f t="shared" si="5"/>
        <v>28.82562277580071</v>
      </c>
      <c r="D25" s="153">
        <f t="shared" si="6"/>
        <v>60</v>
      </c>
      <c r="F25">
        <f t="shared" si="7"/>
        <v>1.5</v>
      </c>
      <c r="G25">
        <f t="shared" si="1"/>
        <v>0.36000000000000004</v>
      </c>
      <c r="H25" s="153">
        <f t="shared" si="2"/>
        <v>26.47058823529412</v>
      </c>
      <c r="I25" s="153">
        <f t="shared" si="3"/>
        <v>60</v>
      </c>
      <c r="K25">
        <f t="shared" si="8"/>
        <v>1.5</v>
      </c>
      <c r="L25">
        <f t="shared" si="4"/>
        <v>0.45000000000000007</v>
      </c>
      <c r="M25" s="153">
        <f t="shared" si="9"/>
        <v>31.03448275862069</v>
      </c>
      <c r="N25" s="153">
        <f t="shared" si="10"/>
        <v>60</v>
      </c>
    </row>
    <row r="26" spans="1:14" ht="16.2">
      <c r="A26">
        <v>1.6</v>
      </c>
      <c r="B26">
        <f t="shared" si="0"/>
        <v>0.43200000000000005</v>
      </c>
      <c r="C26" s="153">
        <f t="shared" si="5"/>
        <v>30.16759776536313</v>
      </c>
      <c r="D26" s="153">
        <f t="shared" si="6"/>
        <v>61.538461538461533</v>
      </c>
      <c r="F26">
        <f t="shared" si="7"/>
        <v>1.6</v>
      </c>
      <c r="G26">
        <f t="shared" si="1"/>
        <v>0.38400000000000006</v>
      </c>
      <c r="H26" s="153">
        <f t="shared" si="2"/>
        <v>27.745664739884393</v>
      </c>
      <c r="I26" s="153">
        <f t="shared" si="3"/>
        <v>61.538461538461533</v>
      </c>
      <c r="K26">
        <f t="shared" si="8"/>
        <v>1.6</v>
      </c>
      <c r="L26">
        <f t="shared" si="4"/>
        <v>0.48000000000000009</v>
      </c>
      <c r="M26" s="153">
        <f t="shared" si="9"/>
        <v>32.432432432432435</v>
      </c>
      <c r="N26" s="153">
        <f t="shared" si="10"/>
        <v>61.538461538461533</v>
      </c>
    </row>
    <row r="27" spans="1:14" ht="16.2">
      <c r="A27">
        <v>1.7</v>
      </c>
      <c r="B27">
        <f t="shared" si="0"/>
        <v>0.45900000000000002</v>
      </c>
      <c r="C27" s="153">
        <f t="shared" si="5"/>
        <v>31.459904043865659</v>
      </c>
      <c r="D27" s="153">
        <f t="shared" si="6"/>
        <v>62.962962962962962</v>
      </c>
      <c r="F27">
        <f t="shared" si="7"/>
        <v>1.7</v>
      </c>
      <c r="G27">
        <f t="shared" si="1"/>
        <v>0.40800000000000003</v>
      </c>
      <c r="H27" s="153">
        <f t="shared" si="2"/>
        <v>28.977272727272734</v>
      </c>
      <c r="I27" s="153">
        <f t="shared" si="3"/>
        <v>62.962962962962962</v>
      </c>
      <c r="K27">
        <f t="shared" si="8"/>
        <v>1.7</v>
      </c>
      <c r="L27">
        <f t="shared" si="4"/>
        <v>0.51</v>
      </c>
      <c r="M27" s="153">
        <f t="shared" si="9"/>
        <v>33.774834437086092</v>
      </c>
      <c r="N27" s="153">
        <f t="shared" si="10"/>
        <v>62.962962962962962</v>
      </c>
    </row>
    <row r="28" spans="1:14" ht="16.2">
      <c r="A28">
        <v>2.2000000000000002</v>
      </c>
      <c r="B28">
        <f t="shared" si="0"/>
        <v>0.59400000000000008</v>
      </c>
      <c r="C28" s="153">
        <f t="shared" si="5"/>
        <v>37.264742785445421</v>
      </c>
      <c r="D28" s="153">
        <f t="shared" si="6"/>
        <v>68.75</v>
      </c>
      <c r="F28">
        <f t="shared" si="7"/>
        <v>2.2000000000000002</v>
      </c>
      <c r="G28">
        <f t="shared" si="1"/>
        <v>0.52800000000000014</v>
      </c>
      <c r="H28" s="153">
        <f t="shared" si="2"/>
        <v>34.554973821989535</v>
      </c>
      <c r="I28" s="153">
        <f t="shared" si="3"/>
        <v>68.75</v>
      </c>
      <c r="K28">
        <f t="shared" si="8"/>
        <v>2.2000000000000002</v>
      </c>
      <c r="L28">
        <f t="shared" si="4"/>
        <v>0.66000000000000014</v>
      </c>
      <c r="M28" s="153">
        <f t="shared" si="9"/>
        <v>39.759036144578317</v>
      </c>
      <c r="N28" s="153">
        <f t="shared" si="10"/>
        <v>68.75</v>
      </c>
    </row>
    <row r="29" spans="1:14" ht="16.2">
      <c r="A29">
        <v>2.7</v>
      </c>
      <c r="B29">
        <f t="shared" si="0"/>
        <v>0.72900000000000009</v>
      </c>
      <c r="C29" s="153">
        <f t="shared" si="5"/>
        <v>42.1631000578369</v>
      </c>
      <c r="D29" s="153">
        <f t="shared" si="6"/>
        <v>72.972972972972968</v>
      </c>
      <c r="F29">
        <f t="shared" si="7"/>
        <v>2.7</v>
      </c>
      <c r="G29">
        <f t="shared" si="1"/>
        <v>0.64800000000000013</v>
      </c>
      <c r="H29" s="153">
        <f t="shared" si="2"/>
        <v>39.320388349514566</v>
      </c>
      <c r="I29" s="153">
        <f t="shared" si="3"/>
        <v>72.972972972972968</v>
      </c>
      <c r="K29">
        <f t="shared" si="8"/>
        <v>2.7</v>
      </c>
      <c r="L29">
        <f t="shared" si="4"/>
        <v>0.81000000000000016</v>
      </c>
      <c r="M29" s="153">
        <f t="shared" si="9"/>
        <v>44.751381215469621</v>
      </c>
      <c r="N29" s="153">
        <f t="shared" si="10"/>
        <v>72.972972972972968</v>
      </c>
    </row>
    <row r="30" spans="1:14" ht="16.2">
      <c r="A30">
        <v>3.2</v>
      </c>
      <c r="B30">
        <f t="shared" si="0"/>
        <v>0.8640000000000001</v>
      </c>
      <c r="C30" s="153">
        <f t="shared" si="5"/>
        <v>46.351931330472105</v>
      </c>
      <c r="D30" s="153">
        <f t="shared" si="6"/>
        <v>76.19047619047619</v>
      </c>
      <c r="F30">
        <f t="shared" si="7"/>
        <v>3.2</v>
      </c>
      <c r="G30">
        <f t="shared" si="1"/>
        <v>0.76800000000000013</v>
      </c>
      <c r="H30" s="153">
        <f t="shared" si="2"/>
        <v>43.438914027149323</v>
      </c>
      <c r="I30" s="153">
        <f t="shared" si="3"/>
        <v>76.19047619047619</v>
      </c>
      <c r="K30">
        <f t="shared" si="8"/>
        <v>3.2</v>
      </c>
      <c r="L30">
        <f t="shared" si="4"/>
        <v>0.96000000000000019</v>
      </c>
      <c r="M30" s="153">
        <f t="shared" si="9"/>
        <v>48.979591836734699</v>
      </c>
      <c r="N30" s="153">
        <f t="shared" si="10"/>
        <v>76.19047619047619</v>
      </c>
    </row>
    <row r="31" spans="1:14" ht="16.2">
      <c r="A31">
        <v>3.7</v>
      </c>
      <c r="B31">
        <f t="shared" si="0"/>
        <v>0.99900000000000011</v>
      </c>
      <c r="C31" s="153">
        <f t="shared" si="5"/>
        <v>49.974987493746873</v>
      </c>
      <c r="D31" s="153">
        <f t="shared" si="6"/>
        <v>78.723404255319153</v>
      </c>
      <c r="F31">
        <f t="shared" si="7"/>
        <v>3.7</v>
      </c>
      <c r="G31">
        <f t="shared" si="1"/>
        <v>0.88800000000000012</v>
      </c>
      <c r="H31" s="153">
        <f t="shared" si="2"/>
        <v>47.033898305084747</v>
      </c>
      <c r="I31" s="153">
        <f t="shared" si="3"/>
        <v>78.723404255319153</v>
      </c>
      <c r="K31">
        <f t="shared" si="8"/>
        <v>3.7</v>
      </c>
      <c r="L31">
        <f t="shared" si="4"/>
        <v>1.1100000000000003</v>
      </c>
      <c r="M31" s="153">
        <f t="shared" si="9"/>
        <v>52.606635071090054</v>
      </c>
      <c r="N31" s="153">
        <f t="shared" si="10"/>
        <v>78.723404255319153</v>
      </c>
    </row>
    <row r="32" spans="1:14" ht="16.2">
      <c r="A32">
        <v>4.2</v>
      </c>
      <c r="B32">
        <f t="shared" si="0"/>
        <v>1.1340000000000001</v>
      </c>
      <c r="C32" s="153">
        <f t="shared" si="5"/>
        <v>53.139643861293337</v>
      </c>
      <c r="D32" s="153">
        <f t="shared" si="6"/>
        <v>80.769230769230759</v>
      </c>
      <c r="F32">
        <f t="shared" si="7"/>
        <v>4.2</v>
      </c>
      <c r="G32">
        <f t="shared" si="1"/>
        <v>1.0080000000000002</v>
      </c>
      <c r="H32" s="153">
        <f t="shared" si="2"/>
        <v>50.199203187251008</v>
      </c>
      <c r="I32" s="153">
        <f t="shared" si="3"/>
        <v>80.769230769230759</v>
      </c>
      <c r="K32">
        <f t="shared" si="8"/>
        <v>4.2</v>
      </c>
      <c r="L32">
        <f t="shared" si="4"/>
        <v>1.2600000000000002</v>
      </c>
      <c r="M32" s="153">
        <f t="shared" si="9"/>
        <v>55.752212389380539</v>
      </c>
      <c r="N32" s="153">
        <f t="shared" si="10"/>
        <v>80.769230769230759</v>
      </c>
    </row>
    <row r="33" spans="1:14" ht="16.2">
      <c r="A33">
        <v>5.2</v>
      </c>
      <c r="B33">
        <f t="shared" si="0"/>
        <v>1.4040000000000001</v>
      </c>
      <c r="C33" s="153">
        <f t="shared" si="5"/>
        <v>58.402662229617306</v>
      </c>
      <c r="D33" s="153">
        <f t="shared" si="6"/>
        <v>83.870967741935488</v>
      </c>
      <c r="F33">
        <f t="shared" si="7"/>
        <v>5.2</v>
      </c>
      <c r="G33">
        <f t="shared" si="1"/>
        <v>1.2480000000000002</v>
      </c>
      <c r="H33" s="153">
        <f t="shared" si="2"/>
        <v>55.516014234875449</v>
      </c>
      <c r="I33" s="153">
        <f t="shared" si="3"/>
        <v>83.870967741935488</v>
      </c>
      <c r="K33">
        <f t="shared" si="8"/>
        <v>5.2</v>
      </c>
      <c r="L33">
        <f t="shared" si="4"/>
        <v>1.5600000000000003</v>
      </c>
      <c r="M33" s="153">
        <f t="shared" si="9"/>
        <v>60.9375</v>
      </c>
      <c r="N33" s="153">
        <f t="shared" si="10"/>
        <v>83.870967741935488</v>
      </c>
    </row>
    <row r="34" spans="1:14" ht="16.2">
      <c r="A34">
        <v>6.2</v>
      </c>
      <c r="B34">
        <f t="shared" si="0"/>
        <v>1.6740000000000002</v>
      </c>
      <c r="C34" s="153">
        <f t="shared" si="5"/>
        <v>62.602842183994007</v>
      </c>
      <c r="D34" s="153">
        <f t="shared" si="6"/>
        <v>86.111111111111114</v>
      </c>
      <c r="F34">
        <f t="shared" si="7"/>
        <v>6.2</v>
      </c>
      <c r="G34">
        <f t="shared" si="1"/>
        <v>1.4880000000000002</v>
      </c>
      <c r="H34" s="153">
        <f t="shared" si="2"/>
        <v>59.80707395498392</v>
      </c>
      <c r="I34" s="153">
        <f t="shared" si="3"/>
        <v>86.111111111111114</v>
      </c>
      <c r="K34">
        <f t="shared" si="8"/>
        <v>6.2</v>
      </c>
      <c r="L34">
        <f t="shared" si="4"/>
        <v>1.8600000000000003</v>
      </c>
      <c r="M34" s="153">
        <f t="shared" si="9"/>
        <v>65.03496503496504</v>
      </c>
      <c r="N34" s="153">
        <f t="shared" si="10"/>
        <v>86.111111111111114</v>
      </c>
    </row>
    <row r="35" spans="1:14" ht="16.2">
      <c r="A35">
        <v>7.2</v>
      </c>
      <c r="B35">
        <f t="shared" si="0"/>
        <v>1.9440000000000002</v>
      </c>
      <c r="C35" s="153">
        <f t="shared" si="5"/>
        <v>66.032608695652172</v>
      </c>
      <c r="D35" s="153">
        <f t="shared" si="6"/>
        <v>87.804878048780495</v>
      </c>
      <c r="F35">
        <f t="shared" si="7"/>
        <v>7.2</v>
      </c>
      <c r="G35">
        <f t="shared" si="1"/>
        <v>1.7280000000000002</v>
      </c>
      <c r="H35" s="153">
        <f t="shared" si="2"/>
        <v>63.343108504398828</v>
      </c>
      <c r="I35" s="153">
        <f t="shared" si="3"/>
        <v>87.804878048780495</v>
      </c>
      <c r="K35">
        <f t="shared" si="8"/>
        <v>7.2</v>
      </c>
      <c r="L35">
        <f t="shared" si="4"/>
        <v>2.1600000000000006</v>
      </c>
      <c r="M35" s="153">
        <f t="shared" si="9"/>
        <v>68.354430379746844</v>
      </c>
      <c r="N35" s="153">
        <f t="shared" si="10"/>
        <v>87.804878048780495</v>
      </c>
    </row>
    <row r="36" spans="1:14" ht="16.2">
      <c r="A36">
        <v>10</v>
      </c>
      <c r="B36">
        <f t="shared" si="0"/>
        <v>2.7</v>
      </c>
      <c r="C36" s="153">
        <f t="shared" si="5"/>
        <v>72.972972972972968</v>
      </c>
      <c r="D36" s="153">
        <f t="shared" si="6"/>
        <v>90.909090909090907</v>
      </c>
      <c r="F36">
        <f t="shared" si="7"/>
        <v>10</v>
      </c>
      <c r="G36">
        <f t="shared" si="1"/>
        <v>2.4000000000000004</v>
      </c>
      <c r="H36" s="153">
        <f t="shared" si="2"/>
        <v>70.588235294117652</v>
      </c>
      <c r="I36" s="153">
        <f t="shared" si="3"/>
        <v>90.909090909090907</v>
      </c>
      <c r="K36">
        <f t="shared" si="8"/>
        <v>10</v>
      </c>
      <c r="L36">
        <f t="shared" si="4"/>
        <v>3.0000000000000004</v>
      </c>
      <c r="M36" s="153">
        <f t="shared" si="9"/>
        <v>75.000000000000014</v>
      </c>
      <c r="N36" s="153">
        <f t="shared" si="10"/>
        <v>90.909090909090907</v>
      </c>
    </row>
    <row r="37" spans="1:14" ht="16.2">
      <c r="A37">
        <v>20</v>
      </c>
      <c r="B37">
        <f t="shared" si="0"/>
        <v>5.4</v>
      </c>
      <c r="C37" s="153">
        <f t="shared" si="5"/>
        <v>84.375</v>
      </c>
      <c r="D37" s="153">
        <f t="shared" si="6"/>
        <v>95.238095238095241</v>
      </c>
      <c r="F37">
        <f t="shared" si="7"/>
        <v>20</v>
      </c>
      <c r="G37">
        <f t="shared" si="1"/>
        <v>4.8000000000000007</v>
      </c>
      <c r="H37" s="153">
        <f t="shared" si="2"/>
        <v>82.758620689655174</v>
      </c>
      <c r="I37" s="153">
        <f t="shared" si="3"/>
        <v>95.238095238095241</v>
      </c>
      <c r="K37">
        <f t="shared" si="8"/>
        <v>20</v>
      </c>
      <c r="L37">
        <f t="shared" si="4"/>
        <v>6.0000000000000009</v>
      </c>
      <c r="M37" s="153">
        <f t="shared" si="9"/>
        <v>85.714285714285722</v>
      </c>
      <c r="N37" s="153">
        <f t="shared" si="10"/>
        <v>95.238095238095241</v>
      </c>
    </row>
    <row r="38" spans="1:14" ht="16.2">
      <c r="A38">
        <v>40</v>
      </c>
      <c r="B38">
        <f t="shared" si="0"/>
        <v>10.8</v>
      </c>
      <c r="C38" s="153">
        <f t="shared" si="5"/>
        <v>91.52542372881355</v>
      </c>
      <c r="D38" s="153">
        <f t="shared" si="6"/>
        <v>97.560975609756099</v>
      </c>
      <c r="F38">
        <f t="shared" si="7"/>
        <v>40</v>
      </c>
      <c r="G38">
        <f t="shared" si="1"/>
        <v>9.6000000000000014</v>
      </c>
      <c r="H38" s="153">
        <f t="shared" si="2"/>
        <v>90.566037735849051</v>
      </c>
      <c r="I38" s="153">
        <f t="shared" si="3"/>
        <v>97.560975609756099</v>
      </c>
      <c r="K38">
        <f t="shared" si="8"/>
        <v>40</v>
      </c>
      <c r="L38">
        <f t="shared" si="4"/>
        <v>12.000000000000002</v>
      </c>
      <c r="M38" s="153">
        <f t="shared" si="9"/>
        <v>92.307692307692307</v>
      </c>
      <c r="N38" s="153">
        <f t="shared" si="10"/>
        <v>97.560975609756099</v>
      </c>
    </row>
    <row r="39" spans="1:14" ht="16.2">
      <c r="A39">
        <v>80</v>
      </c>
      <c r="B39">
        <f t="shared" si="0"/>
        <v>21.6</v>
      </c>
      <c r="C39" s="153">
        <f t="shared" si="5"/>
        <v>95.575221238938042</v>
      </c>
      <c r="D39" s="153">
        <f t="shared" si="6"/>
        <v>98.76543209876543</v>
      </c>
      <c r="F39">
        <f t="shared" si="7"/>
        <v>80</v>
      </c>
      <c r="G39">
        <f t="shared" si="1"/>
        <v>19.200000000000003</v>
      </c>
      <c r="H39" s="153">
        <f t="shared" si="2"/>
        <v>95.049504950495049</v>
      </c>
      <c r="I39" s="153">
        <f t="shared" si="3"/>
        <v>98.76543209876543</v>
      </c>
      <c r="K39">
        <f t="shared" si="8"/>
        <v>80</v>
      </c>
      <c r="L39">
        <f t="shared" si="4"/>
        <v>24.000000000000004</v>
      </c>
      <c r="M39" s="153">
        <f t="shared" si="9"/>
        <v>96</v>
      </c>
      <c r="N39" s="153">
        <f t="shared" si="10"/>
        <v>98.76543209876543</v>
      </c>
    </row>
    <row r="40" spans="1:14" ht="16.2">
      <c r="A40">
        <v>200</v>
      </c>
      <c r="B40">
        <f t="shared" si="0"/>
        <v>54</v>
      </c>
      <c r="C40" s="153">
        <f t="shared" si="5"/>
        <v>98.181818181818187</v>
      </c>
      <c r="D40" s="153">
        <f t="shared" si="6"/>
        <v>99.50248756218906</v>
      </c>
      <c r="F40">
        <f t="shared" si="7"/>
        <v>200</v>
      </c>
      <c r="G40">
        <f t="shared" si="1"/>
        <v>48.000000000000007</v>
      </c>
      <c r="H40" s="153">
        <f t="shared" si="2"/>
        <v>97.959183673469397</v>
      </c>
      <c r="I40" s="153">
        <f t="shared" si="3"/>
        <v>99.50248756218906</v>
      </c>
      <c r="K40">
        <f t="shared" si="8"/>
        <v>200</v>
      </c>
      <c r="L40">
        <f t="shared" si="4"/>
        <v>60.000000000000007</v>
      </c>
      <c r="M40" s="153">
        <f t="shared" si="9"/>
        <v>98.360655737704917</v>
      </c>
      <c r="N40" s="153">
        <f t="shared" si="10"/>
        <v>99.50248756218906</v>
      </c>
    </row>
    <row r="41" spans="1:14" ht="16.2">
      <c r="A41">
        <v>1000</v>
      </c>
      <c r="B41">
        <f t="shared" si="0"/>
        <v>270</v>
      </c>
      <c r="C41" s="153">
        <f t="shared" si="5"/>
        <v>99.630996309963095</v>
      </c>
      <c r="D41" s="153">
        <f t="shared" si="6"/>
        <v>99.900099900099903</v>
      </c>
      <c r="F41">
        <f t="shared" si="7"/>
        <v>1000</v>
      </c>
      <c r="G41">
        <f t="shared" si="1"/>
        <v>240.00000000000003</v>
      </c>
      <c r="H41" s="153">
        <f>100*G41/(G41+1)</f>
        <v>99.585062240663902</v>
      </c>
      <c r="I41" s="153">
        <f t="shared" si="3"/>
        <v>99.900099900099903</v>
      </c>
      <c r="K41">
        <f t="shared" si="8"/>
        <v>1000</v>
      </c>
      <c r="L41">
        <f t="shared" si="4"/>
        <v>300.00000000000006</v>
      </c>
      <c r="M41" s="153">
        <f t="shared" si="9"/>
        <v>99.667774086378742</v>
      </c>
      <c r="N41" s="153">
        <f t="shared" si="10"/>
        <v>99.900099900099903</v>
      </c>
    </row>
    <row r="141" spans="1:72" s="63"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63"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63"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63"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4</vt:i4>
      </vt:variant>
    </vt:vector>
  </HeadingPairs>
  <TitlesOfParts>
    <vt:vector size="7" baseType="lpstr">
      <vt:lpstr>Instructions</vt:lpstr>
      <vt:lpstr>Cpx Input &amp; Models</vt:lpstr>
      <vt:lpstr>Rhodes Diag Calcs</vt:lpstr>
      <vt:lpstr>P v T plot</vt:lpstr>
      <vt:lpstr>Test for Equilibrium</vt:lpstr>
      <vt:lpstr>En-Di-Fs diag</vt:lpstr>
      <vt:lpstr>Rhodes Diag</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2008-10-09T22:50:03Z</dcterms:created>
  <dcterms:modified xsi:type="dcterms:W3CDTF">2021-09-01T21:37:22Z</dcterms:modified>
</cp:coreProperties>
</file>