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Брокер Финанс\Documents\(ФРАНЧАЙЗИНГ) Фотофабрика\Финмодель Франчайзи\Финмодель\"/>
    </mc:Choice>
  </mc:AlternateContent>
  <bookViews>
    <workbookView xWindow="0" yWindow="0" windowWidth="20490" windowHeight="7770" tabRatio="862"/>
  </bookViews>
  <sheets>
    <sheet name="Калькулятор" sheetId="61" r:id="rId1"/>
    <sheet name="Инвестиции" sheetId="69" r:id="rId2"/>
    <sheet name="Оборудование" sheetId="70" r:id="rId3"/>
    <sheet name="План продаж" sheetId="65" r:id="rId4"/>
    <sheet name="Персонал" sheetId="67" r:id="rId5"/>
    <sheet name="Текущие затраты" sheetId="68" r:id="rId6"/>
    <sheet name="Расчет прибыли" sheetId="66" r:id="rId7"/>
    <sheet name="Служебная" sheetId="72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___70cklad" localSheetId="0">#REF!</definedName>
    <definedName name="____70cklad" localSheetId="7">#REF!</definedName>
    <definedName name="____70cklad">#REF!</definedName>
    <definedName name="___1_70cklad" localSheetId="0">#REF!</definedName>
    <definedName name="___1_70cklad" localSheetId="7">#REF!</definedName>
    <definedName name="___1_70cklad">#REF!</definedName>
    <definedName name="___70cklad" localSheetId="0">#REF!</definedName>
    <definedName name="___70cklad" localSheetId="7">#REF!</definedName>
    <definedName name="___70cklad">#REF!</definedName>
    <definedName name="__1_70cklad" localSheetId="0">#REF!</definedName>
    <definedName name="__1_70cklad" localSheetId="7">#REF!</definedName>
    <definedName name="__1_70cklad">#REF!</definedName>
    <definedName name="_1_70cklad" localSheetId="0">#REF!</definedName>
    <definedName name="_1_70cklad" localSheetId="7">#REF!</definedName>
    <definedName name="_1_70cklad">#REF!</definedName>
    <definedName name="_70cklad" localSheetId="0">#REF!</definedName>
    <definedName name="_70cklad" localSheetId="7">#REF!</definedName>
    <definedName name="_70cklad">#REF!</definedName>
    <definedName name="adsfa" localSheetId="0">#REF!</definedName>
    <definedName name="adsfa" localSheetId="7">#REF!</definedName>
    <definedName name="adsfa">#REF!</definedName>
    <definedName name="cal" localSheetId="0">#REF!</definedName>
    <definedName name="cal" localSheetId="7">#REF!</definedName>
    <definedName name="cal">#REF!</definedName>
    <definedName name="cklad__" localSheetId="0">#REF!</definedName>
    <definedName name="cklad__" localSheetId="7">#REF!</definedName>
    <definedName name="cklad__">#REF!</definedName>
    <definedName name="Currency" localSheetId="0">#REF!</definedName>
    <definedName name="Currency" localSheetId="7">#REF!</definedName>
    <definedName name="Currency">#REF!</definedName>
    <definedName name="eur">'[1]по банкам отдельно'!$L$1</definedName>
    <definedName name="EUR_1" localSheetId="0">#REF!</definedName>
    <definedName name="EUR_1" localSheetId="7">#REF!</definedName>
    <definedName name="EUR_1">#REF!</definedName>
    <definedName name="EUR_2" localSheetId="0">#REF!</definedName>
    <definedName name="EUR_2" localSheetId="7">#REF!</definedName>
    <definedName name="EUR_2">#REF!</definedName>
    <definedName name="finact" localSheetId="0">#REF!</definedName>
    <definedName name="finact" localSheetId="7">#REF!</definedName>
    <definedName name="finact">#REF!</definedName>
    <definedName name="gkcj1g1" localSheetId="0">#REF!</definedName>
    <definedName name="gkcj1g1" localSheetId="7">#REF!</definedName>
    <definedName name="gkcj1g1">#REF!</definedName>
    <definedName name="gmkd" localSheetId="0">#REF!</definedName>
    <definedName name="gmkd" localSheetId="7">#REF!</definedName>
    <definedName name="gmkd">#REF!</definedName>
    <definedName name="hhh" localSheetId="0">#REF!</definedName>
    <definedName name="hhh" localSheetId="7">#REF!</definedName>
    <definedName name="hhh">#REF!</definedName>
    <definedName name="jcgk14" localSheetId="0">#REF!</definedName>
    <definedName name="jcgk14" localSheetId="7">#REF!</definedName>
    <definedName name="jcgk14">#REF!</definedName>
    <definedName name="jkkm4" localSheetId="0">#REF!</definedName>
    <definedName name="jkkm4" localSheetId="7">#REF!</definedName>
    <definedName name="jkkm4">#REF!</definedName>
    <definedName name="k" localSheetId="0">#REF!</definedName>
    <definedName name="k" localSheetId="7">#REF!</definedName>
    <definedName name="k">#REF!</definedName>
    <definedName name="kkk" localSheetId="0">#REF!</definedName>
    <definedName name="kkk" localSheetId="7">#REF!</definedName>
    <definedName name="kkk">#REF!</definedName>
    <definedName name="list" localSheetId="0">#REF!</definedName>
    <definedName name="list" localSheetId="7">#REF!</definedName>
    <definedName name="list">#REF!</definedName>
    <definedName name="Money1" localSheetId="0">'[2]5'!#REF!</definedName>
    <definedName name="Money1" localSheetId="7">'[2]5'!#REF!</definedName>
    <definedName name="Money1">'[2]5'!#REF!</definedName>
    <definedName name="Money11" localSheetId="0">'[2]5'!#REF!</definedName>
    <definedName name="Money11" localSheetId="7">'[2]5'!#REF!</definedName>
    <definedName name="Money11">'[2]5'!#REF!</definedName>
    <definedName name="Money21" localSheetId="0">#REF!</definedName>
    <definedName name="Money21" localSheetId="7">#REF!</definedName>
    <definedName name="Money21">#REF!</definedName>
    <definedName name="period_begin" localSheetId="0">#REF!</definedName>
    <definedName name="period_begin" localSheetId="7">#REF!</definedName>
    <definedName name="period_begin">#REF!</definedName>
    <definedName name="period_end" localSheetId="0">#REF!</definedName>
    <definedName name="period_end" localSheetId="7">#REF!</definedName>
    <definedName name="period_end">#REF!</definedName>
    <definedName name="pi" localSheetId="0">'[2]5'!#REF!</definedName>
    <definedName name="pi" localSheetId="7">'[2]5'!#REF!</definedName>
    <definedName name="pi">'[2]5'!#REF!</definedName>
    <definedName name="project" localSheetId="0">'[2]5'!#REF!</definedName>
    <definedName name="project" localSheetId="7">'[2]5'!#REF!</definedName>
    <definedName name="project">'[2]5'!#REF!</definedName>
    <definedName name="rer">[3]заготовка!$C$3</definedName>
    <definedName name="rtr">'[4]sep old'!$B$83</definedName>
    <definedName name="sadas">'[4]dec old'!$B$83</definedName>
    <definedName name="safonov" localSheetId="0">#REF!</definedName>
    <definedName name="safonov" localSheetId="7">#REF!</definedName>
    <definedName name="safonov">#REF!</definedName>
    <definedName name="SemDesSklad" localSheetId="0">#REF!</definedName>
    <definedName name="SemDesSklad" localSheetId="7">#REF!</definedName>
    <definedName name="SemDesSklad">#REF!</definedName>
    <definedName name="usd" localSheetId="0">#REF!</definedName>
    <definedName name="usd" localSheetId="7">#REF!</definedName>
    <definedName name="usd">#REF!</definedName>
    <definedName name="USD_1" localSheetId="0">#REF!</definedName>
    <definedName name="USD_1" localSheetId="7">#REF!</definedName>
    <definedName name="USD_1">#REF!</definedName>
    <definedName name="USD_2" localSheetId="0">#REF!</definedName>
    <definedName name="USD_2" localSheetId="7">#REF!</definedName>
    <definedName name="USD_2">#REF!</definedName>
    <definedName name="vava" localSheetId="0">#REF!</definedName>
    <definedName name="vava" localSheetId="7">#REF!</definedName>
    <definedName name="vava">#REF!</definedName>
    <definedName name="we">[5]OffShore!$B$27:$B$31</definedName>
    <definedName name="work" localSheetId="0">#REF!</definedName>
    <definedName name="work" localSheetId="7">#REF!</definedName>
    <definedName name="work">#REF!</definedName>
    <definedName name="А16" localSheetId="0">#REF!</definedName>
    <definedName name="А16" localSheetId="7">#REF!</definedName>
    <definedName name="А16">#REF!</definedName>
    <definedName name="Авг">10</definedName>
    <definedName name="Апр">6</definedName>
    <definedName name="Банки">[6]Списки!$I$2:$I$11</definedName>
    <definedName name="бланки" localSheetId="0">#REF!</definedName>
    <definedName name="бланки" localSheetId="7">#REF!</definedName>
    <definedName name="бланки">#REF!</definedName>
    <definedName name="бумизделия" localSheetId="0">#REF!</definedName>
    <definedName name="бумизделия" localSheetId="7">#REF!</definedName>
    <definedName name="бумизделия">#REF!</definedName>
    <definedName name="г2004">16</definedName>
    <definedName name="г2005">17</definedName>
    <definedName name="г2006">18</definedName>
    <definedName name="Город">[6]Списки!$G$2:$G$28</definedName>
    <definedName name="Данные">[7]Данные!$A$1:$G$3</definedName>
    <definedName name="Дек">14</definedName>
    <definedName name="дивизион" localSheetId="0">#REF!</definedName>
    <definedName name="дивизион" localSheetId="7">#REF!</definedName>
    <definedName name="дивизион">#REF!</definedName>
    <definedName name="Зал">'[8]Свет+Керамика'!$B$19:$B$22</definedName>
    <definedName name="Залоги__6_" localSheetId="0">#REF!</definedName>
    <definedName name="Залоги__6_" localSheetId="7">#REF!</definedName>
    <definedName name="Залоги__6_">#REF!</definedName>
    <definedName name="Инициатор">[9]Списки!$A$2:$A$36</definedName>
    <definedName name="Инициаторы">[6]Списки!$A$2:$A$30</definedName>
    <definedName name="Инфляц">[7]КолУКР!$A$5:$P$7</definedName>
    <definedName name="Июл">9</definedName>
    <definedName name="Июн">8</definedName>
    <definedName name="й">[10]Адель!$J$73</definedName>
    <definedName name="к">[11]заготовка!$C$3</definedName>
    <definedName name="к02" localSheetId="0">#REF!</definedName>
    <definedName name="к02" localSheetId="7">#REF!</definedName>
    <definedName name="к02">#REF!</definedName>
    <definedName name="к03" localSheetId="0">#REF!</definedName>
    <definedName name="к03" localSheetId="7">#REF!</definedName>
    <definedName name="к03">#REF!</definedName>
    <definedName name="к1" localSheetId="0">#REF!</definedName>
    <definedName name="к1" localSheetId="7">#REF!</definedName>
    <definedName name="к1">#REF!</definedName>
    <definedName name="канцтовары" localSheetId="0">#REF!</definedName>
    <definedName name="канцтовары" localSheetId="7">#REF!</definedName>
    <definedName name="канцтовары">#REF!</definedName>
    <definedName name="коза" localSheetId="0">#REF!</definedName>
    <definedName name="коза" localSheetId="7">#REF!</definedName>
    <definedName name="коза">#REF!</definedName>
    <definedName name="кок" localSheetId="0">#REF!</definedName>
    <definedName name="кок" localSheetId="7">#REF!</definedName>
    <definedName name="кок">#REF!</definedName>
    <definedName name="Колич">[7]КолУКР!$A$1:$Q$3</definedName>
    <definedName name="крс" localSheetId="0">#REF!</definedName>
    <definedName name="крс" localSheetId="7">#REF!</definedName>
    <definedName name="крс">#REF!</definedName>
    <definedName name="кру" localSheetId="0">#REF!</definedName>
    <definedName name="кру" localSheetId="7">#REF!</definedName>
    <definedName name="кру">#REF!</definedName>
    <definedName name="ку">[12]заготовка!$C$3</definedName>
    <definedName name="кук" localSheetId="0">#REF!</definedName>
    <definedName name="кук" localSheetId="7">#REF!</definedName>
    <definedName name="кук">#REF!</definedName>
    <definedName name="курс">'[4]sep old'!$B$83</definedName>
    <definedName name="курса">'[4]sep old'!$B$83</definedName>
    <definedName name="курсУЕ">'[13]св бюджет'!$C$2</definedName>
    <definedName name="Л7" localSheetId="0">'[14]2.10_3'!#REF!</definedName>
    <definedName name="Л7" localSheetId="7">'[14]2.10_3'!#REF!</definedName>
    <definedName name="Л7">'[14]2.10_3'!#REF!</definedName>
    <definedName name="Ма">7</definedName>
    <definedName name="Мар">5</definedName>
    <definedName name="медизделия" localSheetId="0">#REF!</definedName>
    <definedName name="медизделия" localSheetId="7">#REF!</definedName>
    <definedName name="медизделия">#REF!</definedName>
    <definedName name="н">[10]Адель!$T$71</definedName>
    <definedName name="н1" localSheetId="0">#REF!</definedName>
    <definedName name="н1" localSheetId="7">#REF!</definedName>
    <definedName name="н1">#REF!</definedName>
    <definedName name="н2" localSheetId="0">#REF!</definedName>
    <definedName name="н2" localSheetId="7">#REF!</definedName>
    <definedName name="н2">#REF!</definedName>
    <definedName name="н3" localSheetId="0">#REF!</definedName>
    <definedName name="н3" localSheetId="7">#REF!</definedName>
    <definedName name="н3">#REF!</definedName>
    <definedName name="н4" localSheetId="0">#REF!</definedName>
    <definedName name="н4" localSheetId="7">#REF!</definedName>
    <definedName name="н4">#REF!</definedName>
    <definedName name="н5" localSheetId="0">#REF!</definedName>
    <definedName name="н5" localSheetId="7">#REF!</definedName>
    <definedName name="н5">#REF!</definedName>
    <definedName name="наименование" localSheetId="0">#REF!</definedName>
    <definedName name="наименование" localSheetId="7">#REF!</definedName>
    <definedName name="наименование">#REF!</definedName>
    <definedName name="Ноя">13</definedName>
    <definedName name="Объект">[6]Списки!$D$2:$D$95</definedName>
    <definedName name="Окт">12</definedName>
    <definedName name="оргтехника" localSheetId="0">#REF!</definedName>
    <definedName name="оргтехника" localSheetId="7">#REF!</definedName>
    <definedName name="оргтехника">#REF!</definedName>
    <definedName name="П1135" localSheetId="0">[14]инкассац!#REF!</definedName>
    <definedName name="П1135" localSheetId="7">[14]инкассац!#REF!</definedName>
    <definedName name="П1135">[14]инкассац!#REF!</definedName>
    <definedName name="П13" localSheetId="0">#REF!</definedName>
    <definedName name="П13" localSheetId="7">#REF!</definedName>
    <definedName name="П13">#REF!</definedName>
    <definedName name="П23" localSheetId="0">'[14]2.10_3'!#REF!</definedName>
    <definedName name="П23" localSheetId="7">'[14]2.10_3'!#REF!</definedName>
    <definedName name="П23">'[14]2.10_3'!#REF!</definedName>
    <definedName name="региональность" localSheetId="0">#REF!</definedName>
    <definedName name="региональность" localSheetId="7">#REF!</definedName>
    <definedName name="региональность">#REF!</definedName>
    <definedName name="Свет">'[8]Свет+Керамика'!$B$3:$B$12</definedName>
    <definedName name="сги_к" localSheetId="0">#REF!</definedName>
    <definedName name="сги_к" localSheetId="7">#REF!</definedName>
    <definedName name="сги_к">#REF!</definedName>
    <definedName name="Сен">11</definedName>
    <definedName name="Скк" localSheetId="0">#REF!</definedName>
    <definedName name="Скк" localSheetId="7">#REF!</definedName>
    <definedName name="Скк">#REF!</definedName>
    <definedName name="статьи" localSheetId="0">#REF!</definedName>
    <definedName name="статьи" localSheetId="7">#REF!</definedName>
    <definedName name="статьи">#REF!</definedName>
    <definedName name="фараон" localSheetId="0">#REF!</definedName>
    <definedName name="фараон" localSheetId="7">#REF!</definedName>
    <definedName name="фараон">#REF!</definedName>
    <definedName name="Фев">4</definedName>
    <definedName name="химия" localSheetId="0">#REF!</definedName>
    <definedName name="химия" localSheetId="7">#REF!</definedName>
    <definedName name="химия">#REF!</definedName>
    <definedName name="чай" localSheetId="0">#REF!</definedName>
    <definedName name="чай" localSheetId="7">#REF!</definedName>
    <definedName name="чай">#REF!</definedName>
    <definedName name="ччч" localSheetId="0">#REF!</definedName>
    <definedName name="ччч" localSheetId="7">#REF!</definedName>
    <definedName name="ччч">#REF!</definedName>
    <definedName name="Юр.лицо">[6]Списки!$J$2:$J$3</definedName>
    <definedName name="Янв">3</definedName>
  </definedNames>
  <calcPr calcId="152511"/>
</workbook>
</file>

<file path=xl/calcChain.xml><?xml version="1.0" encoding="utf-8"?>
<calcChain xmlns="http://schemas.openxmlformats.org/spreadsheetml/2006/main">
  <c r="G19" i="66" l="1"/>
  <c r="H19" i="66"/>
  <c r="I19" i="66"/>
  <c r="J19" i="66"/>
  <c r="K19" i="66"/>
  <c r="L19" i="66"/>
  <c r="M19" i="66"/>
  <c r="N19" i="66"/>
  <c r="O19" i="66"/>
  <c r="P19" i="66"/>
  <c r="Q19" i="66"/>
  <c r="R19" i="66"/>
  <c r="S19" i="66"/>
  <c r="T19" i="66"/>
  <c r="U19" i="66"/>
  <c r="V19" i="66"/>
  <c r="W19" i="66"/>
  <c r="X19" i="66"/>
  <c r="Y19" i="66"/>
  <c r="Z19" i="66"/>
  <c r="AA19" i="66"/>
  <c r="AB19" i="66"/>
  <c r="AC19" i="66"/>
  <c r="AD19" i="66"/>
  <c r="AE19" i="66"/>
  <c r="AF19" i="66"/>
  <c r="AG19" i="66"/>
  <c r="AH19" i="66"/>
  <c r="AI19" i="66"/>
  <c r="AJ19" i="66"/>
  <c r="AK19" i="66"/>
  <c r="AL19" i="66"/>
  <c r="AM19" i="66"/>
  <c r="AN19" i="66"/>
  <c r="AO19" i="66"/>
  <c r="F19" i="66"/>
  <c r="AR19" i="66" l="1"/>
  <c r="AQ19" i="66"/>
  <c r="AP19" i="66"/>
  <c r="B26" i="72"/>
  <c r="E18" i="67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F16" i="66"/>
  <c r="E27" i="67"/>
  <c r="E28" i="67" s="1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F15" i="66"/>
  <c r="F22" i="65"/>
  <c r="F23" i="65"/>
  <c r="F21" i="65"/>
  <c r="F18" i="65"/>
  <c r="F19" i="65"/>
  <c r="F17" i="65"/>
  <c r="E22" i="65"/>
  <c r="E23" i="65"/>
  <c r="E21" i="65"/>
  <c r="D13" i="66"/>
  <c r="D14" i="66"/>
  <c r="D12" i="66"/>
  <c r="D9" i="66"/>
  <c r="D10" i="66"/>
  <c r="D8" i="66"/>
  <c r="E18" i="65"/>
  <c r="E19" i="65"/>
  <c r="E17" i="65"/>
  <c r="B24" i="72"/>
  <c r="AP16" i="66" l="1"/>
  <c r="AR16" i="66"/>
  <c r="AQ16" i="66"/>
  <c r="AP15" i="66"/>
  <c r="AR15" i="66"/>
  <c r="AQ15" i="66"/>
  <c r="F10" i="65" l="1"/>
  <c r="F11" i="65"/>
  <c r="F9" i="65"/>
  <c r="G11" i="65"/>
  <c r="G10" i="65" l="1"/>
  <c r="G9" i="65"/>
  <c r="G8" i="65" s="1"/>
  <c r="H11" i="65" s="1"/>
  <c r="E11" i="69"/>
  <c r="E12" i="69"/>
  <c r="H9" i="65" l="1"/>
  <c r="H10" i="65"/>
  <c r="H8" i="65" s="1"/>
  <c r="G23" i="68"/>
  <c r="G21" i="68"/>
  <c r="G20" i="68"/>
  <c r="G19" i="68"/>
  <c r="G18" i="68" s="1"/>
  <c r="G11" i="68"/>
  <c r="G9" i="68"/>
  <c r="G8" i="68"/>
  <c r="G7" i="68"/>
  <c r="F34" i="68"/>
  <c r="E34" i="68"/>
  <c r="G33" i="68"/>
  <c r="G32" i="68"/>
  <c r="G31" i="68"/>
  <c r="G27" i="67"/>
  <c r="G26" i="67"/>
  <c r="G25" i="67"/>
  <c r="G28" i="67" s="1"/>
  <c r="G17" i="67"/>
  <c r="G16" i="67"/>
  <c r="G15" i="67"/>
  <c r="G57" i="70"/>
  <c r="G58" i="70"/>
  <c r="G60" i="70"/>
  <c r="G62" i="70"/>
  <c r="G63" i="70"/>
  <c r="G64" i="70"/>
  <c r="G65" i="70"/>
  <c r="G66" i="70"/>
  <c r="G99" i="70"/>
  <c r="G98" i="70"/>
  <c r="G97" i="70"/>
  <c r="G96" i="70"/>
  <c r="G95" i="70"/>
  <c r="G94" i="70"/>
  <c r="G93" i="70"/>
  <c r="G92" i="70"/>
  <c r="G91" i="70"/>
  <c r="G90" i="70"/>
  <c r="G89" i="70"/>
  <c r="G88" i="70"/>
  <c r="G100" i="70" s="1"/>
  <c r="G75" i="70"/>
  <c r="G76" i="70"/>
  <c r="G77" i="70"/>
  <c r="G78" i="70"/>
  <c r="G79" i="70"/>
  <c r="G74" i="70"/>
  <c r="G73" i="70"/>
  <c r="G72" i="70"/>
  <c r="G71" i="70"/>
  <c r="G70" i="70"/>
  <c r="G69" i="70"/>
  <c r="G68" i="70"/>
  <c r="G38" i="70"/>
  <c r="G39" i="70"/>
  <c r="G40" i="70"/>
  <c r="G41" i="70"/>
  <c r="G42" i="70"/>
  <c r="G43" i="70"/>
  <c r="G44" i="70"/>
  <c r="G45" i="70"/>
  <c r="G46" i="70"/>
  <c r="G47" i="70"/>
  <c r="G48" i="70"/>
  <c r="G37" i="70"/>
  <c r="G32" i="70"/>
  <c r="G33" i="70"/>
  <c r="G34" i="70"/>
  <c r="G35" i="70"/>
  <c r="G31" i="70"/>
  <c r="G29" i="70"/>
  <c r="G27" i="70"/>
  <c r="G26" i="70"/>
  <c r="E10" i="69"/>
  <c r="E8" i="69"/>
  <c r="G6" i="68" l="1"/>
  <c r="G34" i="68"/>
  <c r="G18" i="67"/>
  <c r="G49" i="70"/>
  <c r="G80" i="70"/>
  <c r="G17" i="70" l="1"/>
  <c r="G6" i="67" l="1"/>
  <c r="G36" i="68"/>
  <c r="G30" i="68" s="1"/>
  <c r="R14" i="65"/>
  <c r="Q14" i="65"/>
  <c r="Q16" i="65" s="1"/>
  <c r="P14" i="65"/>
  <c r="P16" i="65" s="1"/>
  <c r="O14" i="65"/>
  <c r="O16" i="65" s="1"/>
  <c r="N14" i="65"/>
  <c r="N16" i="65" s="1"/>
  <c r="M14" i="65"/>
  <c r="M16" i="65" s="1"/>
  <c r="L14" i="65"/>
  <c r="Y14" i="65"/>
  <c r="Z14" i="65"/>
  <c r="Z16" i="65" s="1"/>
  <c r="AA14" i="65"/>
  <c r="AB14" i="65"/>
  <c r="K14" i="65"/>
  <c r="J14" i="65"/>
  <c r="I14" i="65"/>
  <c r="H14" i="65"/>
  <c r="G14" i="65"/>
  <c r="AL14" i="65" l="1"/>
  <c r="AL16" i="65" s="1"/>
  <c r="Q21" i="65"/>
  <c r="P12" i="66" s="1"/>
  <c r="Q22" i="65"/>
  <c r="P13" i="66" s="1"/>
  <c r="Q23" i="65"/>
  <c r="P14" i="66" s="1"/>
  <c r="Q18" i="65"/>
  <c r="P9" i="66" s="1"/>
  <c r="Q17" i="65"/>
  <c r="P8" i="66" s="1"/>
  <c r="Q19" i="65"/>
  <c r="P10" i="66" s="1"/>
  <c r="AC14" i="65"/>
  <c r="AO14" i="65" s="1"/>
  <c r="AO16" i="65" s="1"/>
  <c r="M21" i="65"/>
  <c r="L12" i="66" s="1"/>
  <c r="M17" i="65"/>
  <c r="L8" i="66" s="1"/>
  <c r="M22" i="65"/>
  <c r="L13" i="66" s="1"/>
  <c r="M18" i="65"/>
  <c r="L9" i="66" s="1"/>
  <c r="M19" i="65"/>
  <c r="L10" i="66" s="1"/>
  <c r="M23" i="65"/>
  <c r="L14" i="66" s="1"/>
  <c r="O18" i="65"/>
  <c r="N9" i="66" s="1"/>
  <c r="O23" i="65"/>
  <c r="N14" i="66" s="1"/>
  <c r="O19" i="65"/>
  <c r="N10" i="66" s="1"/>
  <c r="O21" i="65"/>
  <c r="N12" i="66" s="1"/>
  <c r="O22" i="65"/>
  <c r="N13" i="66" s="1"/>
  <c r="O17" i="65"/>
  <c r="N8" i="66" s="1"/>
  <c r="AL22" i="65"/>
  <c r="AK13" i="66" s="1"/>
  <c r="AL19" i="65"/>
  <c r="AK10" i="66" s="1"/>
  <c r="AL17" i="65"/>
  <c r="AK8" i="66" s="1"/>
  <c r="AL23" i="65"/>
  <c r="AK14" i="66" s="1"/>
  <c r="AL21" i="65"/>
  <c r="AK12" i="66" s="1"/>
  <c r="AL18" i="65"/>
  <c r="AK9" i="66" s="1"/>
  <c r="Z22" i="65"/>
  <c r="Y13" i="66" s="1"/>
  <c r="Z19" i="65"/>
  <c r="Y10" i="66" s="1"/>
  <c r="Z17" i="65"/>
  <c r="Y8" i="66" s="1"/>
  <c r="Z23" i="65"/>
  <c r="Y14" i="66" s="1"/>
  <c r="Z18" i="65"/>
  <c r="Y9" i="66" s="1"/>
  <c r="Z21" i="65"/>
  <c r="Y12" i="66" s="1"/>
  <c r="N22" i="65"/>
  <c r="M13" i="66" s="1"/>
  <c r="N19" i="65"/>
  <c r="M10" i="66" s="1"/>
  <c r="N17" i="65"/>
  <c r="M8" i="66" s="1"/>
  <c r="N23" i="65"/>
  <c r="M14" i="66" s="1"/>
  <c r="N18" i="65"/>
  <c r="M9" i="66" s="1"/>
  <c r="N21" i="65"/>
  <c r="M12" i="66" s="1"/>
  <c r="P19" i="65"/>
  <c r="O10" i="66" s="1"/>
  <c r="P21" i="65"/>
  <c r="O12" i="66" s="1"/>
  <c r="P18" i="65"/>
  <c r="O9" i="66" s="1"/>
  <c r="P17" i="65"/>
  <c r="O8" i="66" s="1"/>
  <c r="P23" i="65"/>
  <c r="O14" i="66" s="1"/>
  <c r="P22" i="65"/>
  <c r="O13" i="66" s="1"/>
  <c r="S14" i="65"/>
  <c r="G16" i="65"/>
  <c r="U14" i="65"/>
  <c r="I16" i="65"/>
  <c r="W14" i="65"/>
  <c r="K16" i="65"/>
  <c r="AM14" i="65"/>
  <c r="AM16" i="65" s="1"/>
  <c r="AA16" i="65"/>
  <c r="AK14" i="65"/>
  <c r="AK16" i="65" s="1"/>
  <c r="Y16" i="65"/>
  <c r="T14" i="65"/>
  <c r="H16" i="65"/>
  <c r="V14" i="65"/>
  <c r="J16" i="65"/>
  <c r="AN14" i="65"/>
  <c r="AN16" i="65" s="1"/>
  <c r="AB16" i="65"/>
  <c r="X14" i="65"/>
  <c r="L16" i="65"/>
  <c r="AD14" i="65"/>
  <c r="R16" i="65"/>
  <c r="AC16" i="65" l="1"/>
  <c r="AN19" i="65"/>
  <c r="AM10" i="66" s="1"/>
  <c r="AN21" i="65"/>
  <c r="AM12" i="66" s="1"/>
  <c r="AN18" i="65"/>
  <c r="AM9" i="66" s="1"/>
  <c r="AN17" i="65"/>
  <c r="AM8" i="66" s="1"/>
  <c r="AN23" i="65"/>
  <c r="AM14" i="66" s="1"/>
  <c r="AN22" i="65"/>
  <c r="AM13" i="66" s="1"/>
  <c r="AK21" i="65"/>
  <c r="AJ12" i="66" s="1"/>
  <c r="AK18" i="65"/>
  <c r="AJ9" i="66" s="1"/>
  <c r="AK17" i="65"/>
  <c r="AJ8" i="66" s="1"/>
  <c r="AK22" i="65"/>
  <c r="AJ13" i="66" s="1"/>
  <c r="AK19" i="65"/>
  <c r="AJ10" i="66" s="1"/>
  <c r="AK23" i="65"/>
  <c r="AJ14" i="66" s="1"/>
  <c r="AM23" i="65"/>
  <c r="AL14" i="66" s="1"/>
  <c r="AM19" i="65"/>
  <c r="AL10" i="66" s="1"/>
  <c r="AM21" i="65"/>
  <c r="AL12" i="66" s="1"/>
  <c r="AM18" i="65"/>
  <c r="AL9" i="66" s="1"/>
  <c r="AM22" i="65"/>
  <c r="AL13" i="66" s="1"/>
  <c r="AM17" i="65"/>
  <c r="AL8" i="66" s="1"/>
  <c r="AO21" i="65"/>
  <c r="AN12" i="66" s="1"/>
  <c r="AO18" i="65"/>
  <c r="AN9" i="66" s="1"/>
  <c r="AO22" i="65"/>
  <c r="AN13" i="66" s="1"/>
  <c r="AO23" i="65"/>
  <c r="AN14" i="66" s="1"/>
  <c r="AO17" i="65"/>
  <c r="AN8" i="66" s="1"/>
  <c r="AO19" i="65"/>
  <c r="AN10" i="66" s="1"/>
  <c r="R22" i="65"/>
  <c r="Q13" i="66" s="1"/>
  <c r="R19" i="65"/>
  <c r="Q10" i="66" s="1"/>
  <c r="R17" i="65"/>
  <c r="Q8" i="66" s="1"/>
  <c r="R23" i="65"/>
  <c r="Q14" i="66" s="1"/>
  <c r="R18" i="65"/>
  <c r="Q9" i="66" s="1"/>
  <c r="R21" i="65"/>
  <c r="Q12" i="66" s="1"/>
  <c r="L19" i="65"/>
  <c r="K10" i="66" s="1"/>
  <c r="L21" i="65"/>
  <c r="K12" i="66" s="1"/>
  <c r="L22" i="65"/>
  <c r="K13" i="66" s="1"/>
  <c r="L17" i="65"/>
  <c r="K8" i="66" s="1"/>
  <c r="L23" i="65"/>
  <c r="K14" i="66" s="1"/>
  <c r="L18" i="65"/>
  <c r="K9" i="66" s="1"/>
  <c r="AB19" i="65"/>
  <c r="AA10" i="66" s="1"/>
  <c r="AB21" i="65"/>
  <c r="AA12" i="66" s="1"/>
  <c r="AB22" i="65"/>
  <c r="AA13" i="66" s="1"/>
  <c r="AB17" i="65"/>
  <c r="AA8" i="66" s="1"/>
  <c r="AB23" i="65"/>
  <c r="AA14" i="66" s="1"/>
  <c r="AB18" i="65"/>
  <c r="AA9" i="66" s="1"/>
  <c r="J22" i="65"/>
  <c r="I13" i="66" s="1"/>
  <c r="J19" i="65"/>
  <c r="I10" i="66" s="1"/>
  <c r="J17" i="65"/>
  <c r="I8" i="66" s="1"/>
  <c r="J23" i="65"/>
  <c r="I14" i="66" s="1"/>
  <c r="J18" i="65"/>
  <c r="I9" i="66" s="1"/>
  <c r="J21" i="65"/>
  <c r="I12" i="66" s="1"/>
  <c r="H19" i="65"/>
  <c r="G10" i="66" s="1"/>
  <c r="H21" i="65"/>
  <c r="G12" i="66" s="1"/>
  <c r="H18" i="65"/>
  <c r="G9" i="66" s="1"/>
  <c r="H17" i="65"/>
  <c r="G8" i="66" s="1"/>
  <c r="H23" i="65"/>
  <c r="G14" i="66" s="1"/>
  <c r="H22" i="65"/>
  <c r="G13" i="66" s="1"/>
  <c r="Y21" i="65"/>
  <c r="X12" i="66" s="1"/>
  <c r="Y22" i="65"/>
  <c r="X13" i="66" s="1"/>
  <c r="Y23" i="65"/>
  <c r="X14" i="66" s="1"/>
  <c r="Y18" i="65"/>
  <c r="X9" i="66" s="1"/>
  <c r="Y17" i="65"/>
  <c r="X8" i="66" s="1"/>
  <c r="Y19" i="65"/>
  <c r="X10" i="66" s="1"/>
  <c r="AA18" i="65"/>
  <c r="Z9" i="66" s="1"/>
  <c r="AA19" i="65"/>
  <c r="Z10" i="66" s="1"/>
  <c r="AA17" i="65"/>
  <c r="Z8" i="66" s="1"/>
  <c r="AA23" i="65"/>
  <c r="Z14" i="66" s="1"/>
  <c r="AA22" i="65"/>
  <c r="Z13" i="66" s="1"/>
  <c r="AA21" i="65"/>
  <c r="Z12" i="66" s="1"/>
  <c r="AC21" i="65"/>
  <c r="AB12" i="66" s="1"/>
  <c r="AC17" i="65"/>
  <c r="AB8" i="66" s="1"/>
  <c r="AC22" i="65"/>
  <c r="AB13" i="66" s="1"/>
  <c r="AC18" i="65"/>
  <c r="AB9" i="66" s="1"/>
  <c r="AC19" i="65"/>
  <c r="AB10" i="66" s="1"/>
  <c r="AC23" i="65"/>
  <c r="AB14" i="66" s="1"/>
  <c r="K18" i="65"/>
  <c r="J9" i="66" s="1"/>
  <c r="K19" i="65"/>
  <c r="J10" i="66" s="1"/>
  <c r="K17" i="65"/>
  <c r="J8" i="66" s="1"/>
  <c r="K23" i="65"/>
  <c r="J14" i="66" s="1"/>
  <c r="K22" i="65"/>
  <c r="J13" i="66" s="1"/>
  <c r="K21" i="65"/>
  <c r="J12" i="66" s="1"/>
  <c r="I21" i="65"/>
  <c r="H12" i="66" s="1"/>
  <c r="I19" i="65"/>
  <c r="H10" i="66" s="1"/>
  <c r="I22" i="65"/>
  <c r="H13" i="66" s="1"/>
  <c r="I23" i="65"/>
  <c r="H14" i="66" s="1"/>
  <c r="I18" i="65"/>
  <c r="H9" i="66" s="1"/>
  <c r="I17" i="65"/>
  <c r="H8" i="66" s="1"/>
  <c r="G22" i="65"/>
  <c r="F13" i="66" s="1"/>
  <c r="G19" i="65"/>
  <c r="F10" i="66" s="1"/>
  <c r="G18" i="65"/>
  <c r="F9" i="66" s="1"/>
  <c r="G23" i="65"/>
  <c r="F14" i="66" s="1"/>
  <c r="G17" i="65"/>
  <c r="F8" i="66" s="1"/>
  <c r="G21" i="65"/>
  <c r="F12" i="66" s="1"/>
  <c r="N24" i="65"/>
  <c r="AL24" i="65"/>
  <c r="O24" i="65"/>
  <c r="P24" i="65"/>
  <c r="Z24" i="65"/>
  <c r="Q24" i="65"/>
  <c r="M24" i="65"/>
  <c r="AP14" i="65"/>
  <c r="AP16" i="65" s="1"/>
  <c r="AD16" i="65"/>
  <c r="AJ14" i="65"/>
  <c r="AJ16" i="65" s="1"/>
  <c r="X16" i="65"/>
  <c r="AH14" i="65"/>
  <c r="AH16" i="65" s="1"/>
  <c r="V16" i="65"/>
  <c r="AF14" i="65"/>
  <c r="AF16" i="65" s="1"/>
  <c r="T16" i="65"/>
  <c r="AI14" i="65"/>
  <c r="AI16" i="65" s="1"/>
  <c r="W16" i="65"/>
  <c r="AG14" i="65"/>
  <c r="AG16" i="65" s="1"/>
  <c r="U16" i="65"/>
  <c r="AE14" i="65"/>
  <c r="AE16" i="65" s="1"/>
  <c r="S16" i="65"/>
  <c r="N20" i="65"/>
  <c r="M17" i="66" s="1"/>
  <c r="M18" i="66" s="1"/>
  <c r="O20" i="65"/>
  <c r="N17" i="66" s="1"/>
  <c r="N18" i="66" s="1"/>
  <c r="Q20" i="65"/>
  <c r="P17" i="66" s="1"/>
  <c r="P18" i="66" s="1"/>
  <c r="AP9" i="66" l="1"/>
  <c r="R20" i="65"/>
  <c r="Q17" i="66" s="1"/>
  <c r="Q18" i="66" s="1"/>
  <c r="S18" i="65"/>
  <c r="R9" i="66" s="1"/>
  <c r="S19" i="65"/>
  <c r="R10" i="66" s="1"/>
  <c r="S17" i="65"/>
  <c r="R8" i="66" s="1"/>
  <c r="S23" i="65"/>
  <c r="R14" i="66" s="1"/>
  <c r="S22" i="65"/>
  <c r="R13" i="66" s="1"/>
  <c r="S21" i="65"/>
  <c r="R12" i="66" s="1"/>
  <c r="U21" i="65"/>
  <c r="T12" i="66" s="1"/>
  <c r="U17" i="65"/>
  <c r="T8" i="66" s="1"/>
  <c r="U22" i="65"/>
  <c r="T13" i="66" s="1"/>
  <c r="U18" i="65"/>
  <c r="T9" i="66" s="1"/>
  <c r="U19" i="65"/>
  <c r="T10" i="66" s="1"/>
  <c r="U23" i="65"/>
  <c r="T14" i="66" s="1"/>
  <c r="W18" i="65"/>
  <c r="V9" i="66" s="1"/>
  <c r="W23" i="65"/>
  <c r="V14" i="66" s="1"/>
  <c r="W19" i="65"/>
  <c r="V10" i="66" s="1"/>
  <c r="W21" i="65"/>
  <c r="V12" i="66" s="1"/>
  <c r="W22" i="65"/>
  <c r="V13" i="66" s="1"/>
  <c r="W17" i="65"/>
  <c r="V8" i="66" s="1"/>
  <c r="T19" i="65"/>
  <c r="S10" i="66" s="1"/>
  <c r="T21" i="65"/>
  <c r="S12" i="66" s="1"/>
  <c r="T22" i="65"/>
  <c r="S13" i="66" s="1"/>
  <c r="T17" i="65"/>
  <c r="S8" i="66" s="1"/>
  <c r="T23" i="65"/>
  <c r="S14" i="66" s="1"/>
  <c r="T18" i="65"/>
  <c r="S9" i="66" s="1"/>
  <c r="V22" i="65"/>
  <c r="U13" i="66" s="1"/>
  <c r="V19" i="65"/>
  <c r="U10" i="66" s="1"/>
  <c r="V17" i="65"/>
  <c r="U8" i="66" s="1"/>
  <c r="V23" i="65"/>
  <c r="U14" i="66" s="1"/>
  <c r="V18" i="65"/>
  <c r="U9" i="66" s="1"/>
  <c r="V21" i="65"/>
  <c r="U12" i="66" s="1"/>
  <c r="X19" i="65"/>
  <c r="W10" i="66" s="1"/>
  <c r="X21" i="65"/>
  <c r="W12" i="66" s="1"/>
  <c r="X18" i="65"/>
  <c r="W9" i="66" s="1"/>
  <c r="X17" i="65"/>
  <c r="W8" i="66" s="1"/>
  <c r="X23" i="65"/>
  <c r="W14" i="66" s="1"/>
  <c r="X22" i="65"/>
  <c r="W13" i="66" s="1"/>
  <c r="AD22" i="65"/>
  <c r="AC13" i="66" s="1"/>
  <c r="AD19" i="65"/>
  <c r="AC10" i="66" s="1"/>
  <c r="AD17" i="65"/>
  <c r="AC8" i="66" s="1"/>
  <c r="AD23" i="65"/>
  <c r="AC14" i="66" s="1"/>
  <c r="AD18" i="65"/>
  <c r="AC9" i="66" s="1"/>
  <c r="AD21" i="65"/>
  <c r="AC12" i="66" s="1"/>
  <c r="AE18" i="65"/>
  <c r="AD9" i="66" s="1"/>
  <c r="AE23" i="65"/>
  <c r="AD14" i="66" s="1"/>
  <c r="AE19" i="65"/>
  <c r="AD10" i="66" s="1"/>
  <c r="AE21" i="65"/>
  <c r="AD12" i="66" s="1"/>
  <c r="AE22" i="65"/>
  <c r="AD13" i="66" s="1"/>
  <c r="AE17" i="65"/>
  <c r="AD8" i="66" s="1"/>
  <c r="AG21" i="65"/>
  <c r="AF12" i="66" s="1"/>
  <c r="AG18" i="65"/>
  <c r="AF9" i="66" s="1"/>
  <c r="AG22" i="65"/>
  <c r="AF13" i="66" s="1"/>
  <c r="AG23" i="65"/>
  <c r="AF14" i="66" s="1"/>
  <c r="AG17" i="65"/>
  <c r="AF8" i="66" s="1"/>
  <c r="AG19" i="65"/>
  <c r="AF10" i="66" s="1"/>
  <c r="AI19" i="65"/>
  <c r="AH10" i="66" s="1"/>
  <c r="AI17" i="65"/>
  <c r="AH8" i="66" s="1"/>
  <c r="AI18" i="65"/>
  <c r="AH9" i="66" s="1"/>
  <c r="AI23" i="65"/>
  <c r="AH14" i="66" s="1"/>
  <c r="AI22" i="65"/>
  <c r="AH13" i="66" s="1"/>
  <c r="AI21" i="65"/>
  <c r="AH12" i="66" s="1"/>
  <c r="AF19" i="65"/>
  <c r="AE10" i="66" s="1"/>
  <c r="AF21" i="65"/>
  <c r="AE12" i="66" s="1"/>
  <c r="AF18" i="65"/>
  <c r="AE9" i="66" s="1"/>
  <c r="AF17" i="65"/>
  <c r="AE8" i="66" s="1"/>
  <c r="AF23" i="65"/>
  <c r="AE14" i="66" s="1"/>
  <c r="AF22" i="65"/>
  <c r="AE13" i="66" s="1"/>
  <c r="AH22" i="65"/>
  <c r="AG13" i="66" s="1"/>
  <c r="AH19" i="65"/>
  <c r="AG10" i="66" s="1"/>
  <c r="AH17" i="65"/>
  <c r="AG8" i="66" s="1"/>
  <c r="AH23" i="65"/>
  <c r="AG14" i="66" s="1"/>
  <c r="AH21" i="65"/>
  <c r="AG12" i="66" s="1"/>
  <c r="AH18" i="65"/>
  <c r="AG9" i="66" s="1"/>
  <c r="AJ19" i="65"/>
  <c r="AI10" i="66" s="1"/>
  <c r="AJ21" i="65"/>
  <c r="AI12" i="66" s="1"/>
  <c r="AJ18" i="65"/>
  <c r="AI9" i="66" s="1"/>
  <c r="AJ22" i="65"/>
  <c r="AI13" i="66" s="1"/>
  <c r="AJ17" i="65"/>
  <c r="AI8" i="66" s="1"/>
  <c r="AJ23" i="65"/>
  <c r="AI14" i="66" s="1"/>
  <c r="AP22" i="65"/>
  <c r="AO13" i="66" s="1"/>
  <c r="AP19" i="65"/>
  <c r="AO10" i="66" s="1"/>
  <c r="AP17" i="65"/>
  <c r="AO8" i="66" s="1"/>
  <c r="AP23" i="65"/>
  <c r="AO14" i="66" s="1"/>
  <c r="AP21" i="65"/>
  <c r="AO12" i="66" s="1"/>
  <c r="AP18" i="65"/>
  <c r="AO9" i="66" s="1"/>
  <c r="G24" i="65"/>
  <c r="AP14" i="66"/>
  <c r="I24" i="65"/>
  <c r="K24" i="65"/>
  <c r="AC24" i="65"/>
  <c r="Y24" i="65"/>
  <c r="L24" i="65"/>
  <c r="R24" i="65"/>
  <c r="AO24" i="65"/>
  <c r="AK24" i="65"/>
  <c r="AP12" i="66"/>
  <c r="AA24" i="65"/>
  <c r="H24" i="65"/>
  <c r="AP13" i="66"/>
  <c r="J24" i="65"/>
  <c r="AB24" i="65"/>
  <c r="AM24" i="65"/>
  <c r="AN24" i="65"/>
  <c r="I20" i="65"/>
  <c r="H17" i="66" s="1"/>
  <c r="H18" i="66" s="1"/>
  <c r="AP10" i="66"/>
  <c r="M20" i="65"/>
  <c r="L17" i="66" s="1"/>
  <c r="L18" i="66" s="1"/>
  <c r="K20" i="65"/>
  <c r="J17" i="66" s="1"/>
  <c r="J18" i="66" s="1"/>
  <c r="L20" i="65"/>
  <c r="K17" i="66" s="1"/>
  <c r="K18" i="66" s="1"/>
  <c r="G20" i="65"/>
  <c r="F17" i="66" s="1"/>
  <c r="F18" i="66" s="1"/>
  <c r="P20" i="65"/>
  <c r="O17" i="66" s="1"/>
  <c r="O18" i="66" s="1"/>
  <c r="H20" i="65"/>
  <c r="G17" i="66" s="1"/>
  <c r="G18" i="66" s="1"/>
  <c r="J20" i="65"/>
  <c r="I17" i="66" s="1"/>
  <c r="I18" i="66" s="1"/>
  <c r="AP17" i="66" l="1"/>
  <c r="X24" i="65"/>
  <c r="T24" i="65"/>
  <c r="U24" i="65"/>
  <c r="AQ14" i="66"/>
  <c r="AJ24" i="65"/>
  <c r="AR14" i="66"/>
  <c r="AF24" i="65"/>
  <c r="AR13" i="66"/>
  <c r="AG24" i="65"/>
  <c r="AD24" i="65"/>
  <c r="V24" i="65"/>
  <c r="W24" i="65"/>
  <c r="AQ13" i="66"/>
  <c r="AQ12" i="66"/>
  <c r="S24" i="65"/>
  <c r="AP24" i="65"/>
  <c r="AH24" i="65"/>
  <c r="AI24" i="65"/>
  <c r="AR12" i="66"/>
  <c r="AE24" i="65"/>
  <c r="G15" i="70"/>
  <c r="E6" i="69"/>
  <c r="AQ10" i="66" l="1"/>
  <c r="AQ9" i="66"/>
  <c r="AA20" i="65"/>
  <c r="Z17" i="66" s="1"/>
  <c r="Z18" i="66" s="1"/>
  <c r="W20" i="65"/>
  <c r="V17" i="66" s="1"/>
  <c r="V18" i="66" s="1"/>
  <c r="S20" i="65"/>
  <c r="R17" i="66" s="1"/>
  <c r="R18" i="66" s="1"/>
  <c r="AD20" i="65"/>
  <c r="AC17" i="66" s="1"/>
  <c r="AC18" i="66" s="1"/>
  <c r="AB20" i="65"/>
  <c r="AA17" i="66" s="1"/>
  <c r="AA18" i="66" s="1"/>
  <c r="Z20" i="65"/>
  <c r="Y17" i="66" s="1"/>
  <c r="Y18" i="66" s="1"/>
  <c r="X20" i="65"/>
  <c r="W17" i="66" s="1"/>
  <c r="W18" i="66" s="1"/>
  <c r="V20" i="65"/>
  <c r="U17" i="66" s="1"/>
  <c r="U18" i="66" s="1"/>
  <c r="T20" i="65"/>
  <c r="S17" i="66" s="1"/>
  <c r="S18" i="66" s="1"/>
  <c r="AC20" i="65"/>
  <c r="AB17" i="66" s="1"/>
  <c r="AB18" i="66" s="1"/>
  <c r="Y20" i="65"/>
  <c r="X17" i="66" s="1"/>
  <c r="X18" i="66" s="1"/>
  <c r="U20" i="65"/>
  <c r="T17" i="66" s="1"/>
  <c r="T18" i="66" s="1"/>
  <c r="AR9" i="66"/>
  <c r="AQ17" i="66" l="1"/>
  <c r="AR10" i="66"/>
  <c r="AK20" i="65"/>
  <c r="AJ17" i="66" s="1"/>
  <c r="AJ18" i="66" s="1"/>
  <c r="AI20" i="65"/>
  <c r="AH17" i="66" s="1"/>
  <c r="AH18" i="66" s="1"/>
  <c r="AG20" i="65"/>
  <c r="AF17" i="66" s="1"/>
  <c r="AF18" i="66" s="1"/>
  <c r="AO20" i="65"/>
  <c r="AN17" i="66" s="1"/>
  <c r="AN18" i="66" s="1"/>
  <c r="AE20" i="65"/>
  <c r="AD17" i="66" s="1"/>
  <c r="AD18" i="66" s="1"/>
  <c r="AM20" i="65"/>
  <c r="AL17" i="66" s="1"/>
  <c r="AL18" i="66" s="1"/>
  <c r="AF20" i="65"/>
  <c r="AE17" i="66" s="1"/>
  <c r="AE18" i="66" s="1"/>
  <c r="AJ20" i="65"/>
  <c r="AI17" i="66" s="1"/>
  <c r="AI18" i="66" s="1"/>
  <c r="AN20" i="65"/>
  <c r="AM17" i="66" s="1"/>
  <c r="AM18" i="66" s="1"/>
  <c r="AH20" i="65"/>
  <c r="AG17" i="66" s="1"/>
  <c r="AG18" i="66" s="1"/>
  <c r="AL20" i="65"/>
  <c r="AK17" i="66" s="1"/>
  <c r="AK18" i="66" s="1"/>
  <c r="AP20" i="65"/>
  <c r="AO17" i="66" s="1"/>
  <c r="AO18" i="66" s="1"/>
  <c r="AR17" i="66" l="1"/>
  <c r="G7" i="70"/>
  <c r="G8" i="70"/>
  <c r="G9" i="70"/>
  <c r="G10" i="70"/>
  <c r="G11" i="70"/>
  <c r="G12" i="70"/>
  <c r="G13" i="70"/>
  <c r="G14" i="70"/>
  <c r="G16" i="70"/>
  <c r="G7" i="67" l="1"/>
  <c r="G8" i="67" s="1"/>
  <c r="E8" i="67"/>
  <c r="AR23" i="66" l="1"/>
  <c r="AQ23" i="66"/>
  <c r="Q6" i="66" l="1"/>
  <c r="P6" i="66"/>
  <c r="O6" i="66"/>
  <c r="N6" i="66"/>
  <c r="M6" i="66"/>
  <c r="L6" i="66"/>
  <c r="K6" i="66"/>
  <c r="J6" i="66"/>
  <c r="I6" i="66"/>
  <c r="H6" i="66"/>
  <c r="G6" i="66"/>
  <c r="F6" i="66"/>
  <c r="R6" i="66" l="1"/>
  <c r="T6" i="66"/>
  <c r="V6" i="66"/>
  <c r="X6" i="66"/>
  <c r="Z6" i="66"/>
  <c r="AB6" i="66"/>
  <c r="S6" i="66"/>
  <c r="U6" i="66"/>
  <c r="W6" i="66"/>
  <c r="Y6" i="66"/>
  <c r="AA6" i="66"/>
  <c r="AC6" i="66"/>
  <c r="AO6" i="66" l="1"/>
  <c r="AM6" i="66"/>
  <c r="AK6" i="66"/>
  <c r="AI6" i="66"/>
  <c r="AG6" i="66"/>
  <c r="AE6" i="66"/>
  <c r="AN6" i="66"/>
  <c r="AL6" i="66"/>
  <c r="AJ6" i="66"/>
  <c r="AH6" i="66"/>
  <c r="AF6" i="66"/>
  <c r="AD6" i="66"/>
  <c r="O7" i="66" l="1"/>
  <c r="K7" i="66"/>
  <c r="Q7" i="66"/>
  <c r="F7" i="66"/>
  <c r="H7" i="66"/>
  <c r="J7" i="66"/>
  <c r="L7" i="66"/>
  <c r="N7" i="66"/>
  <c r="P7" i="66"/>
  <c r="G7" i="66"/>
  <c r="I7" i="66"/>
  <c r="M7" i="66"/>
  <c r="G6" i="70"/>
  <c r="G18" i="70" s="1"/>
  <c r="E19" i="69" s="1"/>
  <c r="Z7" i="66" l="1"/>
  <c r="X7" i="66"/>
  <c r="V7" i="66"/>
  <c r="T7" i="66"/>
  <c r="R7" i="66"/>
  <c r="D30" i="61"/>
  <c r="AP7" i="66"/>
  <c r="AO7" i="66"/>
  <c r="AM7" i="66"/>
  <c r="AK7" i="66"/>
  <c r="AI7" i="66"/>
  <c r="AG7" i="66"/>
  <c r="AE7" i="66"/>
  <c r="AN7" i="66"/>
  <c r="AL7" i="66"/>
  <c r="AJ7" i="66"/>
  <c r="AH7" i="66"/>
  <c r="AF7" i="66"/>
  <c r="AD7" i="66"/>
  <c r="AC7" i="66"/>
  <c r="AA7" i="66"/>
  <c r="Y7" i="66"/>
  <c r="W7" i="66"/>
  <c r="U7" i="66"/>
  <c r="S7" i="66"/>
  <c r="AB7" i="66"/>
  <c r="AP18" i="66" l="1"/>
  <c r="D34" i="61"/>
  <c r="AQ7" i="66"/>
  <c r="D38" i="61"/>
  <c r="AR7" i="66"/>
  <c r="AR18" i="66" l="1"/>
  <c r="AQ18" i="66"/>
  <c r="E23" i="66"/>
  <c r="D32" i="61" l="1"/>
  <c r="AP23" i="66"/>
  <c r="AD11" i="66" l="1"/>
  <c r="AD20" i="66" s="1"/>
  <c r="AD21" i="66" s="1"/>
  <c r="R11" i="66"/>
  <c r="R20" i="66" s="1"/>
  <c r="R21" i="66" s="1"/>
  <c r="AL11" i="66"/>
  <c r="AL20" i="66" s="1"/>
  <c r="AL21" i="66" s="1"/>
  <c r="AH11" i="66"/>
  <c r="AH20" i="66" s="1"/>
  <c r="AH21" i="66" s="1"/>
  <c r="Z11" i="66"/>
  <c r="Z20" i="66" s="1"/>
  <c r="Z21" i="66" s="1"/>
  <c r="V11" i="66"/>
  <c r="V20" i="66" s="1"/>
  <c r="V21" i="66" s="1"/>
  <c r="N11" i="66"/>
  <c r="N20" i="66" s="1"/>
  <c r="N21" i="66" s="1"/>
  <c r="J11" i="66"/>
  <c r="J20" i="66" s="1"/>
  <c r="J21" i="66" s="1"/>
  <c r="AO11" i="66"/>
  <c r="AO20" i="66" s="1"/>
  <c r="AO21" i="66" s="1"/>
  <c r="AK11" i="66"/>
  <c r="AK20" i="66" s="1"/>
  <c r="AK21" i="66" s="1"/>
  <c r="AG11" i="66"/>
  <c r="AG20" i="66" s="1"/>
  <c r="AG21" i="66" s="1"/>
  <c r="AC11" i="66"/>
  <c r="AC20" i="66" s="1"/>
  <c r="AC21" i="66" s="1"/>
  <c r="Y11" i="66"/>
  <c r="Y20" i="66" s="1"/>
  <c r="Y21" i="66" s="1"/>
  <c r="U11" i="66"/>
  <c r="U20" i="66" s="1"/>
  <c r="U21" i="66" s="1"/>
  <c r="Q11" i="66"/>
  <c r="Q20" i="66" s="1"/>
  <c r="Q21" i="66" s="1"/>
  <c r="M11" i="66"/>
  <c r="M20" i="66" s="1"/>
  <c r="M21" i="66" s="1"/>
  <c r="I11" i="66"/>
  <c r="I20" i="66" s="1"/>
  <c r="I21" i="66" s="1"/>
  <c r="AN11" i="66"/>
  <c r="AN20" i="66" s="1"/>
  <c r="AN21" i="66" s="1"/>
  <c r="AJ11" i="66"/>
  <c r="AJ20" i="66" s="1"/>
  <c r="AJ21" i="66" s="1"/>
  <c r="AF11" i="66"/>
  <c r="AF20" i="66" s="1"/>
  <c r="AF21" i="66" s="1"/>
  <c r="AB11" i="66"/>
  <c r="AB20" i="66" s="1"/>
  <c r="AB21" i="66" s="1"/>
  <c r="X11" i="66"/>
  <c r="X20" i="66" s="1"/>
  <c r="X21" i="66" s="1"/>
  <c r="T11" i="66"/>
  <c r="T20" i="66" s="1"/>
  <c r="T21" i="66" s="1"/>
  <c r="P11" i="66"/>
  <c r="P20" i="66" s="1"/>
  <c r="P21" i="66" s="1"/>
  <c r="L11" i="66"/>
  <c r="L20" i="66" s="1"/>
  <c r="L21" i="66" s="1"/>
  <c r="H11" i="66"/>
  <c r="H20" i="66" s="1"/>
  <c r="H21" i="66" s="1"/>
  <c r="AM11" i="66"/>
  <c r="AM20" i="66" s="1"/>
  <c r="AM21" i="66" s="1"/>
  <c r="AI11" i="66"/>
  <c r="AI20" i="66" s="1"/>
  <c r="AI21" i="66" s="1"/>
  <c r="AE11" i="66"/>
  <c r="AE20" i="66" s="1"/>
  <c r="AE21" i="66" s="1"/>
  <c r="AA11" i="66"/>
  <c r="AA20" i="66" s="1"/>
  <c r="AA21" i="66" s="1"/>
  <c r="W11" i="66"/>
  <c r="W20" i="66" s="1"/>
  <c r="W21" i="66" s="1"/>
  <c r="S11" i="66"/>
  <c r="S20" i="66" s="1"/>
  <c r="S21" i="66" s="1"/>
  <c r="O11" i="66"/>
  <c r="O20" i="66" s="1"/>
  <c r="O21" i="66" s="1"/>
  <c r="K11" i="66"/>
  <c r="K20" i="66" s="1"/>
  <c r="K21" i="66" s="1"/>
  <c r="G11" i="66"/>
  <c r="G20" i="66" s="1"/>
  <c r="G21" i="66" s="1"/>
  <c r="AP8" i="66"/>
  <c r="AR8" i="66"/>
  <c r="AQ8" i="66"/>
  <c r="K22" i="66" l="1"/>
  <c r="K26" i="66" s="1"/>
  <c r="S22" i="66"/>
  <c r="S26" i="66" s="1"/>
  <c r="AA22" i="66"/>
  <c r="AA26" i="66" s="1"/>
  <c r="AI22" i="66"/>
  <c r="AI26" i="66" s="1"/>
  <c r="H22" i="66"/>
  <c r="H26" i="66" s="1"/>
  <c r="P22" i="66"/>
  <c r="P26" i="66" s="1"/>
  <c r="X22" i="66"/>
  <c r="X26" i="66" s="1"/>
  <c r="AF22" i="66"/>
  <c r="AF26" i="66" s="1"/>
  <c r="AN22" i="66"/>
  <c r="AN26" i="66" s="1"/>
  <c r="M22" i="66"/>
  <c r="M26" i="66" s="1"/>
  <c r="U22" i="66"/>
  <c r="U26" i="66" s="1"/>
  <c r="AC22" i="66"/>
  <c r="AC26" i="66" s="1"/>
  <c r="AK22" i="66"/>
  <c r="AK26" i="66" s="1"/>
  <c r="J22" i="66"/>
  <c r="J26" i="66" s="1"/>
  <c r="V22" i="66"/>
  <c r="V26" i="66" s="1"/>
  <c r="AH22" i="66"/>
  <c r="AH26" i="66" s="1"/>
  <c r="G22" i="66"/>
  <c r="G26" i="66" s="1"/>
  <c r="O22" i="66"/>
  <c r="W22" i="66"/>
  <c r="AE22" i="66"/>
  <c r="AM22" i="66"/>
  <c r="L22" i="66"/>
  <c r="L26" i="66" s="1"/>
  <c r="T22" i="66"/>
  <c r="AB22" i="66"/>
  <c r="AJ22" i="66"/>
  <c r="I22" i="66"/>
  <c r="I26" i="66" s="1"/>
  <c r="Q22" i="66"/>
  <c r="Y22" i="66"/>
  <c r="AG22" i="66"/>
  <c r="AO22" i="66"/>
  <c r="N22" i="66"/>
  <c r="N26" i="66" s="1"/>
  <c r="Z22" i="66"/>
  <c r="Z26" i="66" s="1"/>
  <c r="AL22" i="66"/>
  <c r="AL26" i="66" s="1"/>
  <c r="AD22" i="66"/>
  <c r="AR20" i="66"/>
  <c r="R22" i="66"/>
  <c r="AQ20" i="66"/>
  <c r="F11" i="66"/>
  <c r="AQ11" i="66"/>
  <c r="AR11" i="66"/>
  <c r="F20" i="66" l="1"/>
  <c r="F21" i="66" s="1"/>
  <c r="AO26" i="66"/>
  <c r="AG26" i="66"/>
  <c r="Y26" i="66"/>
  <c r="Q26" i="66"/>
  <c r="AJ26" i="66"/>
  <c r="AB26" i="66"/>
  <c r="T26" i="66"/>
  <c r="AM26" i="66"/>
  <c r="AE26" i="66"/>
  <c r="W26" i="66"/>
  <c r="O26" i="66"/>
  <c r="AP11" i="66"/>
  <c r="F22" i="66" l="1"/>
  <c r="AP20" i="66"/>
  <c r="AQ21" i="66"/>
  <c r="AR21" i="66"/>
  <c r="AQ22" i="66"/>
  <c r="AP21" i="66"/>
  <c r="AD26" i="66"/>
  <c r="D35" i="61" l="1"/>
  <c r="R26" i="66"/>
  <c r="D39" i="61"/>
  <c r="AR22" i="66"/>
  <c r="D31" i="61" l="1"/>
  <c r="F26" i="66"/>
  <c r="F24" i="66"/>
  <c r="AP22" i="66"/>
  <c r="G24" i="66" l="1"/>
  <c r="H24" i="66" s="1"/>
  <c r="I24" i="66" s="1"/>
  <c r="J24" i="66" s="1"/>
  <c r="K24" i="66" s="1"/>
  <c r="L24" i="66" s="1"/>
  <c r="M24" i="66" s="1"/>
  <c r="N24" i="66" s="1"/>
  <c r="O24" i="66" s="1"/>
  <c r="P24" i="66" s="1"/>
  <c r="Q24" i="66" s="1"/>
  <c r="R24" i="66" s="1"/>
  <c r="S24" i="66" s="1"/>
  <c r="T24" i="66" s="1"/>
  <c r="U24" i="66" s="1"/>
  <c r="V24" i="66" s="1"/>
  <c r="W24" i="66" s="1"/>
  <c r="X24" i="66" l="1"/>
  <c r="Y24" i="66" l="1"/>
  <c r="Z24" i="66" s="1"/>
  <c r="AA24" i="66" s="1"/>
  <c r="AB24" i="66" s="1"/>
  <c r="AC24" i="66" s="1"/>
  <c r="AD24" i="66" s="1"/>
  <c r="AE24" i="66" l="1"/>
  <c r="AF24" i="66" s="1"/>
  <c r="AG24" i="66" l="1"/>
  <c r="AH24" i="66" l="1"/>
  <c r="AI24" i="66" s="1"/>
  <c r="AJ24" i="66" s="1"/>
  <c r="AK24" i="66" s="1"/>
  <c r="AL24" i="66" l="1"/>
  <c r="AM24" i="66" s="1"/>
  <c r="AN24" i="66" s="1"/>
  <c r="AO24" i="66" s="1"/>
  <c r="E25" i="66" l="1"/>
  <c r="D42" i="61" s="1"/>
</calcChain>
</file>

<file path=xl/sharedStrings.xml><?xml version="1.0" encoding="utf-8"?>
<sst xmlns="http://schemas.openxmlformats.org/spreadsheetml/2006/main" count="495" uniqueCount="247">
  <si>
    <t>Паушальный взнос</t>
  </si>
  <si>
    <t>ИТОГО</t>
  </si>
  <si>
    <t>XX</t>
  </si>
  <si>
    <t>Данные на этом фоне можно вводить вручную</t>
  </si>
  <si>
    <t>Средняя выручка, руб./мес.</t>
  </si>
  <si>
    <t>Средняя чистая прибыль, руб./мес.</t>
  </si>
  <si>
    <t>Инвестиции, руб.</t>
  </si>
  <si>
    <t>←</t>
  </si>
  <si>
    <t>Наименование</t>
  </si>
  <si>
    <t>Кол-во</t>
  </si>
  <si>
    <t>Сумма, руб.</t>
  </si>
  <si>
    <t>Месяц</t>
  </si>
  <si>
    <t>Категория персонала</t>
  </si>
  <si>
    <t>Бонус</t>
  </si>
  <si>
    <t>Примечание</t>
  </si>
  <si>
    <t>Управляющий</t>
  </si>
  <si>
    <t>ИНВЕСТИЦИИ</t>
  </si>
  <si>
    <t>Значение</t>
  </si>
  <si>
    <t>1 шаг. Заполните столбец "Значение"</t>
  </si>
  <si>
    <t>Параметр</t>
  </si>
  <si>
    <t>КОММЕНТАРИИ</t>
  </si>
  <si>
    <t xml:space="preserve">Площадь помещения, кв.м. </t>
  </si>
  <si>
    <t>Стоимость аренды, руб./кв.м. в месяц</t>
  </si>
  <si>
    <t>Месяц открытия</t>
  </si>
  <si>
    <t>Результат расчета</t>
  </si>
  <si>
    <t>КАЛЬКУЛЯТОР ФРАНШИЗЫ</t>
  </si>
  <si>
    <t>2 шаг. Ознакомьтесь с показателями Вашей франшизы</t>
  </si>
  <si>
    <t>УСН (доходы-расходы 15%)</t>
  </si>
  <si>
    <t>УСН (доходы 6%)</t>
  </si>
  <si>
    <t>Цена за ед, руб.</t>
  </si>
  <si>
    <t>РАСЧЕТ ПРИБЫЛИ</t>
  </si>
  <si>
    <t>Регистрация юридического лица</t>
  </si>
  <si>
    <t>Регистрация ДКК в Роспатенте</t>
  </si>
  <si>
    <t>Открытие расчетного счета</t>
  </si>
  <si>
    <t>тарифы Сбербанка РФ</t>
  </si>
  <si>
    <t>Стажировка персонала</t>
  </si>
  <si>
    <t>Ежемесячные затраты</t>
  </si>
  <si>
    <t>Прочие расходы</t>
  </si>
  <si>
    <t>Количество сотрудников</t>
  </si>
  <si>
    <t>Стоимость билетов (туда и обратно)</t>
  </si>
  <si>
    <t>Стоимость проживания</t>
  </si>
  <si>
    <t>Размер суточных выплат сотрудникам</t>
  </si>
  <si>
    <t>Количество дней стажировки</t>
  </si>
  <si>
    <t>ПЛАН ПРОДАЖ (в месяц)</t>
  </si>
  <si>
    <t>Статья затрат</t>
  </si>
  <si>
    <t>Периодичность затрат</t>
  </si>
  <si>
    <t>Выберите планируемый месяц "запуска" проекта для корректного отображения результатов</t>
  </si>
  <si>
    <t>№</t>
  </si>
  <si>
    <t>Инвестиции</t>
  </si>
  <si>
    <t>Денежный поток проекта нарастающим итогом</t>
  </si>
  <si>
    <t>Окупаемость (в месяцах)</t>
  </si>
  <si>
    <t>Рентабельность</t>
  </si>
  <si>
    <t>Показатель/месяц</t>
  </si>
  <si>
    <t>1 мес</t>
  </si>
  <si>
    <t>2 мес</t>
  </si>
  <si>
    <t>3 мес</t>
  </si>
  <si>
    <t>4 мес</t>
  </si>
  <si>
    <t>5 мес</t>
  </si>
  <si>
    <t>6 мес</t>
  </si>
  <si>
    <t>7 мес</t>
  </si>
  <si>
    <t>8 мес</t>
  </si>
  <si>
    <t>9 мес</t>
  </si>
  <si>
    <t>10 мес</t>
  </si>
  <si>
    <t>11 мес</t>
  </si>
  <si>
    <t>12 мес</t>
  </si>
  <si>
    <t>13 мес</t>
  </si>
  <si>
    <t>14 мес</t>
  </si>
  <si>
    <t>15 мес</t>
  </si>
  <si>
    <t>16 мес</t>
  </si>
  <si>
    <t>17 мес</t>
  </si>
  <si>
    <t>18 мес</t>
  </si>
  <si>
    <t>19 мес</t>
  </si>
  <si>
    <t>20 мес</t>
  </si>
  <si>
    <t>21 мес</t>
  </si>
  <si>
    <t>22 мес</t>
  </si>
  <si>
    <t>23 мес</t>
  </si>
  <si>
    <t>24 мес</t>
  </si>
  <si>
    <t>25 мес</t>
  </si>
  <si>
    <t>26 мес</t>
  </si>
  <si>
    <t>27 мес</t>
  </si>
  <si>
    <t>28 мес</t>
  </si>
  <si>
    <t>29 мес</t>
  </si>
  <si>
    <t>30 мес</t>
  </si>
  <si>
    <t>31 мес</t>
  </si>
  <si>
    <t>32 мес</t>
  </si>
  <si>
    <t>33 мес</t>
  </si>
  <si>
    <t>34 мес</t>
  </si>
  <si>
    <t>35 мес</t>
  </si>
  <si>
    <t>36 мес</t>
  </si>
  <si>
    <t>1 ГОД</t>
  </si>
  <si>
    <t>2 ГОД</t>
  </si>
  <si>
    <t>3 ГОД</t>
  </si>
  <si>
    <t>Средняя выручка в месяц за первый год работы (с учетом выхода на проектную мощность)</t>
  </si>
  <si>
    <t>Средняя прибыль в месяц за первый год работы (с учетом выхода на проектную мощность)</t>
  </si>
  <si>
    <t>Сумма, необходимая для открытия (с учетом паушального взноса!!!)</t>
  </si>
  <si>
    <t>Срок окупаемости инвестиций</t>
  </si>
  <si>
    <t>"0"</t>
  </si>
  <si>
    <t>ПЕРВЫЙ ГОД РАБОТЫ</t>
  </si>
  <si>
    <t>ВТОРОЙ ГОД РАБОТЫ</t>
  </si>
  <si>
    <t>ТРЕТИЙ ГОД РАБОТЫ</t>
  </si>
  <si>
    <t>Оплата первого месяца аренды и залоговой стоимости</t>
  </si>
  <si>
    <t>Непредвиденные расходы</t>
  </si>
  <si>
    <t>Менеджер по продажам</t>
  </si>
  <si>
    <t>Налог на прибыль</t>
  </si>
  <si>
    <t>Чистая прибыль</t>
  </si>
  <si>
    <t>Выручка</t>
  </si>
  <si>
    <t>1.1</t>
  </si>
  <si>
    <t>1.2</t>
  </si>
  <si>
    <t>2.1</t>
  </si>
  <si>
    <t>2.3</t>
  </si>
  <si>
    <t>2.4</t>
  </si>
  <si>
    <t>2.5</t>
  </si>
  <si>
    <t>2.6</t>
  </si>
  <si>
    <t>2.7</t>
  </si>
  <si>
    <t>2.8</t>
  </si>
  <si>
    <t>Отчисления с ФОТ</t>
  </si>
  <si>
    <t>Ведение бухгалтерии (аутсорсинг)</t>
  </si>
  <si>
    <t>Финансовая модель разработана компанией "Франчайзинг Плюс"  info@franchplus.ru</t>
  </si>
  <si>
    <t>Средняя стоимость аренды в Казани. Поставьте среднюю ставку по Вашему городу</t>
  </si>
  <si>
    <t>Франчайзинговый пакет</t>
  </si>
  <si>
    <t>В соответствии с выбранным Вами пакетом</t>
  </si>
  <si>
    <t>От выручки франчайзи</t>
  </si>
  <si>
    <t>Сезонность, коэффициент</t>
  </si>
  <si>
    <t>Выход на плановые объемы, коэффициент</t>
  </si>
  <si>
    <t>Себестоимость</t>
  </si>
  <si>
    <t>Валовая прибыль</t>
  </si>
  <si>
    <t>Аренда помещения</t>
  </si>
  <si>
    <t>Оплата персонала (окладная часть)</t>
  </si>
  <si>
    <t>Оплата персонала (бонусная часть))</t>
  </si>
  <si>
    <t>Ставка отчислений с ФОТ,%</t>
  </si>
  <si>
    <t>Эту функцию может выполнять франчайзи</t>
  </si>
  <si>
    <t>Закупка оборудования</t>
  </si>
  <si>
    <t>Форма налогообложения</t>
  </si>
  <si>
    <t>Значение, руб.</t>
  </si>
  <si>
    <t>Оклад, руб.</t>
  </si>
  <si>
    <t>ИТОГО, руб.</t>
  </si>
  <si>
    <t>Цена, руб., ставка</t>
  </si>
  <si>
    <t>Месяцы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</si>
  <si>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</si>
  <si>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</si>
  <si>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</si>
  <si>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</si>
  <si>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</si>
  <si>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</si>
  <si>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</si>
  <si>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</si>
  <si>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</si>
  <si>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</si>
  <si>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</si>
  <si>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</si>
  <si>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ЛЕГКИЙ</t>
  </si>
  <si>
    <t>СТАБИЛЬНЫЙ</t>
  </si>
  <si>
    <t>УВЕРЕННЫЙ</t>
  </si>
  <si>
    <t>Мы рекомендуем использовать УСН (доходы 6%)</t>
  </si>
  <si>
    <t>ЛЕГКИЙ - 152 000р., СТАБИЛЬНЫЙ - 215 000р., УВЕРЕННЫЙ - 521 000р.</t>
  </si>
  <si>
    <t>(3300 + 11500) Затраты несет франчайзи</t>
  </si>
  <si>
    <t>Мы рекомендуем площадь 10-15 кв.м.</t>
  </si>
  <si>
    <t>см.лист "Калькулятор" (только формат "УВЕРЕННЫЙ")</t>
  </si>
  <si>
    <t>Мы рекомендуем открыть ИП</t>
  </si>
  <si>
    <t>см.лист "Оборудование"</t>
  </si>
  <si>
    <t>ОБОРУДОВАНИЕ (формат ЛЕГКИЙ)</t>
  </si>
  <si>
    <t>Вспышка студийная Godox SK300II</t>
  </si>
  <si>
    <t>Софтбокс Falcon Eyes Fea-Sb 6090 BW для студ. вспышек</t>
  </si>
  <si>
    <t>Софтбокс Godox SB-BW-6090 60x90 см</t>
  </si>
  <si>
    <t>Стойка Falcon Eyes L-3050 A/B.0 с воздушным амортизатором</t>
  </si>
  <si>
    <t>Сумка Jinbei L-104 для студийных стоек до 104см</t>
  </si>
  <si>
    <t>Радиосинхронизатор Godox RT-16</t>
  </si>
  <si>
    <t>Удлинитель ЭРА U-3es-5m-3x1 белый</t>
  </si>
  <si>
    <t>Удлинитель силовой ЭРА RP-4-2x0.75-20m черный</t>
  </si>
  <si>
    <t>Крепление для трех труб диаметром 32мм (Арт.Uno3.32)</t>
  </si>
  <si>
    <t>Джокерная система Крепеж одинарный для трубы 25мм (Арт.Uno01)</t>
  </si>
  <si>
    <t>Труба Хромированная D=25мм Толщина: 1,1мм Длина: 3м (Арт.Jr04.1.1)</t>
  </si>
  <si>
    <t>ОБОРУДОВАНИЕ (формат СТАБИЛЬНЫЙ)</t>
  </si>
  <si>
    <t>Фотоаппарат для съемки фото</t>
  </si>
  <si>
    <t>Зеркальный фотоаппарат Canon EOS 6D Body</t>
  </si>
  <si>
    <t>Canon EF 24-105mm F4L IS II USM (Объектив)</t>
  </si>
  <si>
    <t>Фотоаппарат для съемки дополненной реальности</t>
  </si>
  <si>
    <t>Зеркальный фотоаппарат Canon EOS 1300D Kit 18-55 IS II</t>
  </si>
  <si>
    <t>Дополнительное оборудование</t>
  </si>
  <si>
    <t>Фотовспышка Canon Speedlite 430EX III-RT</t>
  </si>
  <si>
    <t>Карта памяти Smartbuy SDXC 64GB Class10</t>
  </si>
  <si>
    <t>Карта памяти Smartbuy SDHC 32GB Class 10</t>
  </si>
  <si>
    <t>Штатив Falcon Eyes Travel Line 3600 алюминиевый сплав </t>
  </si>
  <si>
    <t>Фоторюкзак Lowepro Flipside 300 AW II, черный</t>
  </si>
  <si>
    <t>Оборудование в наличии у Франчайзи</t>
  </si>
  <si>
    <t>ОБОРУДОВАНИЕ (формат УВЕРЕННЫЙ)</t>
  </si>
  <si>
    <t>ОБОРУДОВАНИЕ ДЛЯ МЕНЕДЖЕРА ПО ПРОДАЖАМ (формат УВЕРЕННЫЙ)</t>
  </si>
  <si>
    <t>Рабочее место менеджера</t>
  </si>
  <si>
    <t>Стол</t>
  </si>
  <si>
    <t>Кресло</t>
  </si>
  <si>
    <t>Шкаф для документов</t>
  </si>
  <si>
    <t>Компьютер для менеджера ноутбук или моноблок</t>
  </si>
  <si>
    <t>Мобильный телефон XIAOMI Redmi 6A</t>
  </si>
  <si>
    <t>МФУ hp</t>
  </si>
  <si>
    <t>Интернет</t>
  </si>
  <si>
    <t>Огнетушитель ОП-4</t>
  </si>
  <si>
    <t>Схема эвакуации (на заказ)</t>
  </si>
  <si>
    <t>Урна</t>
  </si>
  <si>
    <t>Папка Крона для документов</t>
  </si>
  <si>
    <t>Если в ячейке поставить "0", то расчет отчислений с ФОТ на основе МРОТ (для оптимизации выплат)</t>
  </si>
  <si>
    <t>Размер МРОТ, руб.</t>
  </si>
  <si>
    <t>Действующий размер МРОТ в РФ - 12 130 руб.</t>
  </si>
  <si>
    <t>ПЕРСОНАЛ (формат ЛЕГКИЙ)</t>
  </si>
  <si>
    <t>ПЕРСОНАЛ (формат СТАБИЛЬНЫЙ)</t>
  </si>
  <si>
    <t>Фотограф</t>
  </si>
  <si>
    <t>ПЕРСОНАЛ (формат УВЕРЕННЫЙ)</t>
  </si>
  <si>
    <t>Расходы на текущую деятельность</t>
  </si>
  <si>
    <t>Мобильная связь</t>
  </si>
  <si>
    <t>ТЕКУЩИЕ ЗАТРАТЫ (формат УВЕРЕННЫЙ)</t>
  </si>
  <si>
    <t>ТЕКУЩИЕ ЗАТРАТЫ (формат ЛЕГКИЙ)</t>
  </si>
  <si>
    <t>ТЕКУЩИЕ ЗАТРАТЫ (формат СТАБИЛЬНЫЙ)</t>
  </si>
  <si>
    <t>Прочие расходы (непредвиденные)</t>
  </si>
  <si>
    <r>
      <t>·</t>
    </r>
    <r>
      <rPr>
        <sz val="7"/>
        <color rgb="FF000000"/>
        <rFont val="Times New Roman"/>
        <family val="1"/>
        <charset val="204"/>
      </rPr>
      <t xml:space="preserve">         </t>
    </r>
    <r>
      <rPr>
        <sz val="10"/>
        <color rgb="FF000000"/>
        <rFont val="Century Gothic"/>
        <family val="2"/>
        <charset val="204"/>
      </rPr>
      <t>Фотография 15х21 см – 290 руб.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</si>
  <si>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 </t>
    </r>
    <r>
      <rPr>
        <sz val="10"/>
        <color rgb="FF000000"/>
        <rFont val="Century Gothic"/>
        <family val="2"/>
        <charset val="204"/>
      </rPr>
      <t>Фотография 20х30 см – 320 руб.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</si>
  <si>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 </t>
    </r>
    <r>
      <rPr>
        <sz val="10"/>
        <color rgb="FF000000"/>
        <rFont val="Century Gothic"/>
        <family val="2"/>
        <charset val="204"/>
      </rPr>
      <t>Дополнительная реальность 20х30 см и 10х15 (карманное фото) – 550 руб.</t>
    </r>
  </si>
  <si>
    <t>Дополнительная реальность 20х30 см и 10х15 (карманное фото)</t>
  </si>
  <si>
    <t>Фотография 20х30 см</t>
  </si>
  <si>
    <t>Фотография 15х21 см</t>
  </si>
  <si>
    <t>Цена закупки у франчайзера</t>
  </si>
  <si>
    <t>Цена реализации услуг</t>
  </si>
  <si>
    <t>Базовые показатели франчайзинговой точки</t>
  </si>
  <si>
    <t>Цена для Клиентов</t>
  </si>
  <si>
    <t>МЕМОРИС</t>
  </si>
  <si>
    <t>Сезонность</t>
  </si>
  <si>
    <t>Кол-во школ на 1 фотографа в месяц</t>
  </si>
  <si>
    <t>Средняя выручка со школы, руб</t>
  </si>
  <si>
    <t>По данным управленческой отчетности</t>
  </si>
  <si>
    <t>Сумма</t>
  </si>
  <si>
    <t>Цена за ед.</t>
  </si>
  <si>
    <t>Наименование статьи</t>
  </si>
  <si>
    <t>Цена за ед., руб.</t>
  </si>
  <si>
    <t>Себестоимость изготовления фотографий франчайзером</t>
  </si>
  <si>
    <t>Стоимость работы фотографа франчайзера (1 школа)</t>
  </si>
  <si>
    <t>1.3</t>
  </si>
  <si>
    <t>ИТОГО ВЫРУЧКА</t>
  </si>
  <si>
    <t>ИТОГО ПРЯМЫЕ ЗАТРАТЫ</t>
  </si>
  <si>
    <t>2.2</t>
  </si>
  <si>
    <t>Оплата услуг фотографа франчайзера</t>
  </si>
  <si>
    <t>Только для формата "ЛЕГКИЙ". С учетом проезда к франчайзи</t>
  </si>
  <si>
    <t>Количество фотографов  в штате</t>
  </si>
  <si>
    <t>Только для формата "УВЕРЕННЫЙ"</t>
  </si>
  <si>
    <t>Структура выручки на 1 школу</t>
  </si>
  <si>
    <t>Численность персонала</t>
  </si>
  <si>
    <t>Текущие затраты</t>
  </si>
  <si>
    <t>Ставка УСН (доходы-расходы)</t>
  </si>
  <si>
    <t>Уточните ставку в Вашем регионе!</t>
  </si>
  <si>
    <t>Срок окупаемости франчайзинговой точки, мес.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</si>
</sst>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_-* #,##0&quot; руб&quot;_-;\-* #,##0&quot; руб&quot;_-;_-* &quot;- руб&quot;_-;_-@_-"/>
    <numFmt numFmtId="167" formatCode="&quot;?.&quot;#,##0_);[Red]&quot;(?.&quot;#,##0\)"/>
    <numFmt numFmtId="168" formatCode="&quot;?.&quot;#,##0.00_);[Red]&quot;(?.&quot;#,##0.00\)"/>
    <numFmt numFmtId="169" formatCode="#,##0.0000_ ;[Red]\-#,##0.0000\ "/>
    <numFmt numFmtId="170" formatCode="_-* #,##0.00[$€-1]_-;\-* #,##0.00[$€-1]_-;_-* \-??[$€-1]_-"/>
    <numFmt numFmtId="171" formatCode="#,##0_);[Red]\(#,##0\)"/>
    <numFmt numFmtId="172" formatCode="#,##0.00_);[Red]\(#,##0.00\)"/>
    <numFmt numFmtId="173" formatCode="#,##0\ ;[Red]&quot;- &quot;#,##0\ ;_-* \-??\ _р_._-;_-@_-"/>
    <numFmt numFmtId="174" formatCode="_-* #,##0\ _р_._-;\-* #,##0\ _р_._-;_-* &quot;- &quot;_р_._-;_-@_-"/>
    <numFmt numFmtId="175" formatCode="_-* #,##0.00\ _р_._-;\-* #,##0.00\ _р_._-;_-* \-??\ _р_._-;_-@_-"/>
    <numFmt numFmtId="176" formatCode="#,##0.00_ ;[Red]\-#,##0.00\ "/>
    <numFmt numFmtId="177" formatCode="0.0000"/>
    <numFmt numFmtId="178" formatCode="&quot;€&quot;#,##0.00;[Red]\-&quot;€&quot;#,##0.00"/>
    <numFmt numFmtId="179" formatCode="0.0%"/>
    <numFmt numFmtId="180" formatCode="#,##0_ ;[Red]\-#,##0\ "/>
  </numFmts>
  <fonts count="68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</font>
    <font>
      <sz val="10"/>
      <color theme="1"/>
      <name val="Times New Roman"/>
      <family val="2"/>
      <charset val="204"/>
    </font>
    <font>
      <b/>
      <sz val="11"/>
      <color indexed="8"/>
      <name val="Calibri"/>
      <family val="2"/>
      <charset val="204"/>
    </font>
    <font>
      <sz val="10"/>
      <name val="Arial Cyr"/>
      <charset val="204"/>
    </font>
    <font>
      <sz val="10"/>
      <name val="Helv"/>
      <charset val="204"/>
    </font>
    <font>
      <sz val="10"/>
      <name val="Helv"/>
    </font>
    <font>
      <sz val="10"/>
      <name val="Arial"/>
      <family val="2"/>
    </font>
    <font>
      <sz val="10"/>
      <name val="Helv"/>
      <family val="2"/>
    </font>
    <font>
      <sz val="10"/>
      <name val="Arial Cyr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u/>
      <sz val="10"/>
      <color indexed="12"/>
      <name val="Arial Cyr"/>
      <family val="2"/>
      <charset val="204"/>
    </font>
    <font>
      <sz val="11"/>
      <color indexed="20"/>
      <name val="Calibri"/>
      <family val="2"/>
      <charset val="204"/>
    </font>
    <font>
      <sz val="10"/>
      <color indexed="8"/>
      <name val="MS Sans Serif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2"/>
      <name val="Arial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0"/>
      <name val="MS Sans Serif"/>
      <family val="2"/>
    </font>
    <font>
      <sz val="11"/>
      <color indexed="62"/>
      <name val="Calibri"/>
      <family val="2"/>
      <charset val="204"/>
    </font>
    <font>
      <u/>
      <sz val="10"/>
      <color indexed="20"/>
      <name val="Arial Cyr"/>
      <family val="2"/>
      <charset val="204"/>
    </font>
    <font>
      <b/>
      <u/>
      <sz val="16"/>
      <name val="Arial"/>
      <family val="2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0"/>
      <name val="Century Gothic"/>
      <family val="2"/>
      <charset val="204"/>
    </font>
    <font>
      <sz val="11"/>
      <color theme="1"/>
      <name val="Calibri"/>
      <family val="2"/>
      <scheme val="minor"/>
    </font>
    <font>
      <b/>
      <sz val="11"/>
      <color indexed="63"/>
      <name val="Calibri"/>
      <family val="2"/>
      <charset val="204"/>
    </font>
    <font>
      <b/>
      <sz val="20"/>
      <name val="Times New Roman"/>
      <family val="1"/>
    </font>
    <font>
      <b/>
      <sz val="18"/>
      <color indexed="56"/>
      <name val="Cambria"/>
      <family val="2"/>
      <charset val="204"/>
    </font>
    <font>
      <b/>
      <sz val="14"/>
      <name val="Times New Roman"/>
      <family val="1"/>
    </font>
    <font>
      <sz val="11"/>
      <color indexed="10"/>
      <name val="Calibri"/>
      <family val="2"/>
      <charset val="204"/>
    </font>
    <font>
      <u/>
      <sz val="8.5"/>
      <color indexed="12"/>
      <name val="Arial Cyr"/>
      <charset val="204"/>
    </font>
    <font>
      <u/>
      <sz val="8.5"/>
      <color theme="10"/>
      <name val="Arial Cyr"/>
      <charset val="204"/>
    </font>
    <font>
      <u/>
      <sz val="8.5"/>
      <color indexed="12"/>
      <name val="Arial Cyr"/>
      <family val="2"/>
      <charset val="204"/>
    </font>
    <font>
      <sz val="10"/>
      <color indexed="8"/>
      <name val="Arial Cyr"/>
      <family val="2"/>
      <charset val="204"/>
    </font>
    <font>
      <sz val="8"/>
      <name val="Arial"/>
      <family val="2"/>
      <charset val="204"/>
    </font>
    <font>
      <sz val="10"/>
      <color theme="1"/>
      <name val="Arial Cyr"/>
      <family val="2"/>
      <charset val="204"/>
    </font>
    <font>
      <sz val="10"/>
      <name val="Arial Cyr"/>
    </font>
    <font>
      <sz val="10"/>
      <color theme="1"/>
      <name val="Century Gothic"/>
      <family val="2"/>
      <charset val="204"/>
    </font>
    <font>
      <sz val="10"/>
      <color indexed="8"/>
      <name val="Century Gothic"/>
      <family val="2"/>
      <charset val="204"/>
    </font>
    <font>
      <sz val="11"/>
      <color rgb="FF000000"/>
      <name val="Calibri"/>
      <family val="2"/>
      <charset val="204"/>
    </font>
    <font>
      <sz val="1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b/>
      <sz val="10"/>
      <color rgb="FF00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0"/>
      <color rgb="FF262626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0"/>
      <color rgb="FF0000CC"/>
      <name val="Calibri"/>
      <family val="2"/>
      <charset val="204"/>
      <scheme val="minor"/>
    </font>
    <font>
      <sz val="10"/>
      <color rgb="FF000000"/>
      <name val="Symbol"/>
      <family val="1"/>
      <charset val="2"/>
    </font>
    <font>
      <sz val="7"/>
      <color rgb="FF000000"/>
      <name val="Times New Roman"/>
      <family val="1"/>
      <charset val="204"/>
    </font>
    <font>
      <sz val="10"/>
      <color rgb="FF000000"/>
      <name val="Century Gothic"/>
      <family val="2"/>
      <charset val="204"/>
    </font>
    <font>
      <sz val="10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i/>
      <sz val="10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DBE5F1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BE5F1"/>
      </patternFill>
    </fill>
    <fill>
      <patternFill patternType="solid">
        <fgColor theme="0" tint="-0.14999847407452621"/>
        <bgColor rgb="FFDBE5F1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51">
    <xf numFmtId="0" fontId="0" fillId="0" borderId="0"/>
    <xf numFmtId="0" fontId="5" fillId="0" borderId="0"/>
    <xf numFmtId="9" fontId="5" fillId="0" borderId="0" applyFont="0" applyFill="0" applyBorder="0" applyAlignment="0" applyProtection="0"/>
    <xf numFmtId="0" fontId="8" fillId="0" borderId="0"/>
    <xf numFmtId="165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6" fontId="15" fillId="0" borderId="0">
      <alignment horizontal="center"/>
    </xf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6" borderId="0" applyNumberFormat="0" applyBorder="0" applyAlignment="0" applyProtection="0"/>
    <xf numFmtId="0" fontId="16" fillId="9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167" fontId="15" fillId="0" borderId="0" applyFill="0" applyBorder="0" applyAlignment="0" applyProtection="0"/>
    <xf numFmtId="168" fontId="15" fillId="0" borderId="0" applyFill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20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0" fillId="0" borderId="0" applyFill="0" applyBorder="0" applyAlignment="0"/>
    <xf numFmtId="0" fontId="21" fillId="21" borderId="10" applyNumberFormat="0" applyAlignment="0" applyProtection="0"/>
    <xf numFmtId="0" fontId="22" fillId="22" borderId="11" applyNumberFormat="0" applyAlignment="0" applyProtection="0"/>
    <xf numFmtId="169" fontId="6" fillId="0" borderId="0" applyFont="0" applyFill="0" applyBorder="0" applyAlignment="0" applyProtection="0"/>
    <xf numFmtId="170" fontId="15" fillId="0" borderId="0" applyFill="0" applyBorder="0" applyAlignment="0" applyProtection="0"/>
    <xf numFmtId="0" fontId="23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25" fillId="0" borderId="12" applyNumberFormat="0" applyAlignment="0" applyProtection="0"/>
    <xf numFmtId="0" fontId="25" fillId="0" borderId="13">
      <alignment horizontal="left" vertical="center"/>
    </xf>
    <xf numFmtId="0" fontId="26" fillId="0" borderId="14" applyNumberFormat="0" applyFill="0" applyAlignment="0" applyProtection="0"/>
    <xf numFmtId="0" fontId="27" fillId="0" borderId="15" applyNumberFormat="0" applyFill="0" applyAlignment="0" applyProtection="0"/>
    <xf numFmtId="0" fontId="28" fillId="0" borderId="1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0"/>
    <xf numFmtId="0" fontId="30" fillId="8" borderId="10" applyNumberFormat="0" applyAlignment="0" applyProtection="0"/>
    <xf numFmtId="0" fontId="31" fillId="0" borderId="0" applyNumberFormat="0" applyFill="0" applyBorder="0" applyAlignment="0" applyProtection="0"/>
    <xf numFmtId="0" fontId="32" fillId="0" borderId="0">
      <alignment vertical="center"/>
    </xf>
    <xf numFmtId="0" fontId="33" fillId="0" borderId="17" applyNumberFormat="0" applyFill="0" applyAlignment="0" applyProtection="0"/>
    <xf numFmtId="0" fontId="34" fillId="23" borderId="0" applyNumberFormat="0" applyBorder="0" applyAlignment="0" applyProtection="0"/>
    <xf numFmtId="0" fontId="6" fillId="0" borderId="0"/>
    <xf numFmtId="0" fontId="16" fillId="0" borderId="0"/>
    <xf numFmtId="0" fontId="6" fillId="0" borderId="0"/>
    <xf numFmtId="0" fontId="35" fillId="0" borderId="0"/>
    <xf numFmtId="0" fontId="36" fillId="0" borderId="0"/>
    <xf numFmtId="0" fontId="6" fillId="0" borderId="0"/>
    <xf numFmtId="0" fontId="16" fillId="24" borderId="18" applyNumberFormat="0" applyFont="0" applyAlignment="0" applyProtection="0"/>
    <xf numFmtId="171" fontId="15" fillId="0" borderId="0" applyFill="0" applyBorder="0" applyAlignment="0" applyProtection="0"/>
    <xf numFmtId="172" fontId="15" fillId="0" borderId="0" applyFill="0" applyBorder="0" applyAlignment="0" applyProtection="0"/>
    <xf numFmtId="171" fontId="15" fillId="0" borderId="0" applyFill="0" applyBorder="0" applyAlignment="0" applyProtection="0"/>
    <xf numFmtId="172" fontId="15" fillId="0" borderId="0" applyFill="0" applyBorder="0" applyAlignment="0" applyProtection="0"/>
    <xf numFmtId="0" fontId="37" fillId="21" borderId="19" applyNumberFormat="0" applyAlignment="0" applyProtection="0"/>
    <xf numFmtId="0" fontId="38" fillId="0" borderId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8" fillId="0" borderId="0"/>
    <xf numFmtId="0" fontId="11" fillId="0" borderId="0"/>
    <xf numFmtId="0" fontId="39" fillId="0" borderId="0" applyNumberFormat="0" applyFill="0" applyBorder="0" applyAlignment="0" applyProtection="0"/>
    <xf numFmtId="0" fontId="9" fillId="0" borderId="20" applyNumberFormat="0" applyFill="0" applyAlignment="0" applyProtection="0"/>
    <xf numFmtId="0" fontId="40" fillId="0" borderId="0"/>
    <xf numFmtId="0" fontId="40" fillId="0" borderId="0"/>
    <xf numFmtId="0" fontId="41" fillId="0" borderId="0" applyNumberFormat="0" applyFill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173" fontId="15" fillId="25" borderId="21"/>
    <xf numFmtId="0" fontId="30" fillId="8" borderId="10" applyNumberFormat="0" applyAlignment="0" applyProtection="0"/>
    <xf numFmtId="0" fontId="30" fillId="8" borderId="10" applyNumberFormat="0" applyAlignment="0" applyProtection="0"/>
    <xf numFmtId="0" fontId="30" fillId="8" borderId="10" applyNumberFormat="0" applyAlignment="0" applyProtection="0"/>
    <xf numFmtId="0" fontId="30" fillId="8" borderId="10" applyNumberFormat="0" applyAlignment="0" applyProtection="0"/>
    <xf numFmtId="0" fontId="30" fillId="8" borderId="10" applyNumberFormat="0" applyAlignment="0" applyProtection="0"/>
    <xf numFmtId="0" fontId="30" fillId="8" borderId="10" applyNumberFormat="0" applyAlignment="0" applyProtection="0"/>
    <xf numFmtId="0" fontId="30" fillId="8" borderId="10" applyNumberFormat="0" applyAlignment="0" applyProtection="0"/>
    <xf numFmtId="0" fontId="30" fillId="8" borderId="10" applyNumberFormat="0" applyAlignment="0" applyProtection="0"/>
    <xf numFmtId="0" fontId="37" fillId="21" borderId="19" applyNumberFormat="0" applyAlignment="0" applyProtection="0"/>
    <xf numFmtId="0" fontId="37" fillId="21" borderId="19" applyNumberFormat="0" applyAlignment="0" applyProtection="0"/>
    <xf numFmtId="0" fontId="37" fillId="21" borderId="19" applyNumberFormat="0" applyAlignment="0" applyProtection="0"/>
    <xf numFmtId="0" fontId="37" fillId="21" borderId="19" applyNumberFormat="0" applyAlignment="0" applyProtection="0"/>
    <xf numFmtId="0" fontId="37" fillId="21" borderId="19" applyNumberFormat="0" applyAlignment="0" applyProtection="0"/>
    <xf numFmtId="0" fontId="37" fillId="21" borderId="19" applyNumberFormat="0" applyAlignment="0" applyProtection="0"/>
    <xf numFmtId="0" fontId="37" fillId="21" borderId="19" applyNumberFormat="0" applyAlignment="0" applyProtection="0"/>
    <xf numFmtId="0" fontId="37" fillId="21" borderId="19" applyNumberFormat="0" applyAlignment="0" applyProtection="0"/>
    <xf numFmtId="0" fontId="21" fillId="21" borderId="10" applyNumberFormat="0" applyAlignment="0" applyProtection="0"/>
    <xf numFmtId="0" fontId="21" fillId="21" borderId="10" applyNumberFormat="0" applyAlignment="0" applyProtection="0"/>
    <xf numFmtId="0" fontId="21" fillId="21" borderId="10" applyNumberFormat="0" applyAlignment="0" applyProtection="0"/>
    <xf numFmtId="0" fontId="21" fillId="21" borderId="10" applyNumberFormat="0" applyAlignment="0" applyProtection="0"/>
    <xf numFmtId="0" fontId="21" fillId="21" borderId="10" applyNumberFormat="0" applyAlignment="0" applyProtection="0"/>
    <xf numFmtId="0" fontId="21" fillId="21" borderId="10" applyNumberFormat="0" applyAlignment="0" applyProtection="0"/>
    <xf numFmtId="0" fontId="21" fillId="21" borderId="10" applyNumberFormat="0" applyAlignment="0" applyProtection="0"/>
    <xf numFmtId="0" fontId="21" fillId="21" borderId="10" applyNumberFormat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/>
    <xf numFmtId="164" fontId="10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7" fillId="0" borderId="15" applyNumberFormat="0" applyFill="0" applyAlignment="0" applyProtection="0"/>
    <xf numFmtId="0" fontId="27" fillId="0" borderId="15" applyNumberFormat="0" applyFill="0" applyAlignment="0" applyProtection="0"/>
    <xf numFmtId="0" fontId="27" fillId="0" borderId="15" applyNumberFormat="0" applyFill="0" applyAlignment="0" applyProtection="0"/>
    <xf numFmtId="0" fontId="27" fillId="0" borderId="15" applyNumberFormat="0" applyFill="0" applyAlignment="0" applyProtection="0"/>
    <xf numFmtId="0" fontId="27" fillId="0" borderId="15" applyNumberFormat="0" applyFill="0" applyAlignment="0" applyProtection="0"/>
    <xf numFmtId="0" fontId="27" fillId="0" borderId="15" applyNumberFormat="0" applyFill="0" applyAlignment="0" applyProtection="0"/>
    <xf numFmtId="0" fontId="27" fillId="0" borderId="15" applyNumberFormat="0" applyFill="0" applyAlignment="0" applyProtection="0"/>
    <xf numFmtId="0" fontId="27" fillId="0" borderId="15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9" fillId="0" borderId="20" applyNumberFormat="0" applyFill="0" applyAlignment="0" applyProtection="0"/>
    <xf numFmtId="0" fontId="9" fillId="0" borderId="20" applyNumberFormat="0" applyFill="0" applyAlignment="0" applyProtection="0"/>
    <xf numFmtId="0" fontId="9" fillId="0" borderId="20" applyNumberFormat="0" applyFill="0" applyAlignment="0" applyProtection="0"/>
    <xf numFmtId="0" fontId="9" fillId="0" borderId="20" applyNumberFormat="0" applyFill="0" applyAlignment="0" applyProtection="0"/>
    <xf numFmtId="0" fontId="9" fillId="0" borderId="20" applyNumberFormat="0" applyFill="0" applyAlignment="0" applyProtection="0"/>
    <xf numFmtId="0" fontId="9" fillId="0" borderId="20" applyNumberFormat="0" applyFill="0" applyAlignment="0" applyProtection="0"/>
    <xf numFmtId="0" fontId="9" fillId="0" borderId="20" applyNumberFormat="0" applyFill="0" applyAlignment="0" applyProtection="0"/>
    <xf numFmtId="0" fontId="9" fillId="0" borderId="20" applyNumberFormat="0" applyFill="0" applyAlignment="0" applyProtection="0"/>
    <xf numFmtId="0" fontId="22" fillId="22" borderId="11" applyNumberFormat="0" applyAlignment="0" applyProtection="0"/>
    <xf numFmtId="0" fontId="22" fillId="22" borderId="11" applyNumberFormat="0" applyAlignment="0" applyProtection="0"/>
    <xf numFmtId="0" fontId="22" fillId="22" borderId="11" applyNumberFormat="0" applyAlignment="0" applyProtection="0"/>
    <xf numFmtId="0" fontId="22" fillId="22" borderId="11" applyNumberFormat="0" applyAlignment="0" applyProtection="0"/>
    <xf numFmtId="0" fontId="22" fillId="22" borderId="11" applyNumberFormat="0" applyAlignment="0" applyProtection="0"/>
    <xf numFmtId="0" fontId="22" fillId="22" borderId="11" applyNumberFormat="0" applyAlignment="0" applyProtection="0"/>
    <xf numFmtId="0" fontId="22" fillId="22" borderId="11" applyNumberFormat="0" applyAlignment="0" applyProtection="0"/>
    <xf numFmtId="0" fontId="22" fillId="22" borderId="11" applyNumberFormat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4" fillId="23" borderId="0" applyNumberFormat="0" applyBorder="0" applyAlignment="0" applyProtection="0"/>
    <xf numFmtId="0" fontId="34" fillId="23" borderId="0" applyNumberFormat="0" applyBorder="0" applyAlignment="0" applyProtection="0"/>
    <xf numFmtId="0" fontId="34" fillId="23" borderId="0" applyNumberFormat="0" applyBorder="0" applyAlignment="0" applyProtection="0"/>
    <xf numFmtId="0" fontId="34" fillId="23" borderId="0" applyNumberFormat="0" applyBorder="0" applyAlignment="0" applyProtection="0"/>
    <xf numFmtId="0" fontId="34" fillId="23" borderId="0" applyNumberFormat="0" applyBorder="0" applyAlignment="0" applyProtection="0"/>
    <xf numFmtId="0" fontId="34" fillId="23" borderId="0" applyNumberFormat="0" applyBorder="0" applyAlignment="0" applyProtection="0"/>
    <xf numFmtId="0" fontId="34" fillId="23" borderId="0" applyNumberFormat="0" applyBorder="0" applyAlignment="0" applyProtection="0"/>
    <xf numFmtId="0" fontId="46" fillId="0" borderId="0">
      <alignment horizontal="left"/>
    </xf>
    <xf numFmtId="0" fontId="46" fillId="0" borderId="0">
      <alignment horizontal="left"/>
    </xf>
    <xf numFmtId="0" fontId="46" fillId="0" borderId="0">
      <alignment horizontal="left"/>
    </xf>
    <xf numFmtId="0" fontId="46" fillId="0" borderId="0">
      <alignment horizontal="left"/>
    </xf>
    <xf numFmtId="0" fontId="46" fillId="0" borderId="0">
      <alignment horizontal="left"/>
    </xf>
    <xf numFmtId="0" fontId="46" fillId="0" borderId="0">
      <alignment horizontal="left"/>
    </xf>
    <xf numFmtId="0" fontId="46" fillId="0" borderId="0">
      <alignment horizontal="left"/>
    </xf>
    <xf numFmtId="0" fontId="46" fillId="0" borderId="0">
      <alignment horizontal="left"/>
    </xf>
    <xf numFmtId="0" fontId="46" fillId="0" borderId="0">
      <alignment horizontal="left"/>
    </xf>
    <xf numFmtId="0" fontId="46" fillId="0" borderId="0">
      <alignment horizontal="left"/>
    </xf>
    <xf numFmtId="0" fontId="16" fillId="0" borderId="0"/>
    <xf numFmtId="0" fontId="4" fillId="0" borderId="0"/>
    <xf numFmtId="0" fontId="4" fillId="0" borderId="0"/>
    <xf numFmtId="0" fontId="47" fillId="0" borderId="0"/>
    <xf numFmtId="0" fontId="46" fillId="0" borderId="0">
      <alignment horizontal="left"/>
    </xf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0" fillId="0" borderId="0"/>
    <xf numFmtId="0" fontId="10" fillId="0" borderId="0"/>
    <xf numFmtId="0" fontId="3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5" fillId="0" borderId="0"/>
    <xf numFmtId="0" fontId="35" fillId="0" borderId="0"/>
    <xf numFmtId="0" fontId="35" fillId="0" borderId="0"/>
    <xf numFmtId="0" fontId="10" fillId="0" borderId="0"/>
    <xf numFmtId="0" fontId="3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5" fillId="0" borderId="0"/>
    <xf numFmtId="0" fontId="35" fillId="0" borderId="0"/>
    <xf numFmtId="0" fontId="35" fillId="0" borderId="0"/>
    <xf numFmtId="0" fontId="10" fillId="0" borderId="0"/>
    <xf numFmtId="0" fontId="3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5" fillId="0" borderId="0"/>
    <xf numFmtId="0" fontId="35" fillId="0" borderId="0"/>
    <xf numFmtId="0" fontId="35" fillId="0" borderId="0"/>
    <xf numFmtId="0" fontId="10" fillId="0" borderId="0"/>
    <xf numFmtId="0" fontId="3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5" fillId="0" borderId="0"/>
    <xf numFmtId="0" fontId="35" fillId="0" borderId="0"/>
    <xf numFmtId="0" fontId="35" fillId="0" borderId="0"/>
    <xf numFmtId="0" fontId="10" fillId="0" borderId="0"/>
    <xf numFmtId="0" fontId="6" fillId="0" borderId="0"/>
    <xf numFmtId="0" fontId="4" fillId="0" borderId="0"/>
    <xf numFmtId="0" fontId="6" fillId="0" borderId="0"/>
    <xf numFmtId="0" fontId="46" fillId="0" borderId="0">
      <alignment horizontal="left"/>
    </xf>
    <xf numFmtId="0" fontId="46" fillId="0" borderId="0">
      <alignment horizontal="left"/>
    </xf>
    <xf numFmtId="0" fontId="46" fillId="0" borderId="0">
      <alignment horizontal="left"/>
    </xf>
    <xf numFmtId="0" fontId="46" fillId="0" borderId="0">
      <alignment horizontal="left"/>
    </xf>
    <xf numFmtId="0" fontId="46" fillId="0" borderId="0">
      <alignment horizontal="left"/>
    </xf>
    <xf numFmtId="0" fontId="46" fillId="0" borderId="0">
      <alignment horizontal="left"/>
    </xf>
    <xf numFmtId="0" fontId="46" fillId="0" borderId="0">
      <alignment horizontal="left"/>
    </xf>
    <xf numFmtId="0" fontId="46" fillId="0" borderId="0">
      <alignment horizontal="left"/>
    </xf>
    <xf numFmtId="0" fontId="46" fillId="0" borderId="0">
      <alignment horizontal="left"/>
    </xf>
    <xf numFmtId="0" fontId="46" fillId="0" borderId="0">
      <alignment horizontal="left"/>
    </xf>
    <xf numFmtId="0" fontId="16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35" fillId="0" borderId="0"/>
    <xf numFmtId="0" fontId="10" fillId="0" borderId="0"/>
    <xf numFmtId="0" fontId="16" fillId="0" borderId="0"/>
    <xf numFmtId="0" fontId="16" fillId="0" borderId="0"/>
    <xf numFmtId="0" fontId="46" fillId="0" borderId="0">
      <alignment horizontal="left"/>
    </xf>
    <xf numFmtId="0" fontId="46" fillId="0" borderId="0">
      <alignment horizontal="left"/>
    </xf>
    <xf numFmtId="0" fontId="35" fillId="0" borderId="0"/>
    <xf numFmtId="0" fontId="4" fillId="0" borderId="0"/>
    <xf numFmtId="0" fontId="45" fillId="0" borderId="0"/>
    <xf numFmtId="0" fontId="35" fillId="0" borderId="0"/>
    <xf numFmtId="0" fontId="35" fillId="0" borderId="0"/>
    <xf numFmtId="0" fontId="16" fillId="0" borderId="0"/>
    <xf numFmtId="0" fontId="4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5" fillId="0" borderId="0"/>
    <xf numFmtId="0" fontId="16" fillId="0" borderId="0"/>
    <xf numFmtId="0" fontId="35" fillId="0" borderId="0"/>
    <xf numFmtId="0" fontId="35" fillId="0" borderId="0"/>
    <xf numFmtId="0" fontId="16" fillId="0" borderId="0"/>
    <xf numFmtId="0" fontId="16" fillId="0" borderId="0"/>
    <xf numFmtId="0" fontId="49" fillId="0" borderId="0"/>
    <xf numFmtId="0" fontId="49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46" fillId="0" borderId="0">
      <alignment horizontal="left"/>
    </xf>
    <xf numFmtId="0" fontId="46" fillId="0" borderId="0">
      <alignment horizontal="left"/>
    </xf>
    <xf numFmtId="0" fontId="46" fillId="0" borderId="0">
      <alignment horizontal="left"/>
    </xf>
    <xf numFmtId="0" fontId="46" fillId="0" borderId="0">
      <alignment horizontal="left"/>
    </xf>
    <xf numFmtId="0" fontId="35" fillId="0" borderId="0"/>
    <xf numFmtId="0" fontId="46" fillId="0" borderId="0">
      <alignment horizontal="left"/>
    </xf>
    <xf numFmtId="0" fontId="46" fillId="0" borderId="0">
      <alignment horizontal="left"/>
    </xf>
    <xf numFmtId="0" fontId="46" fillId="0" borderId="0">
      <alignment horizontal="left"/>
    </xf>
    <xf numFmtId="0" fontId="46" fillId="0" borderId="0">
      <alignment horizontal="left"/>
    </xf>
    <xf numFmtId="0" fontId="35" fillId="0" borderId="0"/>
    <xf numFmtId="0" fontId="35" fillId="0" borderId="0"/>
    <xf numFmtId="0" fontId="35" fillId="0" borderId="0"/>
    <xf numFmtId="0" fontId="10" fillId="0" borderId="0"/>
    <xf numFmtId="0" fontId="3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5" fillId="0" borderId="0"/>
    <xf numFmtId="0" fontId="35" fillId="0" borderId="0"/>
    <xf numFmtId="0" fontId="35" fillId="0" borderId="0"/>
    <xf numFmtId="0" fontId="16" fillId="0" borderId="0"/>
    <xf numFmtId="0" fontId="10" fillId="0" borderId="0"/>
    <xf numFmtId="0" fontId="3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5" fillId="0" borderId="0"/>
    <xf numFmtId="0" fontId="35" fillId="0" borderId="0"/>
    <xf numFmtId="0" fontId="35" fillId="0" borderId="0"/>
    <xf numFmtId="0" fontId="46" fillId="0" borderId="0">
      <alignment horizontal="left"/>
    </xf>
    <xf numFmtId="0" fontId="46" fillId="0" borderId="0">
      <alignment horizontal="left"/>
    </xf>
    <xf numFmtId="0" fontId="35" fillId="0" borderId="0"/>
    <xf numFmtId="0" fontId="35" fillId="0" borderId="0"/>
    <xf numFmtId="0" fontId="35" fillId="0" borderId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24" borderId="18" applyNumberFormat="0" applyFont="0" applyAlignment="0" applyProtection="0"/>
    <xf numFmtId="0" fontId="10" fillId="24" borderId="18" applyNumberFormat="0" applyFont="0" applyAlignment="0" applyProtection="0"/>
    <xf numFmtId="0" fontId="16" fillId="24" borderId="18" applyNumberFormat="0" applyFont="0" applyAlignment="0" applyProtection="0"/>
    <xf numFmtId="0" fontId="16" fillId="24" borderId="18" applyNumberFormat="0" applyFont="0" applyAlignment="0" applyProtection="0"/>
    <xf numFmtId="0" fontId="16" fillId="24" borderId="18" applyNumberFormat="0" applyFont="0" applyAlignment="0" applyProtection="0"/>
    <xf numFmtId="0" fontId="16" fillId="24" borderId="18" applyNumberFormat="0" applyFont="0" applyAlignment="0" applyProtection="0"/>
    <xf numFmtId="0" fontId="10" fillId="24" borderId="18" applyNumberFormat="0" applyFont="0" applyAlignment="0" applyProtection="0"/>
    <xf numFmtId="0" fontId="16" fillId="24" borderId="18" applyNumberFormat="0" applyFont="0" applyAlignment="0" applyProtection="0"/>
    <xf numFmtId="0" fontId="16" fillId="24" borderId="18" applyNumberFormat="0" applyFont="0" applyAlignment="0" applyProtection="0"/>
    <xf numFmtId="0" fontId="16" fillId="24" borderId="18" applyNumberFormat="0" applyFont="0" applyAlignment="0" applyProtection="0"/>
    <xf numFmtId="0" fontId="16" fillId="24" borderId="18" applyNumberFormat="0" applyFont="0" applyAlignment="0" applyProtection="0"/>
    <xf numFmtId="0" fontId="16" fillId="24" borderId="18" applyNumberFormat="0" applyFon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14" fillId="0" borderId="0"/>
    <xf numFmtId="0" fontId="11" fillId="0" borderId="0"/>
    <xf numFmtId="0" fontId="11" fillId="0" borderId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4" fontId="15" fillId="0" borderId="0" applyFill="0" applyBorder="0" applyAlignment="0" applyProtection="0"/>
    <xf numFmtId="3" fontId="15" fillId="0" borderId="0" applyBorder="0">
      <alignment horizontal="right"/>
      <protection locked="0"/>
    </xf>
    <xf numFmtId="175" fontId="15" fillId="0" borderId="0" applyFill="0" applyBorder="0" applyAlignment="0" applyProtection="0"/>
    <xf numFmtId="165" fontId="10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0" fillId="0" borderId="0" applyFont="0" applyFill="0" applyBorder="0" applyAlignment="0" applyProtection="0"/>
    <xf numFmtId="176" fontId="6" fillId="0" borderId="0" applyFont="0" applyFill="0" applyBorder="0" applyAlignment="0" applyProtection="0"/>
    <xf numFmtId="177" fontId="10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3" fillId="0" borderId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36" fillId="0" borderId="0"/>
    <xf numFmtId="0" fontId="1" fillId="0" borderId="0"/>
    <xf numFmtId="9" fontId="36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214">
    <xf numFmtId="0" fontId="0" fillId="0" borderId="0" xfId="0" applyFont="1" applyAlignment="1"/>
    <xf numFmtId="0" fontId="52" fillId="2" borderId="0" xfId="936" applyFont="1" applyFill="1" applyAlignment="1" applyProtection="1">
      <alignment horizontal="left"/>
      <protection hidden="1"/>
    </xf>
    <xf numFmtId="0" fontId="53" fillId="2" borderId="0" xfId="0" applyFont="1" applyFill="1" applyAlignment="1" applyProtection="1">
      <protection hidden="1"/>
    </xf>
    <xf numFmtId="0" fontId="53" fillId="27" borderId="0" xfId="0" applyFont="1" applyFill="1" applyBorder="1" applyProtection="1">
      <protection hidden="1"/>
    </xf>
    <xf numFmtId="0" fontId="53" fillId="2" borderId="0" xfId="0" applyFont="1" applyFill="1" applyProtection="1">
      <protection hidden="1"/>
    </xf>
    <xf numFmtId="0" fontId="52" fillId="2" borderId="0" xfId="0" applyFont="1" applyFill="1" applyAlignment="1" applyProtection="1">
      <protection hidden="1"/>
    </xf>
    <xf numFmtId="0" fontId="53" fillId="2" borderId="0" xfId="0" applyFont="1" applyFill="1" applyAlignment="1" applyProtection="1"/>
    <xf numFmtId="0" fontId="52" fillId="2" borderId="0" xfId="0" applyFont="1" applyFill="1" applyAlignment="1" applyProtection="1">
      <alignment horizontal="center"/>
    </xf>
    <xf numFmtId="0" fontId="52" fillId="2" borderId="0" xfId="0" applyFont="1" applyFill="1" applyAlignment="1" applyProtection="1">
      <alignment vertical="center"/>
      <protection hidden="1"/>
    </xf>
    <xf numFmtId="0" fontId="55" fillId="0" borderId="1" xfId="936" applyFont="1" applyFill="1" applyBorder="1" applyAlignment="1" applyProtection="1">
      <alignment vertical="center"/>
      <protection hidden="1"/>
    </xf>
    <xf numFmtId="180" fontId="55" fillId="0" borderId="1" xfId="936" applyNumberFormat="1" applyFont="1" applyFill="1" applyBorder="1" applyAlignment="1" applyProtection="1">
      <alignment vertical="center"/>
      <protection hidden="1"/>
    </xf>
    <xf numFmtId="0" fontId="52" fillId="2" borderId="0" xfId="936" applyFont="1" applyFill="1" applyAlignment="1" applyProtection="1">
      <alignment horizontal="center"/>
    </xf>
    <xf numFmtId="0" fontId="53" fillId="2" borderId="5" xfId="0" applyFont="1" applyFill="1" applyBorder="1" applyAlignment="1" applyProtection="1">
      <protection hidden="1"/>
    </xf>
    <xf numFmtId="0" fontId="53" fillId="2" borderId="6" xfId="0" applyFont="1" applyFill="1" applyBorder="1" applyAlignment="1" applyProtection="1">
      <protection hidden="1"/>
    </xf>
    <xf numFmtId="0" fontId="56" fillId="2" borderId="0" xfId="936" applyFont="1" applyFill="1" applyAlignment="1" applyProtection="1">
      <alignment horizontal="right"/>
      <protection hidden="1"/>
    </xf>
    <xf numFmtId="0" fontId="52" fillId="2" borderId="0" xfId="0" applyFont="1" applyFill="1" applyAlignment="1" applyProtection="1"/>
    <xf numFmtId="0" fontId="52" fillId="2" borderId="7" xfId="936" applyFont="1" applyFill="1" applyBorder="1" applyAlignment="1" applyProtection="1">
      <protection hidden="1"/>
    </xf>
    <xf numFmtId="0" fontId="52" fillId="2" borderId="9" xfId="936" applyFont="1" applyFill="1" applyBorder="1" applyAlignment="1" applyProtection="1">
      <protection hidden="1"/>
    </xf>
    <xf numFmtId="0" fontId="52" fillId="2" borderId="0" xfId="936" applyFont="1" applyFill="1" applyAlignment="1" applyProtection="1">
      <protection hidden="1"/>
    </xf>
    <xf numFmtId="0" fontId="52" fillId="2" borderId="1" xfId="0" applyFont="1" applyFill="1" applyBorder="1" applyAlignment="1" applyProtection="1">
      <alignment horizontal="left" indent="2"/>
      <protection hidden="1"/>
    </xf>
    <xf numFmtId="180" fontId="52" fillId="2" borderId="1" xfId="0" applyNumberFormat="1" applyFont="1" applyFill="1" applyBorder="1" applyAlignment="1" applyProtection="1">
      <protection hidden="1"/>
    </xf>
    <xf numFmtId="0" fontId="52" fillId="2" borderId="5" xfId="936" applyFont="1" applyFill="1" applyBorder="1" applyAlignment="1" applyProtection="1">
      <protection hidden="1"/>
    </xf>
    <xf numFmtId="0" fontId="52" fillId="2" borderId="6" xfId="936" applyFont="1" applyFill="1" applyBorder="1" applyAlignment="1" applyProtection="1">
      <protection hidden="1"/>
    </xf>
    <xf numFmtId="0" fontId="52" fillId="2" borderId="8" xfId="936" applyFont="1" applyFill="1" applyBorder="1" applyAlignment="1" applyProtection="1">
      <protection hidden="1"/>
    </xf>
    <xf numFmtId="0" fontId="56" fillId="30" borderId="1" xfId="936" applyFont="1" applyFill="1" applyBorder="1" applyAlignment="1" applyProtection="1">
      <alignment horizontal="center"/>
      <protection hidden="1"/>
    </xf>
    <xf numFmtId="49" fontId="52" fillId="2" borderId="1" xfId="936" applyNumberFormat="1" applyFont="1" applyFill="1" applyBorder="1" applyAlignment="1" applyProtection="1">
      <alignment horizontal="center" vertical="top"/>
      <protection hidden="1"/>
    </xf>
    <xf numFmtId="0" fontId="57" fillId="31" borderId="1" xfId="936" applyFont="1" applyFill="1" applyBorder="1" applyAlignment="1" applyProtection="1">
      <alignment horizontal="center" vertical="center" wrapText="1"/>
      <protection hidden="1"/>
    </xf>
    <xf numFmtId="0" fontId="57" fillId="31" borderId="23" xfId="936" applyFont="1" applyFill="1" applyBorder="1" applyAlignment="1" applyProtection="1">
      <alignment horizontal="center" vertical="center" wrapText="1"/>
      <protection hidden="1"/>
    </xf>
    <xf numFmtId="0" fontId="52" fillId="2" borderId="0" xfId="936" applyFont="1" applyFill="1" applyAlignment="1" applyProtection="1">
      <alignment horizontal="right"/>
      <protection hidden="1"/>
    </xf>
    <xf numFmtId="0" fontId="58" fillId="26" borderId="0" xfId="936" applyFont="1" applyFill="1" applyBorder="1" applyAlignment="1" applyProtection="1">
      <protection hidden="1"/>
    </xf>
    <xf numFmtId="0" fontId="57" fillId="26" borderId="7" xfId="936" applyFont="1" applyFill="1" applyBorder="1" applyAlignment="1" applyProtection="1">
      <protection hidden="1"/>
    </xf>
    <xf numFmtId="0" fontId="57" fillId="26" borderId="0" xfId="936" applyFont="1" applyFill="1" applyBorder="1" applyAlignment="1" applyProtection="1">
      <protection hidden="1"/>
    </xf>
    <xf numFmtId="0" fontId="55" fillId="31" borderId="1" xfId="0" applyFont="1" applyFill="1" applyBorder="1" applyAlignment="1" applyProtection="1">
      <alignment horizontal="center"/>
      <protection hidden="1"/>
    </xf>
    <xf numFmtId="0" fontId="55" fillId="31" borderId="1" xfId="0" applyFont="1" applyFill="1" applyBorder="1" applyAlignment="1" applyProtection="1">
      <protection hidden="1"/>
    </xf>
    <xf numFmtId="180" fontId="55" fillId="31" borderId="1" xfId="0" applyNumberFormat="1" applyFont="1" applyFill="1" applyBorder="1" applyAlignment="1" applyProtection="1">
      <alignment vertical="center" wrapText="1"/>
      <protection hidden="1"/>
    </xf>
    <xf numFmtId="179" fontId="55" fillId="31" borderId="1" xfId="949" applyNumberFormat="1" applyFont="1" applyFill="1" applyBorder="1" applyAlignment="1" applyProtection="1">
      <alignment vertical="center" wrapText="1"/>
      <protection hidden="1"/>
    </xf>
    <xf numFmtId="0" fontId="55" fillId="27" borderId="9" xfId="0" applyFont="1" applyFill="1" applyBorder="1" applyAlignment="1" applyProtection="1">
      <alignment horizontal="center" vertical="center"/>
      <protection hidden="1"/>
    </xf>
    <xf numFmtId="0" fontId="55" fillId="28" borderId="9" xfId="936" applyFont="1" applyFill="1" applyBorder="1" applyAlignment="1" applyProtection="1">
      <alignment horizontal="center"/>
      <protection hidden="1"/>
    </xf>
    <xf numFmtId="0" fontId="52" fillId="2" borderId="4" xfId="0" applyFont="1" applyFill="1" applyBorder="1" applyAlignment="1" applyProtection="1">
      <alignment horizontal="center"/>
      <protection hidden="1"/>
    </xf>
    <xf numFmtId="0" fontId="57" fillId="26" borderId="9" xfId="936" applyFont="1" applyFill="1" applyBorder="1" applyAlignment="1" applyProtection="1">
      <alignment horizontal="center"/>
      <protection hidden="1"/>
    </xf>
    <xf numFmtId="0" fontId="52" fillId="2" borderId="9" xfId="0" applyFont="1" applyFill="1" applyBorder="1" applyAlignment="1" applyProtection="1">
      <alignment horizontal="center"/>
      <protection hidden="1"/>
    </xf>
    <xf numFmtId="0" fontId="52" fillId="2" borderId="9" xfId="0" applyFont="1" applyFill="1" applyBorder="1" applyAlignment="1" applyProtection="1">
      <alignment horizontal="center" vertical="center"/>
      <protection hidden="1"/>
    </xf>
    <xf numFmtId="0" fontId="52" fillId="2" borderId="9" xfId="936" applyFont="1" applyFill="1" applyBorder="1" applyAlignment="1" applyProtection="1">
      <alignment horizontal="center"/>
      <protection hidden="1"/>
    </xf>
    <xf numFmtId="0" fontId="59" fillId="2" borderId="0" xfId="0" applyFont="1" applyFill="1" applyAlignment="1" applyProtection="1"/>
    <xf numFmtId="0" fontId="59" fillId="2" borderId="7" xfId="0" applyFont="1" applyFill="1" applyBorder="1" applyAlignment="1" applyProtection="1">
      <protection hidden="1"/>
    </xf>
    <xf numFmtId="0" fontId="59" fillId="2" borderId="0" xfId="0" applyFont="1" applyFill="1" applyAlignment="1" applyProtection="1">
      <alignment horizontal="center"/>
    </xf>
    <xf numFmtId="0" fontId="60" fillId="0" borderId="0" xfId="0" applyFont="1" applyAlignment="1">
      <alignment horizontal="justify" vertical="center"/>
    </xf>
    <xf numFmtId="0" fontId="52" fillId="2" borderId="0" xfId="936" applyFont="1" applyFill="1" applyBorder="1" applyAlignment="1" applyProtection="1">
      <protection hidden="1"/>
    </xf>
    <xf numFmtId="0" fontId="52" fillId="0" borderId="1" xfId="0" applyFont="1" applyFill="1" applyBorder="1" applyAlignment="1" applyProtection="1">
      <alignment horizontal="left" vertical="center" indent="1"/>
      <protection hidden="1"/>
    </xf>
    <xf numFmtId="180" fontId="52" fillId="29" borderId="1" xfId="936" applyNumberFormat="1" applyFont="1" applyFill="1" applyBorder="1" applyAlignment="1" applyProtection="1">
      <protection hidden="1"/>
    </xf>
    <xf numFmtId="180" fontId="52" fillId="2" borderId="1" xfId="936" applyNumberFormat="1" applyFont="1" applyFill="1" applyBorder="1" applyAlignment="1" applyProtection="1">
      <protection hidden="1"/>
    </xf>
    <xf numFmtId="0" fontId="63" fillId="0" borderId="1" xfId="0" applyFont="1" applyFill="1" applyBorder="1" applyAlignment="1" applyProtection="1">
      <alignment horizontal="left" vertical="center" indent="1"/>
      <protection hidden="1"/>
    </xf>
    <xf numFmtId="0" fontId="64" fillId="26" borderId="1" xfId="0" applyFont="1" applyFill="1" applyBorder="1" applyAlignment="1" applyProtection="1">
      <alignment horizontal="left" vertical="center" indent="1"/>
      <protection hidden="1"/>
    </xf>
    <xf numFmtId="3" fontId="64" fillId="26" borderId="1" xfId="0" applyNumberFormat="1" applyFont="1" applyFill="1" applyBorder="1" applyAlignment="1" applyProtection="1">
      <alignment horizontal="center" vertical="center"/>
      <protection locked="0" hidden="1"/>
    </xf>
    <xf numFmtId="3" fontId="64" fillId="29" borderId="1" xfId="0" applyNumberFormat="1" applyFont="1" applyFill="1" applyBorder="1" applyAlignment="1" applyProtection="1">
      <alignment horizontal="center" vertical="center"/>
      <protection locked="0" hidden="1"/>
    </xf>
    <xf numFmtId="0" fontId="52" fillId="2" borderId="7" xfId="0" applyFont="1" applyFill="1" applyBorder="1" applyAlignment="1" applyProtection="1">
      <protection hidden="1"/>
    </xf>
    <xf numFmtId="0" fontId="65" fillId="2" borderId="0" xfId="0" applyFont="1" applyFill="1" applyAlignment="1" applyProtection="1">
      <alignment horizontal="center"/>
      <protection hidden="1"/>
    </xf>
    <xf numFmtId="0" fontId="65" fillId="2" borderId="9" xfId="0" applyFont="1" applyFill="1" applyBorder="1" applyAlignment="1" applyProtection="1">
      <alignment horizontal="center" vertical="center" wrapText="1"/>
    </xf>
    <xf numFmtId="0" fontId="65" fillId="2" borderId="8" xfId="0" applyFont="1" applyFill="1" applyBorder="1" applyAlignment="1" applyProtection="1">
      <alignment horizontal="center"/>
      <protection hidden="1"/>
    </xf>
    <xf numFmtId="0" fontId="65" fillId="2" borderId="0" xfId="0" applyFont="1" applyFill="1" applyAlignment="1" applyProtection="1">
      <alignment horizontal="center"/>
    </xf>
    <xf numFmtId="0" fontId="55" fillId="26" borderId="1" xfId="936" applyFont="1" applyFill="1" applyBorder="1" applyAlignment="1" applyProtection="1">
      <protection hidden="1"/>
    </xf>
    <xf numFmtId="0" fontId="52" fillId="2" borderId="2" xfId="0" applyFont="1" applyFill="1" applyBorder="1" applyAlignment="1" applyProtection="1">
      <protection hidden="1"/>
    </xf>
    <xf numFmtId="0" fontId="52" fillId="27" borderId="3" xfId="0" applyFont="1" applyFill="1" applyBorder="1" applyProtection="1">
      <protection hidden="1"/>
    </xf>
    <xf numFmtId="0" fontId="52" fillId="2" borderId="3" xfId="0" applyFont="1" applyFill="1" applyBorder="1" applyProtection="1">
      <protection hidden="1"/>
    </xf>
    <xf numFmtId="3" fontId="52" fillId="2" borderId="0" xfId="0" applyNumberFormat="1" applyFont="1" applyFill="1" applyAlignment="1" applyProtection="1">
      <alignment horizontal="left"/>
      <protection hidden="1"/>
    </xf>
    <xf numFmtId="0" fontId="55" fillId="27" borderId="7" xfId="0" applyFont="1" applyFill="1" applyBorder="1" applyAlignment="1" applyProtection="1">
      <alignment horizontal="center" vertical="center"/>
      <protection hidden="1"/>
    </xf>
    <xf numFmtId="0" fontId="55" fillId="27" borderId="0" xfId="0" applyFont="1" applyFill="1" applyBorder="1" applyAlignment="1" applyProtection="1">
      <alignment horizontal="center" vertical="center"/>
      <protection hidden="1"/>
    </xf>
    <xf numFmtId="0" fontId="57" fillId="2" borderId="0" xfId="0" applyFont="1" applyFill="1" applyAlignment="1" applyProtection="1">
      <alignment vertical="center"/>
      <protection hidden="1"/>
    </xf>
    <xf numFmtId="0" fontId="52" fillId="2" borderId="0" xfId="0" applyFont="1" applyFill="1" applyBorder="1" applyProtection="1">
      <protection hidden="1"/>
    </xf>
    <xf numFmtId="3" fontId="52" fillId="2" borderId="0" xfId="0" applyNumberFormat="1" applyFont="1" applyFill="1" applyAlignment="1" applyProtection="1"/>
    <xf numFmtId="0" fontId="55" fillId="26" borderId="1" xfId="0" applyFont="1" applyFill="1" applyBorder="1" applyAlignment="1" applyProtection="1">
      <alignment horizontal="left" vertical="center" indent="1"/>
      <protection hidden="1"/>
    </xf>
    <xf numFmtId="3" fontId="55" fillId="26" borderId="1" xfId="0" applyNumberFormat="1" applyFont="1" applyFill="1" applyBorder="1" applyAlignment="1" applyProtection="1">
      <alignment horizontal="center" vertical="center"/>
      <protection locked="0" hidden="1"/>
    </xf>
    <xf numFmtId="0" fontId="52" fillId="2" borderId="9" xfId="0" applyFont="1" applyFill="1" applyBorder="1" applyAlignment="1" applyProtection="1">
      <alignment horizontal="center" vertical="center" wrapText="1"/>
    </xf>
    <xf numFmtId="3" fontId="52" fillId="0" borderId="22" xfId="0" applyNumberFormat="1" applyFont="1" applyFill="1" applyBorder="1" applyAlignment="1" applyProtection="1">
      <alignment horizontal="center" vertical="center"/>
      <protection locked="0"/>
    </xf>
    <xf numFmtId="3" fontId="55" fillId="29" borderId="1" xfId="0" applyNumberFormat="1" applyFont="1" applyFill="1" applyBorder="1" applyAlignment="1" applyProtection="1">
      <alignment horizontal="center" vertical="center"/>
      <protection locked="0" hidden="1"/>
    </xf>
    <xf numFmtId="9" fontId="55" fillId="29" borderId="22" xfId="949" applyFont="1" applyFill="1" applyBorder="1" applyAlignment="1" applyProtection="1">
      <alignment horizontal="center" vertical="center"/>
      <protection locked="0" hidden="1"/>
    </xf>
    <xf numFmtId="0" fontId="52" fillId="2" borderId="0" xfId="0" applyFont="1" applyFill="1" applyBorder="1" applyAlignment="1" applyProtection="1">
      <protection hidden="1"/>
    </xf>
    <xf numFmtId="3" fontId="52" fillId="2" borderId="0" xfId="0" applyNumberFormat="1" applyFont="1" applyFill="1" applyBorder="1" applyAlignment="1" applyProtection="1">
      <alignment horizontal="center"/>
      <protection hidden="1"/>
    </xf>
    <xf numFmtId="0" fontId="52" fillId="2" borderId="7" xfId="0" applyFont="1" applyFill="1" applyBorder="1" applyAlignment="1" applyProtection="1">
      <alignment vertical="center"/>
      <protection hidden="1"/>
    </xf>
    <xf numFmtId="0" fontId="57" fillId="2" borderId="0" xfId="0" applyFont="1" applyFill="1" applyBorder="1" applyAlignment="1" applyProtection="1">
      <alignment vertical="center"/>
      <protection hidden="1"/>
    </xf>
    <xf numFmtId="0" fontId="52" fillId="2" borderId="0" xfId="0" applyFont="1" applyFill="1" applyBorder="1" applyAlignment="1" applyProtection="1">
      <alignment vertical="center"/>
      <protection hidden="1"/>
    </xf>
    <xf numFmtId="0" fontId="52" fillId="2" borderId="2" xfId="936" applyFont="1" applyFill="1" applyBorder="1" applyAlignment="1" applyProtection="1">
      <protection hidden="1"/>
    </xf>
    <xf numFmtId="0" fontId="52" fillId="2" borderId="3" xfId="936" applyFont="1" applyFill="1" applyBorder="1" applyAlignment="1" applyProtection="1">
      <protection hidden="1"/>
    </xf>
    <xf numFmtId="0" fontId="52" fillId="2" borderId="4" xfId="936" applyFont="1" applyFill="1" applyBorder="1" applyAlignment="1" applyProtection="1">
      <protection hidden="1"/>
    </xf>
    <xf numFmtId="0" fontId="57" fillId="26" borderId="9" xfId="936" applyFont="1" applyFill="1" applyBorder="1" applyAlignment="1" applyProtection="1">
      <protection hidden="1"/>
    </xf>
    <xf numFmtId="0" fontId="55" fillId="2" borderId="1" xfId="936" applyFont="1" applyFill="1" applyBorder="1" applyAlignment="1" applyProtection="1">
      <alignment horizontal="center" vertical="top"/>
      <protection hidden="1"/>
    </xf>
    <xf numFmtId="0" fontId="55" fillId="2" borderId="1" xfId="936" applyFont="1" applyFill="1" applyBorder="1" applyAlignment="1" applyProtection="1">
      <alignment vertical="top"/>
      <protection hidden="1"/>
    </xf>
    <xf numFmtId="3" fontId="55" fillId="0" borderId="1" xfId="936" applyNumberFormat="1" applyFont="1" applyFill="1" applyBorder="1" applyAlignment="1" applyProtection="1">
      <alignment vertical="top"/>
      <protection hidden="1"/>
    </xf>
    <xf numFmtId="3" fontId="52" fillId="0" borderId="1" xfId="936" applyNumberFormat="1" applyFont="1" applyFill="1" applyBorder="1" applyAlignment="1" applyProtection="1">
      <alignment vertical="top"/>
      <protection hidden="1"/>
    </xf>
    <xf numFmtId="3" fontId="55" fillId="29" borderId="1" xfId="936" applyNumberFormat="1" applyFont="1" applyFill="1" applyBorder="1" applyAlignment="1" applyProtection="1">
      <alignment vertical="top"/>
      <protection locked="0" hidden="1"/>
    </xf>
    <xf numFmtId="3" fontId="55" fillId="0" borderId="1" xfId="936" applyNumberFormat="1" applyFont="1" applyFill="1" applyBorder="1" applyAlignment="1" applyProtection="1">
      <alignment vertical="top"/>
      <protection locked="0" hidden="1"/>
    </xf>
    <xf numFmtId="0" fontId="66" fillId="2" borderId="7" xfId="936" applyFont="1" applyFill="1" applyBorder="1" applyAlignment="1" applyProtection="1">
      <protection hidden="1"/>
    </xf>
    <xf numFmtId="0" fontId="66" fillId="2" borderId="1" xfId="936" applyFont="1" applyFill="1" applyBorder="1" applyAlignment="1" applyProtection="1">
      <alignment horizontal="center" vertical="top"/>
      <protection hidden="1"/>
    </xf>
    <xf numFmtId="0" fontId="66" fillId="2" borderId="1" xfId="936" applyFont="1" applyFill="1" applyBorder="1" applyAlignment="1" applyProtection="1">
      <alignment horizontal="left" vertical="top" indent="3"/>
      <protection hidden="1"/>
    </xf>
    <xf numFmtId="3" fontId="66" fillId="29" borderId="1" xfId="0" applyNumberFormat="1" applyFont="1" applyFill="1" applyBorder="1" applyAlignment="1" applyProtection="1">
      <alignment vertical="center"/>
      <protection locked="0" hidden="1"/>
    </xf>
    <xf numFmtId="3" fontId="66" fillId="0" borderId="1" xfId="936" applyNumberFormat="1" applyFont="1" applyFill="1" applyBorder="1" applyAlignment="1" applyProtection="1">
      <alignment vertical="top"/>
      <protection hidden="1"/>
    </xf>
    <xf numFmtId="0" fontId="66" fillId="2" borderId="9" xfId="936" applyFont="1" applyFill="1" applyBorder="1" applyAlignment="1" applyProtection="1">
      <protection hidden="1"/>
    </xf>
    <xf numFmtId="0" fontId="66" fillId="2" borderId="0" xfId="936" applyFont="1" applyFill="1" applyAlignment="1" applyProtection="1">
      <alignment horizontal="center"/>
    </xf>
    <xf numFmtId="0" fontId="66" fillId="2" borderId="0" xfId="936" applyFont="1" applyFill="1" applyAlignment="1" applyProtection="1">
      <protection hidden="1"/>
    </xf>
    <xf numFmtId="0" fontId="57" fillId="31" borderId="1" xfId="936" applyFont="1" applyFill="1" applyBorder="1" applyAlignment="1" applyProtection="1">
      <alignment horizontal="left" vertical="center" wrapText="1"/>
      <protection hidden="1"/>
    </xf>
    <xf numFmtId="3" fontId="57" fillId="31" borderId="1" xfId="936" applyNumberFormat="1" applyFont="1" applyFill="1" applyBorder="1" applyAlignment="1" applyProtection="1">
      <protection hidden="1"/>
    </xf>
    <xf numFmtId="0" fontId="52" fillId="29" borderId="1" xfId="936" applyFont="1" applyFill="1" applyBorder="1" applyAlignment="1" applyProtection="1">
      <alignment horizontal="center"/>
      <protection hidden="1"/>
    </xf>
    <xf numFmtId="0" fontId="52" fillId="2" borderId="0" xfId="936" applyFont="1" applyFill="1" applyAlignment="1" applyProtection="1">
      <alignment vertical="top" wrapText="1"/>
      <protection hidden="1"/>
    </xf>
    <xf numFmtId="0" fontId="52" fillId="2" borderId="2" xfId="936" applyFont="1" applyFill="1" applyBorder="1" applyAlignment="1" applyProtection="1">
      <alignment vertical="top" wrapText="1"/>
      <protection hidden="1"/>
    </xf>
    <xf numFmtId="0" fontId="52" fillId="2" borderId="3" xfId="936" applyFont="1" applyFill="1" applyBorder="1" applyAlignment="1" applyProtection="1">
      <alignment vertical="top" wrapText="1"/>
      <protection hidden="1"/>
    </xf>
    <xf numFmtId="0" fontId="52" fillId="2" borderId="4" xfId="936" applyFont="1" applyFill="1" applyBorder="1" applyAlignment="1" applyProtection="1">
      <alignment vertical="top" wrapText="1"/>
      <protection hidden="1"/>
    </xf>
    <xf numFmtId="0" fontId="57" fillId="31" borderId="7" xfId="936" applyFont="1" applyFill="1" applyBorder="1" applyAlignment="1" applyProtection="1">
      <alignment vertical="top" wrapText="1"/>
      <protection hidden="1"/>
    </xf>
    <xf numFmtId="0" fontId="58" fillId="31" borderId="0" xfId="936" applyFont="1" applyFill="1" applyBorder="1" applyAlignment="1" applyProtection="1">
      <alignment vertical="top"/>
      <protection hidden="1"/>
    </xf>
    <xf numFmtId="0" fontId="58" fillId="31" borderId="0" xfId="936" applyFont="1" applyFill="1" applyBorder="1" applyAlignment="1" applyProtection="1">
      <alignment vertical="top" wrapText="1"/>
      <protection hidden="1"/>
    </xf>
    <xf numFmtId="0" fontId="57" fillId="31" borderId="0" xfId="936" applyFont="1" applyFill="1" applyBorder="1" applyAlignment="1" applyProtection="1">
      <alignment vertical="top" wrapText="1"/>
      <protection hidden="1"/>
    </xf>
    <xf numFmtId="0" fontId="57" fillId="31" borderId="9" xfId="936" applyFont="1" applyFill="1" applyBorder="1" applyAlignment="1" applyProtection="1">
      <alignment vertical="top" wrapText="1"/>
      <protection hidden="1"/>
    </xf>
    <xf numFmtId="0" fontId="52" fillId="2" borderId="7" xfId="936" applyFont="1" applyFill="1" applyBorder="1" applyAlignment="1" applyProtection="1">
      <alignment vertical="top" wrapText="1"/>
      <protection hidden="1"/>
    </xf>
    <xf numFmtId="0" fontId="52" fillId="2" borderId="0" xfId="936" applyFont="1" applyFill="1" applyBorder="1" applyAlignment="1" applyProtection="1">
      <alignment vertical="top" wrapText="1"/>
      <protection hidden="1"/>
    </xf>
    <xf numFmtId="0" fontId="52" fillId="2" borderId="9" xfId="936" applyFont="1" applyFill="1" applyBorder="1" applyAlignment="1" applyProtection="1">
      <alignment vertical="top" wrapText="1"/>
      <protection hidden="1"/>
    </xf>
    <xf numFmtId="0" fontId="52" fillId="2" borderId="1" xfId="936" applyFont="1" applyFill="1" applyBorder="1" applyAlignment="1" applyProtection="1">
      <alignment horizontal="center" vertical="top"/>
      <protection hidden="1"/>
    </xf>
    <xf numFmtId="0" fontId="52" fillId="2" borderId="1" xfId="936" applyFont="1" applyFill="1" applyBorder="1" applyAlignment="1" applyProtection="1">
      <alignment vertical="top" wrapText="1"/>
      <protection hidden="1"/>
    </xf>
    <xf numFmtId="3" fontId="52" fillId="29" borderId="1" xfId="936" applyNumberFormat="1" applyFont="1" applyFill="1" applyBorder="1" applyAlignment="1" applyProtection="1">
      <alignment vertical="top" wrapText="1"/>
      <protection locked="0" hidden="1"/>
    </xf>
    <xf numFmtId="3" fontId="52" fillId="0" borderId="1" xfId="936" applyNumberFormat="1" applyFont="1" applyFill="1" applyBorder="1" applyAlignment="1" applyProtection="1">
      <alignment vertical="top" wrapText="1"/>
      <protection hidden="1"/>
    </xf>
    <xf numFmtId="0" fontId="52" fillId="2" borderId="0" xfId="936" applyFont="1" applyFill="1" applyAlignment="1" applyProtection="1">
      <alignment horizontal="center" vertical="top" wrapText="1"/>
    </xf>
    <xf numFmtId="0" fontId="67" fillId="2" borderId="7" xfId="936" applyFont="1" applyFill="1" applyBorder="1" applyAlignment="1" applyProtection="1">
      <alignment vertical="top" wrapText="1"/>
      <protection hidden="1"/>
    </xf>
    <xf numFmtId="0" fontId="67" fillId="2" borderId="9" xfId="936" applyFont="1" applyFill="1" applyBorder="1" applyAlignment="1" applyProtection="1">
      <alignment vertical="top" wrapText="1"/>
      <protection hidden="1"/>
    </xf>
    <xf numFmtId="0" fontId="67" fillId="2" borderId="0" xfId="936" applyFont="1" applyFill="1" applyAlignment="1" applyProtection="1">
      <alignment horizontal="center" vertical="top" wrapText="1"/>
    </xf>
    <xf numFmtId="0" fontId="67" fillId="2" borderId="0" xfId="936" applyFont="1" applyFill="1" applyAlignment="1" applyProtection="1">
      <alignment vertical="top" wrapText="1"/>
      <protection hidden="1"/>
    </xf>
    <xf numFmtId="0" fontId="52" fillId="2" borderId="5" xfId="936" applyFont="1" applyFill="1" applyBorder="1" applyAlignment="1" applyProtection="1">
      <alignment vertical="top" wrapText="1"/>
      <protection hidden="1"/>
    </xf>
    <xf numFmtId="0" fontId="52" fillId="2" borderId="6" xfId="936" applyFont="1" applyFill="1" applyBorder="1" applyAlignment="1" applyProtection="1">
      <alignment vertical="top" wrapText="1"/>
      <protection hidden="1"/>
    </xf>
    <xf numFmtId="0" fontId="52" fillId="2" borderId="8" xfId="936" applyFont="1" applyFill="1" applyBorder="1" applyAlignment="1" applyProtection="1">
      <alignment vertical="top" wrapText="1"/>
      <protection hidden="1"/>
    </xf>
    <xf numFmtId="0" fontId="55" fillId="2" borderId="7" xfId="936" applyFont="1" applyFill="1" applyBorder="1" applyAlignment="1" applyProtection="1">
      <alignment vertical="top" wrapText="1"/>
      <protection hidden="1"/>
    </xf>
    <xf numFmtId="0" fontId="55" fillId="26" borderId="1" xfId="936" applyFont="1" applyFill="1" applyBorder="1" applyAlignment="1" applyProtection="1">
      <alignment horizontal="center" vertical="top"/>
      <protection hidden="1"/>
    </xf>
    <xf numFmtId="0" fontId="55" fillId="26" borderId="1" xfId="936" applyFont="1" applyFill="1" applyBorder="1" applyAlignment="1" applyProtection="1">
      <alignment vertical="top" wrapText="1"/>
      <protection hidden="1"/>
    </xf>
    <xf numFmtId="3" fontId="55" fillId="26" borderId="1" xfId="936" applyNumberFormat="1" applyFont="1" applyFill="1" applyBorder="1" applyAlignment="1" applyProtection="1">
      <alignment vertical="top" wrapText="1"/>
      <protection locked="0" hidden="1"/>
    </xf>
    <xf numFmtId="3" fontId="55" fillId="26" borderId="1" xfId="936" applyNumberFormat="1" applyFont="1" applyFill="1" applyBorder="1" applyAlignment="1" applyProtection="1">
      <alignment vertical="top" wrapText="1"/>
      <protection hidden="1"/>
    </xf>
    <xf numFmtId="0" fontId="55" fillId="2" borderId="9" xfId="936" applyFont="1" applyFill="1" applyBorder="1" applyAlignment="1" applyProtection="1">
      <alignment vertical="top" wrapText="1"/>
      <protection hidden="1"/>
    </xf>
    <xf numFmtId="0" fontId="55" fillId="2" borderId="0" xfId="936" applyFont="1" applyFill="1" applyAlignment="1" applyProtection="1">
      <alignment horizontal="center" vertical="top" wrapText="1"/>
    </xf>
    <xf numFmtId="0" fontId="55" fillId="2" borderId="0" xfId="936" applyFont="1" applyFill="1" applyAlignment="1" applyProtection="1">
      <alignment vertical="top" wrapText="1"/>
      <protection hidden="1"/>
    </xf>
    <xf numFmtId="3" fontId="55" fillId="2" borderId="0" xfId="936" applyNumberFormat="1" applyFont="1" applyFill="1" applyAlignment="1" applyProtection="1">
      <alignment vertical="top" wrapText="1"/>
      <protection hidden="1"/>
    </xf>
    <xf numFmtId="3" fontId="52" fillId="2" borderId="0" xfId="936" applyNumberFormat="1" applyFont="1" applyFill="1" applyAlignment="1" applyProtection="1">
      <alignment vertical="top" wrapText="1"/>
      <protection hidden="1"/>
    </xf>
    <xf numFmtId="0" fontId="57" fillId="31" borderId="7" xfId="936" applyFont="1" applyFill="1" applyBorder="1" applyAlignment="1" applyProtection="1">
      <protection hidden="1"/>
    </xf>
    <xf numFmtId="0" fontId="58" fillId="31" borderId="0" xfId="936" applyFont="1" applyFill="1" applyBorder="1" applyAlignment="1" applyProtection="1">
      <protection hidden="1"/>
    </xf>
    <xf numFmtId="0" fontId="57" fillId="31" borderId="0" xfId="936" applyFont="1" applyFill="1" applyBorder="1" applyAlignment="1" applyProtection="1">
      <protection hidden="1"/>
    </xf>
    <xf numFmtId="0" fontId="57" fillId="31" borderId="9" xfId="936" applyFont="1" applyFill="1" applyBorder="1" applyAlignment="1" applyProtection="1">
      <protection hidden="1"/>
    </xf>
    <xf numFmtId="0" fontId="55" fillId="26" borderId="1" xfId="936" applyFont="1" applyFill="1" applyBorder="1" applyAlignment="1" applyProtection="1">
      <alignment horizontal="center"/>
      <protection hidden="1"/>
    </xf>
    <xf numFmtId="180" fontId="55" fillId="26" borderId="1" xfId="936" applyNumberFormat="1" applyFont="1" applyFill="1" applyBorder="1" applyAlignment="1" applyProtection="1">
      <protection hidden="1"/>
    </xf>
    <xf numFmtId="10" fontId="55" fillId="26" borderId="1" xfId="936" applyNumberFormat="1" applyFont="1" applyFill="1" applyBorder="1" applyAlignment="1" applyProtection="1">
      <protection hidden="1"/>
    </xf>
    <xf numFmtId="10" fontId="52" fillId="2" borderId="1" xfId="949" applyNumberFormat="1" applyFont="1" applyFill="1" applyBorder="1" applyAlignment="1" applyProtection="1">
      <protection hidden="1"/>
    </xf>
    <xf numFmtId="180" fontId="52" fillId="2" borderId="0" xfId="936" applyNumberFormat="1" applyFont="1" applyFill="1" applyBorder="1" applyAlignment="1" applyProtection="1">
      <protection hidden="1"/>
    </xf>
    <xf numFmtId="0" fontId="67" fillId="2" borderId="7" xfId="0" applyFont="1" applyFill="1" applyBorder="1" applyAlignment="1" applyProtection="1">
      <alignment horizontal="center"/>
      <protection hidden="1"/>
    </xf>
    <xf numFmtId="3" fontId="57" fillId="31" borderId="1" xfId="0" applyNumberFormat="1" applyFont="1" applyFill="1" applyBorder="1" applyAlignment="1" applyProtection="1">
      <alignment horizontal="center" vertical="center"/>
      <protection hidden="1"/>
    </xf>
    <xf numFmtId="0" fontId="67" fillId="2" borderId="9" xfId="0" applyFont="1" applyFill="1" applyBorder="1" applyAlignment="1" applyProtection="1">
      <alignment horizontal="center"/>
      <protection hidden="1"/>
    </xf>
    <xf numFmtId="0" fontId="67" fillId="2" borderId="0" xfId="0" applyFont="1" applyFill="1" applyBorder="1" applyAlignment="1" applyProtection="1">
      <alignment horizontal="center"/>
      <protection hidden="1"/>
    </xf>
    <xf numFmtId="0" fontId="67" fillId="2" borderId="0" xfId="936" applyFont="1" applyFill="1" applyAlignment="1" applyProtection="1">
      <protection hidden="1"/>
    </xf>
    <xf numFmtId="0" fontId="67" fillId="2" borderId="7" xfId="0" applyFont="1" applyFill="1" applyBorder="1" applyAlignment="1" applyProtection="1">
      <protection hidden="1"/>
    </xf>
    <xf numFmtId="0" fontId="57" fillId="31" borderId="1" xfId="0" applyFont="1" applyFill="1" applyBorder="1" applyAlignment="1" applyProtection="1">
      <alignment vertical="center"/>
      <protection hidden="1"/>
    </xf>
    <xf numFmtId="4" fontId="55" fillId="29" borderId="1" xfId="0" applyNumberFormat="1" applyFont="1" applyFill="1" applyBorder="1" applyAlignment="1" applyProtection="1">
      <alignment vertical="center"/>
      <protection hidden="1"/>
    </xf>
    <xf numFmtId="4" fontId="55" fillId="31" borderId="1" xfId="0" applyNumberFormat="1" applyFont="1" applyFill="1" applyBorder="1" applyAlignment="1" applyProtection="1">
      <alignment vertical="center"/>
      <protection hidden="1"/>
    </xf>
    <xf numFmtId="0" fontId="67" fillId="2" borderId="9" xfId="0" applyFont="1" applyFill="1" applyBorder="1" applyAlignment="1" applyProtection="1">
      <protection hidden="1"/>
    </xf>
    <xf numFmtId="0" fontId="67" fillId="2" borderId="0" xfId="0" applyFont="1" applyFill="1" applyBorder="1" applyProtection="1">
      <protection hidden="1"/>
    </xf>
    <xf numFmtId="9" fontId="55" fillId="26" borderId="1" xfId="950" applyFont="1" applyFill="1" applyBorder="1" applyAlignment="1" applyProtection="1">
      <alignment vertical="center"/>
      <protection hidden="1"/>
    </xf>
    <xf numFmtId="0" fontId="52" fillId="2" borderId="1" xfId="0" applyFont="1" applyFill="1" applyBorder="1" applyAlignment="1" applyProtection="1">
      <alignment horizontal="center" vertical="center"/>
      <protection hidden="1"/>
    </xf>
    <xf numFmtId="3" fontId="55" fillId="0" borderId="1" xfId="0" applyNumberFormat="1" applyFont="1" applyFill="1" applyBorder="1" applyAlignment="1" applyProtection="1">
      <alignment vertical="center"/>
      <protection hidden="1"/>
    </xf>
    <xf numFmtId="3" fontId="52" fillId="0" borderId="1" xfId="0" applyNumberFormat="1" applyFont="1" applyFill="1" applyBorder="1" applyAlignment="1" applyProtection="1">
      <alignment vertical="center"/>
      <protection hidden="1"/>
    </xf>
    <xf numFmtId="0" fontId="52" fillId="2" borderId="9" xfId="0" applyFont="1" applyFill="1" applyBorder="1" applyAlignment="1" applyProtection="1">
      <protection hidden="1"/>
    </xf>
    <xf numFmtId="0" fontId="55" fillId="2" borderId="7" xfId="0" applyFont="1" applyFill="1" applyBorder="1" applyAlignment="1" applyProtection="1">
      <protection hidden="1"/>
    </xf>
    <xf numFmtId="0" fontId="55" fillId="31" borderId="1" xfId="0" applyFont="1" applyFill="1" applyBorder="1" applyAlignment="1" applyProtection="1">
      <alignment horizontal="center" vertical="center"/>
      <protection hidden="1"/>
    </xf>
    <xf numFmtId="0" fontId="55" fillId="31" borderId="1" xfId="0" applyFont="1" applyFill="1" applyBorder="1" applyAlignment="1" applyProtection="1">
      <alignment vertical="center"/>
      <protection hidden="1"/>
    </xf>
    <xf numFmtId="3" fontId="55" fillId="31" borderId="1" xfId="0" applyNumberFormat="1" applyFont="1" applyFill="1" applyBorder="1" applyAlignment="1" applyProtection="1">
      <alignment vertical="center"/>
      <protection hidden="1"/>
    </xf>
    <xf numFmtId="0" fontId="55" fillId="2" borderId="9" xfId="0" applyFont="1" applyFill="1" applyBorder="1" applyAlignment="1" applyProtection="1">
      <protection hidden="1"/>
    </xf>
    <xf numFmtId="0" fontId="55" fillId="2" borderId="0" xfId="0" applyFont="1" applyFill="1" applyBorder="1" applyProtection="1">
      <protection hidden="1"/>
    </xf>
    <xf numFmtId="0" fontId="55" fillId="2" borderId="0" xfId="936" applyFont="1" applyFill="1" applyAlignment="1" applyProtection="1">
      <protection hidden="1"/>
    </xf>
    <xf numFmtId="180" fontId="55" fillId="2" borderId="1" xfId="936" applyNumberFormat="1" applyFont="1" applyFill="1" applyBorder="1" applyAlignment="1" applyProtection="1">
      <protection hidden="1"/>
    </xf>
    <xf numFmtId="0" fontId="52" fillId="2" borderId="5" xfId="0" applyFont="1" applyFill="1" applyBorder="1" applyAlignment="1" applyProtection="1">
      <protection hidden="1"/>
    </xf>
    <xf numFmtId="0" fontId="52" fillId="2" borderId="6" xfId="0" applyFont="1" applyFill="1" applyBorder="1" applyAlignment="1" applyProtection="1">
      <protection hidden="1"/>
    </xf>
    <xf numFmtId="0" fontId="52" fillId="2" borderId="8" xfId="0" applyFont="1" applyFill="1" applyBorder="1" applyAlignment="1" applyProtection="1">
      <protection hidden="1"/>
    </xf>
    <xf numFmtId="0" fontId="52" fillId="30" borderId="1" xfId="936" applyFont="1" applyFill="1" applyBorder="1" applyAlignment="1" applyProtection="1">
      <alignment horizontal="center"/>
      <protection hidden="1"/>
    </xf>
    <xf numFmtId="0" fontId="52" fillId="2" borderId="1" xfId="936" applyFont="1" applyFill="1" applyBorder="1" applyAlignment="1" applyProtection="1">
      <alignment vertical="top"/>
      <protection hidden="1"/>
    </xf>
    <xf numFmtId="3" fontId="52" fillId="0" borderId="1" xfId="936" applyNumberFormat="1" applyFont="1" applyFill="1" applyBorder="1" applyAlignment="1" applyProtection="1">
      <alignment vertical="top"/>
      <protection locked="0" hidden="1"/>
    </xf>
    <xf numFmtId="179" fontId="52" fillId="0" borderId="1" xfId="949" applyNumberFormat="1" applyFont="1" applyFill="1" applyBorder="1" applyAlignment="1" applyProtection="1">
      <alignment vertical="top"/>
      <protection hidden="1"/>
    </xf>
    <xf numFmtId="3" fontId="52" fillId="29" borderId="1" xfId="936" applyNumberFormat="1" applyFont="1" applyFill="1" applyBorder="1" applyAlignment="1" applyProtection="1">
      <alignment vertical="top"/>
      <protection hidden="1"/>
    </xf>
    <xf numFmtId="179" fontId="52" fillId="29" borderId="1" xfId="949" applyNumberFormat="1" applyFont="1" applyFill="1" applyBorder="1" applyAlignment="1" applyProtection="1">
      <alignment vertical="top"/>
      <protection hidden="1"/>
    </xf>
    <xf numFmtId="0" fontId="67" fillId="2" borderId="7" xfId="936" applyFont="1" applyFill="1" applyBorder="1" applyAlignment="1" applyProtection="1">
      <protection hidden="1"/>
    </xf>
    <xf numFmtId="0" fontId="57" fillId="31" borderId="1" xfId="936" applyFont="1" applyFill="1" applyBorder="1" applyAlignment="1" applyProtection="1">
      <alignment horizontal="left" vertical="top" wrapText="1"/>
      <protection hidden="1"/>
    </xf>
    <xf numFmtId="3" fontId="57" fillId="31" borderId="1" xfId="936" applyNumberFormat="1" applyFont="1" applyFill="1" applyBorder="1" applyAlignment="1" applyProtection="1">
      <alignment vertical="top"/>
      <protection hidden="1"/>
    </xf>
    <xf numFmtId="0" fontId="67" fillId="2" borderId="9" xfId="936" applyFont="1" applyFill="1" applyBorder="1" applyAlignment="1" applyProtection="1">
      <protection hidden="1"/>
    </xf>
    <xf numFmtId="0" fontId="67" fillId="2" borderId="0" xfId="936" applyFont="1" applyFill="1" applyAlignment="1" applyProtection="1">
      <alignment horizontal="center"/>
    </xf>
    <xf numFmtId="49" fontId="55" fillId="31" borderId="1" xfId="936" applyNumberFormat="1" applyFont="1" applyFill="1" applyBorder="1" applyAlignment="1" applyProtection="1">
      <alignment horizontal="center" vertical="top"/>
      <protection hidden="1"/>
    </xf>
    <xf numFmtId="0" fontId="55" fillId="31" borderId="1" xfId="0" applyFont="1" applyFill="1" applyBorder="1" applyAlignment="1" applyProtection="1">
      <alignment horizontal="left" vertical="center"/>
      <protection hidden="1"/>
    </xf>
    <xf numFmtId="3" fontId="55" fillId="31" borderId="1" xfId="0" applyNumberFormat="1" applyFont="1" applyFill="1" applyBorder="1" applyAlignment="1" applyProtection="1">
      <alignment horizontal="right" vertical="center" wrapText="1" indent="1"/>
      <protection hidden="1"/>
    </xf>
    <xf numFmtId="3" fontId="52" fillId="31" borderId="1" xfId="0" applyNumberFormat="1" applyFont="1" applyFill="1" applyBorder="1" applyAlignment="1" applyProtection="1">
      <alignment horizontal="left" vertical="center" wrapText="1" indent="1"/>
      <protection hidden="1"/>
    </xf>
    <xf numFmtId="0" fontId="52" fillId="2" borderId="1" xfId="936" applyNumberFormat="1" applyFont="1" applyFill="1" applyBorder="1" applyAlignment="1" applyProtection="1">
      <alignment horizontal="center" vertical="top"/>
      <protection hidden="1"/>
    </xf>
    <xf numFmtId="0" fontId="52" fillId="32" borderId="1" xfId="936" applyFont="1" applyFill="1" applyBorder="1" applyAlignment="1" applyProtection="1">
      <alignment vertical="top"/>
      <protection hidden="1"/>
    </xf>
    <xf numFmtId="0" fontId="55" fillId="31" borderId="1" xfId="0" applyFont="1" applyFill="1" applyBorder="1" applyAlignment="1" applyProtection="1">
      <alignment horizontal="left" vertical="center" wrapText="1"/>
      <protection hidden="1"/>
    </xf>
    <xf numFmtId="0" fontId="52" fillId="31" borderId="1" xfId="0" applyFont="1" applyFill="1" applyBorder="1" applyAlignment="1" applyProtection="1">
      <alignment horizontal="center"/>
      <protection hidden="1"/>
    </xf>
    <xf numFmtId="0" fontId="55" fillId="0" borderId="0" xfId="936" applyFont="1" applyAlignment="1"/>
    <xf numFmtId="0" fontId="52" fillId="0" borderId="0" xfId="936" applyFont="1" applyAlignment="1"/>
    <xf numFmtId="0" fontId="52" fillId="0" borderId="1" xfId="936" applyFont="1" applyBorder="1" applyAlignment="1"/>
    <xf numFmtId="3" fontId="52" fillId="29" borderId="1" xfId="936" applyNumberFormat="1" applyFont="1" applyFill="1" applyBorder="1" applyAlignment="1"/>
    <xf numFmtId="0" fontId="52" fillId="0" borderId="0" xfId="936" applyFont="1" applyFill="1" applyBorder="1" applyAlignment="1"/>
    <xf numFmtId="0" fontId="55" fillId="0" borderId="1" xfId="936" applyFont="1" applyBorder="1" applyAlignment="1">
      <alignment horizontal="center"/>
    </xf>
    <xf numFmtId="9" fontId="52" fillId="29" borderId="1" xfId="949" applyFont="1" applyFill="1" applyBorder="1" applyAlignment="1"/>
    <xf numFmtId="10" fontId="55" fillId="0" borderId="0" xfId="936" applyNumberFormat="1" applyFont="1" applyAlignment="1"/>
    <xf numFmtId="3" fontId="66" fillId="2" borderId="0" xfId="936" applyNumberFormat="1" applyFont="1" applyFill="1" applyAlignment="1" applyProtection="1">
      <protection hidden="1"/>
    </xf>
    <xf numFmtId="0" fontId="54" fillId="26" borderId="0" xfId="0" applyFont="1" applyFill="1" applyAlignment="1" applyProtection="1">
      <alignment horizontal="left" vertical="center"/>
    </xf>
    <xf numFmtId="0" fontId="55" fillId="26" borderId="24" xfId="936" applyFont="1" applyFill="1" applyBorder="1" applyAlignment="1" applyProtection="1">
      <alignment horizontal="left" vertical="center"/>
      <protection hidden="1"/>
    </xf>
    <xf numFmtId="0" fontId="55" fillId="26" borderId="22" xfId="936" applyFont="1" applyFill="1" applyBorder="1" applyAlignment="1" applyProtection="1">
      <alignment horizontal="left" vertical="center"/>
      <protection hidden="1"/>
    </xf>
    <xf numFmtId="0" fontId="52" fillId="2" borderId="1" xfId="936" applyFont="1" applyFill="1" applyBorder="1" applyAlignment="1" applyProtection="1">
      <alignment horizontal="left"/>
      <protection hidden="1"/>
    </xf>
    <xf numFmtId="0" fontId="55" fillId="26" borderId="1" xfId="936" applyFont="1" applyFill="1" applyBorder="1" applyAlignment="1" applyProtection="1">
      <alignment horizontal="center"/>
      <protection hidden="1"/>
    </xf>
    <xf numFmtId="0" fontId="57" fillId="31" borderId="25" xfId="0" applyFont="1" applyFill="1" applyBorder="1" applyAlignment="1" applyProtection="1">
      <alignment horizontal="center" vertical="center"/>
      <protection hidden="1"/>
    </xf>
    <xf numFmtId="0" fontId="57" fillId="31" borderId="26" xfId="0" applyFont="1" applyFill="1" applyBorder="1" applyAlignment="1" applyProtection="1">
      <alignment horizontal="center" vertical="center"/>
      <protection hidden="1"/>
    </xf>
    <xf numFmtId="0" fontId="57" fillId="31" borderId="27" xfId="0" applyFont="1" applyFill="1" applyBorder="1" applyAlignment="1" applyProtection="1">
      <alignment horizontal="center" vertical="center"/>
      <protection hidden="1"/>
    </xf>
    <xf numFmtId="3" fontId="57" fillId="31" borderId="25" xfId="0" applyNumberFormat="1" applyFont="1" applyFill="1" applyBorder="1" applyAlignment="1" applyProtection="1">
      <alignment horizontal="center" vertical="center" wrapText="1"/>
      <protection hidden="1"/>
    </xf>
    <xf numFmtId="3" fontId="57" fillId="31" borderId="26" xfId="0" applyNumberFormat="1" applyFont="1" applyFill="1" applyBorder="1" applyAlignment="1" applyProtection="1">
      <alignment horizontal="center" vertical="center" wrapText="1"/>
      <protection hidden="1"/>
    </xf>
    <xf numFmtId="3" fontId="57" fillId="31" borderId="27" xfId="0" applyNumberFormat="1" applyFont="1" applyFill="1" applyBorder="1" applyAlignment="1" applyProtection="1">
      <alignment horizontal="center" vertical="center" wrapText="1"/>
      <protection hidden="1"/>
    </xf>
    <xf numFmtId="0" fontId="57" fillId="31" borderId="1" xfId="936" applyFont="1" applyFill="1" applyBorder="1" applyAlignment="1" applyProtection="1">
      <alignment horizontal="center" vertical="center" wrapText="1"/>
      <protection hidden="1"/>
    </xf>
    <xf numFmtId="0" fontId="57" fillId="31" borderId="25" xfId="936" applyFont="1" applyFill="1" applyBorder="1" applyAlignment="1" applyProtection="1">
      <alignment horizontal="center" vertical="center" wrapText="1"/>
      <protection hidden="1"/>
    </xf>
    <xf numFmtId="0" fontId="57" fillId="31" borderId="27" xfId="936" applyFont="1" applyFill="1" applyBorder="1" applyAlignment="1" applyProtection="1">
      <alignment horizontal="center" vertical="center" wrapText="1"/>
      <protection hidden="1"/>
    </xf>
  </cellXfs>
  <cellStyles count="951">
    <cellStyle name=" 1" xfId="6"/>
    <cellStyle name="_0208 203 Бюджет  маркетинга v01" xfId="7"/>
    <cellStyle name="_0308 203 Бюджет  маркетинга v00" xfId="8"/>
    <cellStyle name="_0508 203 Бюджет  маркетинга v01" xfId="9"/>
    <cellStyle name="_0608 203 Бюджет  маркетинга v00" xfId="10"/>
    <cellStyle name="_0708 203 Бюджет  маркетинга v00" xfId="11"/>
    <cellStyle name="_0808 203 Бюджет  маркетинга v00" xfId="12"/>
    <cellStyle name="_0812 201 Бюджет зарплаты v01" xfId="13"/>
    <cellStyle name="_FFF" xfId="14"/>
    <cellStyle name="_FFF_3_ОперМесяц_14авг09" xfId="15"/>
    <cellStyle name="_FFF_New Form10_2" xfId="16"/>
    <cellStyle name="_FFF_New Form10_2_3_ОперМесяц_14авг09" xfId="17"/>
    <cellStyle name="_FFF_New Form10_2_Квартал" xfId="18"/>
    <cellStyle name="_FFF_New Form10_2_Книга1" xfId="19"/>
    <cellStyle name="_FFF_Nsi" xfId="20"/>
    <cellStyle name="_FFF_Nsi_1" xfId="21"/>
    <cellStyle name="_FFF_Nsi_1_3_ОперМесяц_14авг09" xfId="22"/>
    <cellStyle name="_FFF_Nsi_1_Квартал" xfId="23"/>
    <cellStyle name="_FFF_Nsi_1_Книга1" xfId="24"/>
    <cellStyle name="_FFF_Nsi_139" xfId="25"/>
    <cellStyle name="_FFF_Nsi_139_3_ОперМесяц_14авг09" xfId="26"/>
    <cellStyle name="_FFF_Nsi_139_Квартал" xfId="27"/>
    <cellStyle name="_FFF_Nsi_139_Книга1" xfId="28"/>
    <cellStyle name="_FFF_Nsi_140" xfId="29"/>
    <cellStyle name="_FFF_Nsi_140(Зах)" xfId="30"/>
    <cellStyle name="_FFF_Nsi_140(Зах)_3_ОперМесяц_14авг09" xfId="31"/>
    <cellStyle name="_FFF_Nsi_140(Зах)_Квартал" xfId="32"/>
    <cellStyle name="_FFF_Nsi_140(Зах)_Книга1" xfId="33"/>
    <cellStyle name="_FFF_Nsi_140_3_ОперМесяц_14авг09" xfId="34"/>
    <cellStyle name="_FFF_Nsi_140_mod" xfId="35"/>
    <cellStyle name="_FFF_Nsi_140_mod_3_ОперМесяц_14авг09" xfId="36"/>
    <cellStyle name="_FFF_Nsi_140_mod_Квартал" xfId="37"/>
    <cellStyle name="_FFF_Nsi_140_mod_Книга1" xfId="38"/>
    <cellStyle name="_FFF_Nsi_140_Квартал" xfId="39"/>
    <cellStyle name="_FFF_Nsi_140_Книга1" xfId="40"/>
    <cellStyle name="_FFF_Nsi_3_ОперМесяц_14авг09" xfId="41"/>
    <cellStyle name="_FFF_Nsi_Квартал" xfId="42"/>
    <cellStyle name="_FFF_Nsi_Книга1" xfId="43"/>
    <cellStyle name="_FFF_Summary" xfId="44"/>
    <cellStyle name="_FFF_Summary_3_ОперМесяц_14авг09" xfId="45"/>
    <cellStyle name="_FFF_Summary_Квартал" xfId="46"/>
    <cellStyle name="_FFF_Summary_Книга1" xfId="47"/>
    <cellStyle name="_FFF_Tax_form_1кв_3" xfId="48"/>
    <cellStyle name="_FFF_Tax_form_1кв_3_3_ОперМесяц_14авг09" xfId="49"/>
    <cellStyle name="_FFF_Tax_form_1кв_3_Квартал" xfId="50"/>
    <cellStyle name="_FFF_Tax_form_1кв_3_Книга1" xfId="51"/>
    <cellStyle name="_FFF_БКЭ" xfId="52"/>
    <cellStyle name="_FFF_БКЭ_3_ОперМесяц_14авг09" xfId="53"/>
    <cellStyle name="_FFF_БКЭ_Квартал" xfId="54"/>
    <cellStyle name="_FFF_БКЭ_Книга1" xfId="55"/>
    <cellStyle name="_FFF_Квартал" xfId="56"/>
    <cellStyle name="_FFF_Книга1" xfId="57"/>
    <cellStyle name="_Final_Book_010301" xfId="58"/>
    <cellStyle name="_Final_Book_010301_3_ОперМесяц_14авг09" xfId="59"/>
    <cellStyle name="_Final_Book_010301_New Form10_2" xfId="60"/>
    <cellStyle name="_Final_Book_010301_New Form10_2_3_ОперМесяц_14авг09" xfId="61"/>
    <cellStyle name="_Final_Book_010301_New Form10_2_Квартал" xfId="62"/>
    <cellStyle name="_Final_Book_010301_New Form10_2_Книга1" xfId="63"/>
    <cellStyle name="_Final_Book_010301_Nsi" xfId="64"/>
    <cellStyle name="_Final_Book_010301_Nsi_1" xfId="65"/>
    <cellStyle name="_Final_Book_010301_Nsi_1_3_ОперМесяц_14авг09" xfId="66"/>
    <cellStyle name="_Final_Book_010301_Nsi_1_Квартал" xfId="67"/>
    <cellStyle name="_Final_Book_010301_Nsi_1_Книга1" xfId="68"/>
    <cellStyle name="_Final_Book_010301_Nsi_139" xfId="69"/>
    <cellStyle name="_Final_Book_010301_Nsi_139_3_ОперМесяц_14авг09" xfId="70"/>
    <cellStyle name="_Final_Book_010301_Nsi_139_Квартал" xfId="71"/>
    <cellStyle name="_Final_Book_010301_Nsi_139_Книга1" xfId="72"/>
    <cellStyle name="_Final_Book_010301_Nsi_140" xfId="73"/>
    <cellStyle name="_Final_Book_010301_Nsi_140(Зах)" xfId="74"/>
    <cellStyle name="_Final_Book_010301_Nsi_140(Зах)_3_ОперМесяц_14авг09" xfId="75"/>
    <cellStyle name="_Final_Book_010301_Nsi_140(Зах)_Квартал" xfId="76"/>
    <cellStyle name="_Final_Book_010301_Nsi_140(Зах)_Книга1" xfId="77"/>
    <cellStyle name="_Final_Book_010301_Nsi_140_3_ОперМесяц_14авг09" xfId="78"/>
    <cellStyle name="_Final_Book_010301_Nsi_140_mod" xfId="79"/>
    <cellStyle name="_Final_Book_010301_Nsi_140_mod_3_ОперМесяц_14авг09" xfId="80"/>
    <cellStyle name="_Final_Book_010301_Nsi_140_mod_Квартал" xfId="81"/>
    <cellStyle name="_Final_Book_010301_Nsi_140_mod_Книга1" xfId="82"/>
    <cellStyle name="_Final_Book_010301_Nsi_140_Квартал" xfId="83"/>
    <cellStyle name="_Final_Book_010301_Nsi_140_Книга1" xfId="84"/>
    <cellStyle name="_Final_Book_010301_Nsi_3_ОперМесяц_14авг09" xfId="85"/>
    <cellStyle name="_Final_Book_010301_Nsi_Квартал" xfId="86"/>
    <cellStyle name="_Final_Book_010301_Nsi_Книга1" xfId="87"/>
    <cellStyle name="_Final_Book_010301_Summary" xfId="88"/>
    <cellStyle name="_Final_Book_010301_Summary_3_ОперМесяц_14авг09" xfId="89"/>
    <cellStyle name="_Final_Book_010301_Summary_Квартал" xfId="90"/>
    <cellStyle name="_Final_Book_010301_Summary_Книга1" xfId="91"/>
    <cellStyle name="_Final_Book_010301_Tax_form_1кв_3" xfId="92"/>
    <cellStyle name="_Final_Book_010301_Tax_form_1кв_3_3_ОперМесяц_14авг09" xfId="93"/>
    <cellStyle name="_Final_Book_010301_Tax_form_1кв_3_Квартал" xfId="94"/>
    <cellStyle name="_Final_Book_010301_Tax_form_1кв_3_Книга1" xfId="95"/>
    <cellStyle name="_Final_Book_010301_БКЭ" xfId="96"/>
    <cellStyle name="_Final_Book_010301_БКЭ_3_ОперМесяц_14авг09" xfId="97"/>
    <cellStyle name="_Final_Book_010301_БКЭ_Квартал" xfId="98"/>
    <cellStyle name="_Final_Book_010301_БКЭ_Книга1" xfId="99"/>
    <cellStyle name="_Final_Book_010301_Квартал" xfId="100"/>
    <cellStyle name="_Final_Book_010301_Книга1" xfId="101"/>
    <cellStyle name="_New_Sofi" xfId="102"/>
    <cellStyle name="_New_Sofi_3_ОперМесяц_14авг09" xfId="103"/>
    <cellStyle name="_New_Sofi_FFF" xfId="104"/>
    <cellStyle name="_New_Sofi_FFF_3_ОперМесяц_14авг09" xfId="105"/>
    <cellStyle name="_New_Sofi_FFF_Квартал" xfId="106"/>
    <cellStyle name="_New_Sofi_FFF_Книга1" xfId="107"/>
    <cellStyle name="_New_Sofi_New Form10_2" xfId="108"/>
    <cellStyle name="_New_Sofi_New Form10_2_3_ОперМесяц_14авг09" xfId="109"/>
    <cellStyle name="_New_Sofi_New Form10_2_Квартал" xfId="110"/>
    <cellStyle name="_New_Sofi_New Form10_2_Книга1" xfId="111"/>
    <cellStyle name="_New_Sofi_Nsi" xfId="112"/>
    <cellStyle name="_New_Sofi_Nsi_1" xfId="113"/>
    <cellStyle name="_New_Sofi_Nsi_1_3_ОперМесяц_14авг09" xfId="114"/>
    <cellStyle name="_New_Sofi_Nsi_1_Квартал" xfId="115"/>
    <cellStyle name="_New_Sofi_Nsi_1_Книга1" xfId="116"/>
    <cellStyle name="_New_Sofi_Nsi_139" xfId="117"/>
    <cellStyle name="_New_Sofi_Nsi_139_3_ОперМесяц_14авг09" xfId="118"/>
    <cellStyle name="_New_Sofi_Nsi_139_Квартал" xfId="119"/>
    <cellStyle name="_New_Sofi_Nsi_139_Книга1" xfId="120"/>
    <cellStyle name="_New_Sofi_Nsi_140" xfId="121"/>
    <cellStyle name="_New_Sofi_Nsi_140(Зах)" xfId="122"/>
    <cellStyle name="_New_Sofi_Nsi_140(Зах)_3_ОперМесяц_14авг09" xfId="123"/>
    <cellStyle name="_New_Sofi_Nsi_140(Зах)_Квартал" xfId="124"/>
    <cellStyle name="_New_Sofi_Nsi_140(Зах)_Книга1" xfId="125"/>
    <cellStyle name="_New_Sofi_Nsi_140_3_ОперМесяц_14авг09" xfId="126"/>
    <cellStyle name="_New_Sofi_Nsi_140_mod" xfId="127"/>
    <cellStyle name="_New_Sofi_Nsi_140_mod_3_ОперМесяц_14авг09" xfId="128"/>
    <cellStyle name="_New_Sofi_Nsi_140_mod_Квартал" xfId="129"/>
    <cellStyle name="_New_Sofi_Nsi_140_mod_Книга1" xfId="130"/>
    <cellStyle name="_New_Sofi_Nsi_140_Квартал" xfId="131"/>
    <cellStyle name="_New_Sofi_Nsi_140_Книга1" xfId="132"/>
    <cellStyle name="_New_Sofi_Nsi_3_ОперМесяц_14авг09" xfId="133"/>
    <cellStyle name="_New_Sofi_Nsi_Квартал" xfId="134"/>
    <cellStyle name="_New_Sofi_Nsi_Книга1" xfId="135"/>
    <cellStyle name="_New_Sofi_Summary" xfId="136"/>
    <cellStyle name="_New_Sofi_Summary_3_ОперМесяц_14авг09" xfId="137"/>
    <cellStyle name="_New_Sofi_Summary_Квартал" xfId="138"/>
    <cellStyle name="_New_Sofi_Summary_Книга1" xfId="139"/>
    <cellStyle name="_New_Sofi_Tax_form_1кв_3" xfId="140"/>
    <cellStyle name="_New_Sofi_Tax_form_1кв_3_3_ОперМесяц_14авг09" xfId="141"/>
    <cellStyle name="_New_Sofi_Tax_form_1кв_3_Квартал" xfId="142"/>
    <cellStyle name="_New_Sofi_Tax_form_1кв_3_Книга1" xfId="143"/>
    <cellStyle name="_New_Sofi_БКЭ" xfId="144"/>
    <cellStyle name="_New_Sofi_БКЭ_3_ОперМесяц_14авг09" xfId="145"/>
    <cellStyle name="_New_Sofi_БКЭ_Квартал" xfId="146"/>
    <cellStyle name="_New_Sofi_БКЭ_Книга1" xfId="147"/>
    <cellStyle name="_New_Sofi_Квартал" xfId="148"/>
    <cellStyle name="_New_Sofi_Книга1" xfId="149"/>
    <cellStyle name="_Nsi" xfId="150"/>
    <cellStyle name="_Nsi_3_ОперМесяц_14авг09" xfId="151"/>
    <cellStyle name="_Nsi_Квартал" xfId="152"/>
    <cellStyle name="_Nsi_Книга1" xfId="153"/>
    <cellStyle name="_P&amp;L_КОНС_БП_03" xfId="154"/>
    <cellStyle name="_Аккред&amp;Гарантии_ГК ДОМО" xfId="155"/>
    <cellStyle name="_Аккред&amp;Гарантии_ГК ДОМО_11.01.2009" xfId="156"/>
    <cellStyle name="_БДДС консолидированный 9 мес" xfId="157"/>
    <cellStyle name="_ДЕЙСТВУЮЩИЕ КРЕДИТЫ ПО ВСЕМ ЮР.ЛИЦАМ ОТДЕЛЬНО" xfId="158"/>
    <cellStyle name="_Дозакл 5 мес.2000" xfId="159"/>
    <cellStyle name="_Дозакл 5 мес.2000_3_ОперМесяц_14авг09" xfId="160"/>
    <cellStyle name="_Дозакл 5 мес.2000_Квартал" xfId="161"/>
    <cellStyle name="_Дозакл 5 мес.2000_Книга1" xfId="162"/>
    <cellStyle name="_Залог в банках" xfId="163"/>
    <cellStyle name="_Книга3" xfId="164"/>
    <cellStyle name="_Книга3_3_ОперМесяц_14авг09" xfId="165"/>
    <cellStyle name="_Книга3_New Form10_2" xfId="166"/>
    <cellStyle name="_Книга3_New Form10_2_3_ОперМесяц_14авг09" xfId="167"/>
    <cellStyle name="_Книга3_New Form10_2_Квартал" xfId="168"/>
    <cellStyle name="_Книга3_New Form10_2_Книга1" xfId="169"/>
    <cellStyle name="_Книга3_Nsi" xfId="170"/>
    <cellStyle name="_Книга3_Nsi_1" xfId="171"/>
    <cellStyle name="_Книга3_Nsi_1_3_ОперМесяц_14авг09" xfId="172"/>
    <cellStyle name="_Книга3_Nsi_1_Квартал" xfId="173"/>
    <cellStyle name="_Книга3_Nsi_1_Книга1" xfId="174"/>
    <cellStyle name="_Книга3_Nsi_139" xfId="175"/>
    <cellStyle name="_Книга3_Nsi_139_3_ОперМесяц_14авг09" xfId="176"/>
    <cellStyle name="_Книга3_Nsi_139_Квартал" xfId="177"/>
    <cellStyle name="_Книга3_Nsi_139_Книга1" xfId="178"/>
    <cellStyle name="_Книга3_Nsi_140" xfId="179"/>
    <cellStyle name="_Книга3_Nsi_140(Зах)" xfId="180"/>
    <cellStyle name="_Книга3_Nsi_140(Зах)_3_ОперМесяц_14авг09" xfId="181"/>
    <cellStyle name="_Книга3_Nsi_140(Зах)_Квартал" xfId="182"/>
    <cellStyle name="_Книга3_Nsi_140(Зах)_Книга1" xfId="183"/>
    <cellStyle name="_Книга3_Nsi_140_3_ОперМесяц_14авг09" xfId="184"/>
    <cellStyle name="_Книга3_Nsi_140_mod" xfId="185"/>
    <cellStyle name="_Книга3_Nsi_140_mod_3_ОперМесяц_14авг09" xfId="186"/>
    <cellStyle name="_Книга3_Nsi_140_mod_Квартал" xfId="187"/>
    <cellStyle name="_Книга3_Nsi_140_mod_Книга1" xfId="188"/>
    <cellStyle name="_Книга3_Nsi_140_Квартал" xfId="189"/>
    <cellStyle name="_Книга3_Nsi_140_Книга1" xfId="190"/>
    <cellStyle name="_Книга3_Nsi_3_ОперМесяц_14авг09" xfId="191"/>
    <cellStyle name="_Книга3_Nsi_Квартал" xfId="192"/>
    <cellStyle name="_Книга3_Nsi_Книга1" xfId="193"/>
    <cellStyle name="_Книга3_Summary" xfId="194"/>
    <cellStyle name="_Книга3_Summary_3_ОперМесяц_14авг09" xfId="195"/>
    <cellStyle name="_Книга3_Summary_Квартал" xfId="196"/>
    <cellStyle name="_Книга3_Summary_Книга1" xfId="197"/>
    <cellStyle name="_Книга3_Tax_form_1кв_3" xfId="198"/>
    <cellStyle name="_Книга3_Tax_form_1кв_3_3_ОперМесяц_14авг09" xfId="199"/>
    <cellStyle name="_Книга3_Tax_form_1кв_3_Квартал" xfId="200"/>
    <cellStyle name="_Книга3_Tax_form_1кв_3_Книга1" xfId="201"/>
    <cellStyle name="_Книга3_БКЭ" xfId="202"/>
    <cellStyle name="_Книга3_БКЭ_3_ОперМесяц_14авг09" xfId="203"/>
    <cellStyle name="_Книга3_БКЭ_Квартал" xfId="204"/>
    <cellStyle name="_Книга3_БКЭ_Книга1" xfId="205"/>
    <cellStyle name="_Книга3_Квартал" xfId="206"/>
    <cellStyle name="_Книга3_Книга1" xfId="207"/>
    <cellStyle name="_Книга7" xfId="208"/>
    <cellStyle name="_Книга7_3_ОперМесяц_14авг09" xfId="209"/>
    <cellStyle name="_Книга7_New Form10_2" xfId="210"/>
    <cellStyle name="_Книга7_New Form10_2_3_ОперМесяц_14авг09" xfId="211"/>
    <cellStyle name="_Книга7_New Form10_2_Квартал" xfId="212"/>
    <cellStyle name="_Книга7_New Form10_2_Книга1" xfId="213"/>
    <cellStyle name="_Книга7_Nsi" xfId="214"/>
    <cellStyle name="_Книга7_Nsi_1" xfId="215"/>
    <cellStyle name="_Книга7_Nsi_1_3_ОперМесяц_14авг09" xfId="216"/>
    <cellStyle name="_Книга7_Nsi_1_Квартал" xfId="217"/>
    <cellStyle name="_Книга7_Nsi_1_Книга1" xfId="218"/>
    <cellStyle name="_Книга7_Nsi_139" xfId="219"/>
    <cellStyle name="_Книга7_Nsi_139_3_ОперМесяц_14авг09" xfId="220"/>
    <cellStyle name="_Книга7_Nsi_139_Квартал" xfId="221"/>
    <cellStyle name="_Книга7_Nsi_139_Книга1" xfId="222"/>
    <cellStyle name="_Книга7_Nsi_140" xfId="223"/>
    <cellStyle name="_Книга7_Nsi_140(Зах)" xfId="224"/>
    <cellStyle name="_Книга7_Nsi_140(Зах)_3_ОперМесяц_14авг09" xfId="225"/>
    <cellStyle name="_Книга7_Nsi_140(Зах)_Квартал" xfId="226"/>
    <cellStyle name="_Книга7_Nsi_140(Зах)_Книга1" xfId="227"/>
    <cellStyle name="_Книга7_Nsi_140_3_ОперМесяц_14авг09" xfId="228"/>
    <cellStyle name="_Книга7_Nsi_140_mod" xfId="229"/>
    <cellStyle name="_Книга7_Nsi_140_mod_3_ОперМесяц_14авг09" xfId="230"/>
    <cellStyle name="_Книга7_Nsi_140_mod_Квартал" xfId="231"/>
    <cellStyle name="_Книга7_Nsi_140_mod_Книга1" xfId="232"/>
    <cellStyle name="_Книга7_Nsi_140_Квартал" xfId="233"/>
    <cellStyle name="_Книга7_Nsi_140_Книга1" xfId="234"/>
    <cellStyle name="_Книга7_Nsi_3_ОперМесяц_14авг09" xfId="235"/>
    <cellStyle name="_Книга7_Nsi_Квартал" xfId="236"/>
    <cellStyle name="_Книга7_Nsi_Книга1" xfId="237"/>
    <cellStyle name="_Книга7_Summary" xfId="238"/>
    <cellStyle name="_Книга7_Summary_3_ОперМесяц_14авг09" xfId="239"/>
    <cellStyle name="_Книга7_Summary_Квартал" xfId="240"/>
    <cellStyle name="_Книга7_Summary_Книга1" xfId="241"/>
    <cellStyle name="_Книга7_Tax_form_1кв_3" xfId="242"/>
    <cellStyle name="_Книга7_Tax_form_1кв_3_3_ОперМесяц_14авг09" xfId="243"/>
    <cellStyle name="_Книга7_Tax_form_1кв_3_Квартал" xfId="244"/>
    <cellStyle name="_Книга7_Tax_form_1кв_3_Книга1" xfId="245"/>
    <cellStyle name="_Книга7_БКЭ" xfId="246"/>
    <cellStyle name="_Книга7_БКЭ_3_ОперМесяц_14авг09" xfId="247"/>
    <cellStyle name="_Книга7_БКЭ_Квартал" xfId="248"/>
    <cellStyle name="_Книга7_БКЭ_Книга1" xfId="249"/>
    <cellStyle name="_Книга7_Квартал" xfId="250"/>
    <cellStyle name="_Книга7_Книга1" xfId="251"/>
    <cellStyle name="_Кредитный портфель" xfId="252"/>
    <cellStyle name="_матрица см" xfId="253"/>
    <cellStyle name="_Расшифровки_1кв_2002" xfId="254"/>
    <cellStyle name="_Расшифровки_1кв_2002_3_ОперМесяц_14авг09" xfId="255"/>
    <cellStyle name="_Расшифровки_1кв_2002_Квартал" xfId="256"/>
    <cellStyle name="_Расшифровки_1кв_2002_Книга1" xfId="257"/>
    <cellStyle name="_Результат=Свод БДДС с июля 2008 г" xfId="258"/>
    <cellStyle name="_Результат=Свод БДДС с июля 2008 г_08 БДР факт август консолид" xfId="259"/>
    <cellStyle name="_Результат=Свод БДДС с июля 2008 г_09 БДР факт сентябрь  консолид предварительный" xfId="260"/>
    <cellStyle name="_Результат=Свод БДДС с июля 2008 г_БДР  факт июль консолид" xfId="261"/>
    <cellStyle name="_Результат=Свод БДДС с июля 2008 г_БДР 09 факт консол" xfId="262"/>
    <cellStyle name="_Результат=Свод БДДС с июля 2008 г_БДР факт август консолид" xfId="263"/>
    <cellStyle name="_таблица см" xfId="264"/>
    <cellStyle name="_таблица хк" xfId="265"/>
    <cellStyle name="_форма_БДДС_ консолидир_факт" xfId="266"/>
    <cellStyle name="_форма_БДДС_ консолидир_факт_08 БДР факт август консолид" xfId="267"/>
    <cellStyle name="_форма_БДДС_ консолидир_факт_09 БДР факт сентябрь  консолид предварительный" xfId="268"/>
    <cellStyle name="_форма_БДДС_ консолидир_факт_БДР  факт июль консолид" xfId="269"/>
    <cellStyle name="_форма_БДДС_ консолидир_факт_БДР 09 факт консол" xfId="270"/>
    <cellStyle name="_форма_БДДС_ консолидир_факт_БДР факт август консолид" xfId="271"/>
    <cellStyle name="0,00;0;" xfId="272"/>
    <cellStyle name="20% - Accent1" xfId="273"/>
    <cellStyle name="20% - Accent2" xfId="274"/>
    <cellStyle name="20% - Accent3" xfId="275"/>
    <cellStyle name="20% - Accent4" xfId="276"/>
    <cellStyle name="20% - Accent5" xfId="277"/>
    <cellStyle name="20% - Accent6" xfId="278"/>
    <cellStyle name="20% - Акцент1 2" xfId="279"/>
    <cellStyle name="20% - Акцент1 2 2" xfId="280"/>
    <cellStyle name="20% - Акцент1 3" xfId="281"/>
    <cellStyle name="20% - Акцент1 4" xfId="282"/>
    <cellStyle name="20% - Акцент1 5" xfId="283"/>
    <cellStyle name="20% - Акцент1 6" xfId="284"/>
    <cellStyle name="20% - Акцент1 7" xfId="285"/>
    <cellStyle name="20% - Акцент2 2" xfId="286"/>
    <cellStyle name="20% - Акцент2 2 2" xfId="287"/>
    <cellStyle name="20% - Акцент2 3" xfId="288"/>
    <cellStyle name="20% - Акцент2 4" xfId="289"/>
    <cellStyle name="20% - Акцент2 5" xfId="290"/>
    <cellStyle name="20% - Акцент2 6" xfId="291"/>
    <cellStyle name="20% - Акцент2 7" xfId="292"/>
    <cellStyle name="20% - Акцент3 2" xfId="293"/>
    <cellStyle name="20% - Акцент3 2 2" xfId="294"/>
    <cellStyle name="20% - Акцент3 3" xfId="295"/>
    <cellStyle name="20% - Акцент3 4" xfId="296"/>
    <cellStyle name="20% - Акцент3 5" xfId="297"/>
    <cellStyle name="20% - Акцент3 6" xfId="298"/>
    <cellStyle name="20% - Акцент3 7" xfId="299"/>
    <cellStyle name="20% - Акцент4 2" xfId="300"/>
    <cellStyle name="20% - Акцент4 2 2" xfId="301"/>
    <cellStyle name="20% - Акцент4 3" xfId="302"/>
    <cellStyle name="20% - Акцент4 4" xfId="303"/>
    <cellStyle name="20% - Акцент4 5" xfId="304"/>
    <cellStyle name="20% - Акцент4 6" xfId="305"/>
    <cellStyle name="20% - Акцент4 7" xfId="306"/>
    <cellStyle name="20% - Акцент5 2" xfId="307"/>
    <cellStyle name="20% - Акцент5 2 2" xfId="308"/>
    <cellStyle name="20% - Акцент5 3" xfId="309"/>
    <cellStyle name="20% - Акцент5 4" xfId="310"/>
    <cellStyle name="20% - Акцент5 5" xfId="311"/>
    <cellStyle name="20% - Акцент5 6" xfId="312"/>
    <cellStyle name="20% - Акцент5 7" xfId="313"/>
    <cellStyle name="20% - Акцент6 2" xfId="314"/>
    <cellStyle name="20% - Акцент6 2 2" xfId="315"/>
    <cellStyle name="20% - Акцент6 3" xfId="316"/>
    <cellStyle name="20% - Акцент6 4" xfId="317"/>
    <cellStyle name="20% - Акцент6 5" xfId="318"/>
    <cellStyle name="20% - Акцент6 6" xfId="319"/>
    <cellStyle name="20% - Акцент6 7" xfId="320"/>
    <cellStyle name="40% - Accent1" xfId="321"/>
    <cellStyle name="40% - Accent2" xfId="322"/>
    <cellStyle name="40% - Accent3" xfId="323"/>
    <cellStyle name="40% - Accent4" xfId="324"/>
    <cellStyle name="40% - Accent5" xfId="325"/>
    <cellStyle name="40% - Accent6" xfId="326"/>
    <cellStyle name="40% - Акцент1 2" xfId="327"/>
    <cellStyle name="40% - Акцент1 2 2" xfId="328"/>
    <cellStyle name="40% - Акцент1 3" xfId="329"/>
    <cellStyle name="40% - Акцент1 4" xfId="330"/>
    <cellStyle name="40% - Акцент1 5" xfId="331"/>
    <cellStyle name="40% - Акцент1 6" xfId="332"/>
    <cellStyle name="40% - Акцент1 7" xfId="333"/>
    <cellStyle name="40% - Акцент2 2" xfId="334"/>
    <cellStyle name="40% - Акцент2 2 2" xfId="335"/>
    <cellStyle name="40% - Акцент2 3" xfId="336"/>
    <cellStyle name="40% - Акцент2 4" xfId="337"/>
    <cellStyle name="40% - Акцент2 5" xfId="338"/>
    <cellStyle name="40% - Акцент2 6" xfId="339"/>
    <cellStyle name="40% - Акцент2 7" xfId="340"/>
    <cellStyle name="40% - Акцент3 2" xfId="341"/>
    <cellStyle name="40% - Акцент3 2 2" xfId="342"/>
    <cellStyle name="40% - Акцент3 3" xfId="343"/>
    <cellStyle name="40% - Акцент3 4" xfId="344"/>
    <cellStyle name="40% - Акцент3 5" xfId="345"/>
    <cellStyle name="40% - Акцент3 6" xfId="346"/>
    <cellStyle name="40% - Акцент3 7" xfId="347"/>
    <cellStyle name="40% - Акцент4 2" xfId="348"/>
    <cellStyle name="40% - Акцент4 2 2" xfId="349"/>
    <cellStyle name="40% - Акцент4 3" xfId="350"/>
    <cellStyle name="40% - Акцент4 4" xfId="351"/>
    <cellStyle name="40% - Акцент4 5" xfId="352"/>
    <cellStyle name="40% - Акцент4 6" xfId="353"/>
    <cellStyle name="40% - Акцент4 7" xfId="354"/>
    <cellStyle name="40% - Акцент5 2" xfId="355"/>
    <cellStyle name="40% - Акцент5 2 2" xfId="356"/>
    <cellStyle name="40% - Акцент5 3" xfId="357"/>
    <cellStyle name="40% - Акцент5 4" xfId="358"/>
    <cellStyle name="40% - Акцент5 5" xfId="359"/>
    <cellStyle name="40% - Акцент5 6" xfId="360"/>
    <cellStyle name="40% - Акцент5 7" xfId="361"/>
    <cellStyle name="40% - Акцент6 2" xfId="362"/>
    <cellStyle name="40% - Акцент6 2 2" xfId="363"/>
    <cellStyle name="40% - Акцент6 3" xfId="364"/>
    <cellStyle name="40% - Акцент6 4" xfId="365"/>
    <cellStyle name="40% - Акцент6 5" xfId="366"/>
    <cellStyle name="40% - Акцент6 6" xfId="367"/>
    <cellStyle name="40% - Акцент6 7" xfId="368"/>
    <cellStyle name="60% - Accent1" xfId="369"/>
    <cellStyle name="60% - Accent2" xfId="370"/>
    <cellStyle name="60% - Accent3" xfId="371"/>
    <cellStyle name="60% - Accent4" xfId="372"/>
    <cellStyle name="60% - Accent5" xfId="373"/>
    <cellStyle name="60% - Accent6" xfId="374"/>
    <cellStyle name="60% - Акцент1 2" xfId="375"/>
    <cellStyle name="60% - Акцент1 2 2" xfId="376"/>
    <cellStyle name="60% - Акцент1 3" xfId="377"/>
    <cellStyle name="60% - Акцент1 4" xfId="378"/>
    <cellStyle name="60% - Акцент1 5" xfId="379"/>
    <cellStyle name="60% - Акцент1 6" xfId="380"/>
    <cellStyle name="60% - Акцент1 7" xfId="381"/>
    <cellStyle name="60% - Акцент2 2" xfId="382"/>
    <cellStyle name="60% - Акцент2 2 2" xfId="383"/>
    <cellStyle name="60% - Акцент2 3" xfId="384"/>
    <cellStyle name="60% - Акцент2 4" xfId="385"/>
    <cellStyle name="60% - Акцент2 5" xfId="386"/>
    <cellStyle name="60% - Акцент2 6" xfId="387"/>
    <cellStyle name="60% - Акцент2 7" xfId="388"/>
    <cellStyle name="60% - Акцент3 2" xfId="389"/>
    <cellStyle name="60% - Акцент3 2 2" xfId="390"/>
    <cellStyle name="60% - Акцент3 3" xfId="391"/>
    <cellStyle name="60% - Акцент3 4" xfId="392"/>
    <cellStyle name="60% - Акцент3 5" xfId="393"/>
    <cellStyle name="60% - Акцент3 6" xfId="394"/>
    <cellStyle name="60% - Акцент3 7" xfId="395"/>
    <cellStyle name="60% - Акцент4 2" xfId="396"/>
    <cellStyle name="60% - Акцент4 2 2" xfId="397"/>
    <cellStyle name="60% - Акцент4 3" xfId="398"/>
    <cellStyle name="60% - Акцент4 4" xfId="399"/>
    <cellStyle name="60% - Акцент4 5" xfId="400"/>
    <cellStyle name="60% - Акцент4 6" xfId="401"/>
    <cellStyle name="60% - Акцент4 7" xfId="402"/>
    <cellStyle name="60% - Акцент5 2" xfId="403"/>
    <cellStyle name="60% - Акцент5 2 2" xfId="404"/>
    <cellStyle name="60% - Акцент5 3" xfId="405"/>
    <cellStyle name="60% - Акцент5 4" xfId="406"/>
    <cellStyle name="60% - Акцент5 5" xfId="407"/>
    <cellStyle name="60% - Акцент5 6" xfId="408"/>
    <cellStyle name="60% - Акцент5 7" xfId="409"/>
    <cellStyle name="60% - Акцент6 2" xfId="410"/>
    <cellStyle name="60% - Акцент6 2 2" xfId="411"/>
    <cellStyle name="60% - Акцент6 3" xfId="412"/>
    <cellStyle name="60% - Акцент6 4" xfId="413"/>
    <cellStyle name="60% - Акцент6 5" xfId="414"/>
    <cellStyle name="60% - Акцент6 6" xfId="415"/>
    <cellStyle name="60% - Акцент6 7" xfId="416"/>
    <cellStyle name="Aaia?iue [0]_?anoiau" xfId="417"/>
    <cellStyle name="Aaia?iue_?anoiau" xfId="418"/>
    <cellStyle name="Accent1" xfId="419"/>
    <cellStyle name="Accent2" xfId="420"/>
    <cellStyle name="Accent3" xfId="421"/>
    <cellStyle name="Accent4" xfId="422"/>
    <cellStyle name="Accent5" xfId="423"/>
    <cellStyle name="Accent6" xfId="424"/>
    <cellStyle name="Aeia?nnueea" xfId="425"/>
    <cellStyle name="Bad" xfId="426"/>
    <cellStyle name="Calc Currency (0)" xfId="427"/>
    <cellStyle name="Calculation" xfId="428"/>
    <cellStyle name="Check Cell" xfId="429"/>
    <cellStyle name="Comma 2" xfId="430"/>
    <cellStyle name="Euro" xfId="431"/>
    <cellStyle name="Explanatory Text" xfId="432"/>
    <cellStyle name="Good" xfId="433"/>
    <cellStyle name="Header1" xfId="434"/>
    <cellStyle name="Header2" xfId="435"/>
    <cellStyle name="Heading 1" xfId="436"/>
    <cellStyle name="Heading 2" xfId="437"/>
    <cellStyle name="Heading 3" xfId="438"/>
    <cellStyle name="Heading 4" xfId="439"/>
    <cellStyle name="Iau?iue_?anoiau" xfId="440"/>
    <cellStyle name="Input" xfId="441"/>
    <cellStyle name="Ioe?uaaaoayny aeia?nnueea" xfId="442"/>
    <cellStyle name="ISO" xfId="443"/>
    <cellStyle name="Linked Cell" xfId="444"/>
    <cellStyle name="Neutral" xfId="445"/>
    <cellStyle name="Normal 2" xfId="446"/>
    <cellStyle name="Normal 3" xfId="447"/>
    <cellStyle name="Normal 4" xfId="448"/>
    <cellStyle name="Normal 5" xfId="449"/>
    <cellStyle name="Normal 6" xfId="450"/>
    <cellStyle name="normбlnм_laroux" xfId="451"/>
    <cellStyle name="Note" xfId="452"/>
    <cellStyle name="Oeiainiaue [0]_?anoiau" xfId="453"/>
    <cellStyle name="Oeiainiaue_?anoiau" xfId="454"/>
    <cellStyle name="Ouny?e [0]_?anoiau" xfId="455"/>
    <cellStyle name="Ouny?e_?anoiau" xfId="456"/>
    <cellStyle name="Output" xfId="457"/>
    <cellStyle name="Paaotsikko" xfId="458"/>
    <cellStyle name="Percent 2" xfId="459"/>
    <cellStyle name="Percent 3" xfId="460"/>
    <cellStyle name="Pддotsikko" xfId="461"/>
    <cellStyle name="Style 1" xfId="462"/>
    <cellStyle name="Title" xfId="463"/>
    <cellStyle name="Total" xfId="464"/>
    <cellStyle name="Valiotsikko" xfId="465"/>
    <cellStyle name="Vдliotsikko" xfId="466"/>
    <cellStyle name="Warning Text" xfId="467"/>
    <cellStyle name="Акцент1 2" xfId="468"/>
    <cellStyle name="Акцент1 2 2" xfId="469"/>
    <cellStyle name="Акцент1 3" xfId="470"/>
    <cellStyle name="Акцент1 4" xfId="471"/>
    <cellStyle name="Акцент1 5" xfId="472"/>
    <cellStyle name="Акцент1 6" xfId="473"/>
    <cellStyle name="Акцент1 7" xfId="474"/>
    <cellStyle name="Акцент2 2" xfId="475"/>
    <cellStyle name="Акцент2 2 2" xfId="476"/>
    <cellStyle name="Акцент2 3" xfId="477"/>
    <cellStyle name="Акцент2 4" xfId="478"/>
    <cellStyle name="Акцент2 5" xfId="479"/>
    <cellStyle name="Акцент2 6" xfId="480"/>
    <cellStyle name="Акцент2 7" xfId="481"/>
    <cellStyle name="Акцент3 2" xfId="482"/>
    <cellStyle name="Акцент3 2 2" xfId="483"/>
    <cellStyle name="Акцент3 3" xfId="484"/>
    <cellStyle name="Акцент3 4" xfId="485"/>
    <cellStyle name="Акцент3 5" xfId="486"/>
    <cellStyle name="Акцент3 6" xfId="487"/>
    <cellStyle name="Акцент3 7" xfId="488"/>
    <cellStyle name="Акцент4 2" xfId="489"/>
    <cellStyle name="Акцент4 2 2" xfId="490"/>
    <cellStyle name="Акцент4 3" xfId="491"/>
    <cellStyle name="Акцент4 4" xfId="492"/>
    <cellStyle name="Акцент4 5" xfId="493"/>
    <cellStyle name="Акцент4 6" xfId="494"/>
    <cellStyle name="Акцент4 7" xfId="495"/>
    <cellStyle name="Акцент5 2" xfId="496"/>
    <cellStyle name="Акцент5 2 2" xfId="497"/>
    <cellStyle name="Акцент5 3" xfId="498"/>
    <cellStyle name="Акцент5 4" xfId="499"/>
    <cellStyle name="Акцент5 5" xfId="500"/>
    <cellStyle name="Акцент5 6" xfId="501"/>
    <cellStyle name="Акцент5 7" xfId="502"/>
    <cellStyle name="Акцент6 2" xfId="503"/>
    <cellStyle name="Акцент6 2 2" xfId="504"/>
    <cellStyle name="Акцент6 3" xfId="505"/>
    <cellStyle name="Акцент6 4" xfId="506"/>
    <cellStyle name="Акцент6 5" xfId="507"/>
    <cellStyle name="Акцент6 6" xfId="508"/>
    <cellStyle name="Акцент6 7" xfId="509"/>
    <cellStyle name="Блок(жёлт)" xfId="510"/>
    <cellStyle name="Ввод  2" xfId="511"/>
    <cellStyle name="Ввод  2 2" xfId="512"/>
    <cellStyle name="Ввод  2_3.1" xfId="513"/>
    <cellStyle name="Ввод  3" xfId="514"/>
    <cellStyle name="Ввод  4" xfId="515"/>
    <cellStyle name="Ввод  5" xfId="516"/>
    <cellStyle name="Ввод  6" xfId="517"/>
    <cellStyle name="Ввод  7" xfId="518"/>
    <cellStyle name="Вывод 2" xfId="519"/>
    <cellStyle name="Вывод 2 2" xfId="520"/>
    <cellStyle name="Вывод 2_3.1" xfId="521"/>
    <cellStyle name="Вывод 3" xfId="522"/>
    <cellStyle name="Вывод 4" xfId="523"/>
    <cellStyle name="Вывод 5" xfId="524"/>
    <cellStyle name="Вывод 6" xfId="525"/>
    <cellStyle name="Вывод 7" xfId="526"/>
    <cellStyle name="Вычисление 2" xfId="527"/>
    <cellStyle name="Вычисление 2 2" xfId="528"/>
    <cellStyle name="Вычисление 2_3.1" xfId="529"/>
    <cellStyle name="Вычисление 3" xfId="530"/>
    <cellStyle name="Вычисление 4" xfId="531"/>
    <cellStyle name="Вычисление 5" xfId="532"/>
    <cellStyle name="Вычисление 6" xfId="533"/>
    <cellStyle name="Вычисление 7" xfId="534"/>
    <cellStyle name="Гиперссылка 2" xfId="535"/>
    <cellStyle name="Гиперссылка 2 2" xfId="536"/>
    <cellStyle name="Гиперссылка 2 2 2" xfId="537"/>
    <cellStyle name="Гиперссылка 2 2 2 2" xfId="538"/>
    <cellStyle name="Гиперссылка 2 2 2 3" xfId="539"/>
    <cellStyle name="Гиперссылка 2 2 2 4" xfId="540"/>
    <cellStyle name="Гиперссылка 2 2 2 5" xfId="541"/>
    <cellStyle name="Гиперссылка 2 2 3" xfId="542"/>
    <cellStyle name="Гиперссылка 2 2 4" xfId="543"/>
    <cellStyle name="Гиперссылка 2 2 5" xfId="544"/>
    <cellStyle name="Гиперссылка 2 3" xfId="545"/>
    <cellStyle name="Гиперссылка 2 4" xfId="546"/>
    <cellStyle name="Гиперссылка 2 5" xfId="547"/>
    <cellStyle name="Гиперссылка 2 6" xfId="548"/>
    <cellStyle name="Гиперссылка 2_2009_БДР_Сводный новый" xfId="549"/>
    <cellStyle name="Гиперссылка 3" xfId="550"/>
    <cellStyle name="Денежный 2" xfId="551"/>
    <cellStyle name="Денежный 3" xfId="552"/>
    <cellStyle name="Денежный 3 2" xfId="553"/>
    <cellStyle name="Денежный 3 3" xfId="554"/>
    <cellStyle name="Денежный 3 4" xfId="555"/>
    <cellStyle name="Денежный 3 5" xfId="556"/>
    <cellStyle name="Денежный 3 6" xfId="557"/>
    <cellStyle name="Денежный 3 7" xfId="558"/>
    <cellStyle name="Заголовок 1 2" xfId="559"/>
    <cellStyle name="Заголовок 1 2 2" xfId="560"/>
    <cellStyle name="Заголовок 1 2_3.1" xfId="561"/>
    <cellStyle name="Заголовок 1 3" xfId="562"/>
    <cellStyle name="Заголовок 1 4" xfId="563"/>
    <cellStyle name="Заголовок 1 5" xfId="564"/>
    <cellStyle name="Заголовок 1 6" xfId="565"/>
    <cellStyle name="Заголовок 1 7" xfId="566"/>
    <cellStyle name="Заголовок 2 2" xfId="567"/>
    <cellStyle name="Заголовок 2 2 2" xfId="568"/>
    <cellStyle name="Заголовок 2 2_3.1" xfId="569"/>
    <cellStyle name="Заголовок 2 3" xfId="570"/>
    <cellStyle name="Заголовок 2 4" xfId="571"/>
    <cellStyle name="Заголовок 2 5" xfId="572"/>
    <cellStyle name="Заголовок 2 6" xfId="573"/>
    <cellStyle name="Заголовок 2 7" xfId="574"/>
    <cellStyle name="Заголовок 3 2" xfId="575"/>
    <cellStyle name="Заголовок 3 2 2" xfId="576"/>
    <cellStyle name="Заголовок 3 2_3.1" xfId="577"/>
    <cellStyle name="Заголовок 3 3" xfId="578"/>
    <cellStyle name="Заголовок 3 4" xfId="579"/>
    <cellStyle name="Заголовок 3 5" xfId="580"/>
    <cellStyle name="Заголовок 3 6" xfId="581"/>
    <cellStyle name="Заголовок 3 7" xfId="582"/>
    <cellStyle name="Заголовок 4 2" xfId="583"/>
    <cellStyle name="Заголовок 4 2 2" xfId="584"/>
    <cellStyle name="Заголовок 4 3" xfId="585"/>
    <cellStyle name="Заголовок 4 4" xfId="586"/>
    <cellStyle name="Заголовок 4 5" xfId="587"/>
    <cellStyle name="Заголовок 4 6" xfId="588"/>
    <cellStyle name="Заголовок 4 7" xfId="589"/>
    <cellStyle name="Итог 2" xfId="590"/>
    <cellStyle name="Итог 2 2" xfId="591"/>
    <cellStyle name="Итог 2_3.1" xfId="592"/>
    <cellStyle name="Итог 3" xfId="593"/>
    <cellStyle name="Итог 4" xfId="594"/>
    <cellStyle name="Итог 5" xfId="595"/>
    <cellStyle name="Итог 6" xfId="596"/>
    <cellStyle name="Итог 7" xfId="597"/>
    <cellStyle name="Контрольная ячейка 2" xfId="598"/>
    <cellStyle name="Контрольная ячейка 2 2" xfId="599"/>
    <cellStyle name="Контрольная ячейка 2_3.1" xfId="600"/>
    <cellStyle name="Контрольная ячейка 3" xfId="601"/>
    <cellStyle name="Контрольная ячейка 4" xfId="602"/>
    <cellStyle name="Контрольная ячейка 5" xfId="603"/>
    <cellStyle name="Контрольная ячейка 6" xfId="604"/>
    <cellStyle name="Контрольная ячейка 7" xfId="605"/>
    <cellStyle name="Название 2" xfId="606"/>
    <cellStyle name="Название 2 2" xfId="607"/>
    <cellStyle name="Название 3" xfId="608"/>
    <cellStyle name="Название 4" xfId="609"/>
    <cellStyle name="Название 5" xfId="610"/>
    <cellStyle name="Название 6" xfId="611"/>
    <cellStyle name="Название 7" xfId="612"/>
    <cellStyle name="Нейтральный 2" xfId="613"/>
    <cellStyle name="Нейтральный 2 2" xfId="614"/>
    <cellStyle name="Нейтральный 3" xfId="615"/>
    <cellStyle name="Нейтральный 4" xfId="616"/>
    <cellStyle name="Нейтральный 5" xfId="617"/>
    <cellStyle name="Нейтральный 6" xfId="618"/>
    <cellStyle name="Нейтральный 7" xfId="619"/>
    <cellStyle name="Обычный" xfId="0" builtinId="0"/>
    <cellStyle name="Обычный 10" xfId="620"/>
    <cellStyle name="Обычный 11" xfId="621"/>
    <cellStyle name="Обычный 12" xfId="622"/>
    <cellStyle name="Обычный 13" xfId="623"/>
    <cellStyle name="Обычный 14" xfId="624"/>
    <cellStyle name="Обычный 15" xfId="625"/>
    <cellStyle name="Обычный 16" xfId="626"/>
    <cellStyle name="Обычный 17" xfId="627"/>
    <cellStyle name="Обычный 18" xfId="628"/>
    <cellStyle name="Обычный 19" xfId="629"/>
    <cellStyle name="Обычный 2" xfId="1"/>
    <cellStyle name="Обычный 2 10" xfId="630"/>
    <cellStyle name="Обычный 2 11" xfId="631"/>
    <cellStyle name="Обычный 2 11 2" xfId="939"/>
    <cellStyle name="Обычный 2 12" xfId="632"/>
    <cellStyle name="Обычный 2 12 2" xfId="940"/>
    <cellStyle name="Обычный 2 13" xfId="633"/>
    <cellStyle name="Обычный 2 14" xfId="634"/>
    <cellStyle name="Обычный 2 15" xfId="937"/>
    <cellStyle name="Обычный 2 16" xfId="947"/>
    <cellStyle name="Обычный 2 2" xfId="635"/>
    <cellStyle name="Обычный 2 2 2" xfId="636"/>
    <cellStyle name="Обычный 2 2 2 2" xfId="637"/>
    <cellStyle name="Обычный 2 2 2 3" xfId="638"/>
    <cellStyle name="Обычный 2 2 2 4" xfId="639"/>
    <cellStyle name="Обычный 2 2 2 5" xfId="640"/>
    <cellStyle name="Обычный 2 2 2 6" xfId="641"/>
    <cellStyle name="Обычный 2 2 2_Книга1" xfId="642"/>
    <cellStyle name="Обычный 2 2 3" xfId="643"/>
    <cellStyle name="Обычный 2 2 4" xfId="644"/>
    <cellStyle name="Обычный 2 2 5" xfId="645"/>
    <cellStyle name="Обычный 2 2 6" xfId="646"/>
    <cellStyle name="Обычный 2 2 7" xfId="647"/>
    <cellStyle name="Обычный 2 2_3.1" xfId="648"/>
    <cellStyle name="Обычный 2 3" xfId="649"/>
    <cellStyle name="Обычный 2 3 2" xfId="650"/>
    <cellStyle name="Обычный 2 3 2 2" xfId="651"/>
    <cellStyle name="Обычный 2 3 2 3" xfId="652"/>
    <cellStyle name="Обычный 2 3 2 4" xfId="653"/>
    <cellStyle name="Обычный 2 3 2 5" xfId="654"/>
    <cellStyle name="Обычный 2 3 3" xfId="655"/>
    <cellStyle name="Обычный 2 3 4" xfId="656"/>
    <cellStyle name="Обычный 2 3 5" xfId="657"/>
    <cellStyle name="Обычный 2 4" xfId="658"/>
    <cellStyle name="Обычный 2 4 2" xfId="659"/>
    <cellStyle name="Обычный 2 4 2 2" xfId="660"/>
    <cellStyle name="Обычный 2 4 2 3" xfId="661"/>
    <cellStyle name="Обычный 2 4 2 4" xfId="662"/>
    <cellStyle name="Обычный 2 4 2 5" xfId="663"/>
    <cellStyle name="Обычный 2 4 3" xfId="664"/>
    <cellStyle name="Обычный 2 4 4" xfId="665"/>
    <cellStyle name="Обычный 2 4 5" xfId="666"/>
    <cellStyle name="Обычный 2 5" xfId="667"/>
    <cellStyle name="Обычный 2 5 2" xfId="668"/>
    <cellStyle name="Обычный 2 5 2 2" xfId="669"/>
    <cellStyle name="Обычный 2 5 2 3" xfId="670"/>
    <cellStyle name="Обычный 2 5 2 4" xfId="671"/>
    <cellStyle name="Обычный 2 5 2 5" xfId="672"/>
    <cellStyle name="Обычный 2 5 3" xfId="673"/>
    <cellStyle name="Обычный 2 5 4" xfId="674"/>
    <cellStyle name="Обычный 2 5 5" xfId="675"/>
    <cellStyle name="Обычный 2 6" xfId="676"/>
    <cellStyle name="Обычный 2 6 2" xfId="677"/>
    <cellStyle name="Обычный 2 6 2 2" xfId="678"/>
    <cellStyle name="Обычный 2 6 2 3" xfId="679"/>
    <cellStyle name="Обычный 2 6 2 4" xfId="680"/>
    <cellStyle name="Обычный 2 6 2 5" xfId="681"/>
    <cellStyle name="Обычный 2 6 3" xfId="682"/>
    <cellStyle name="Обычный 2 6 4" xfId="683"/>
    <cellStyle name="Обычный 2 6 5" xfId="684"/>
    <cellStyle name="Обычный 2 7" xfId="685"/>
    <cellStyle name="Обычный 2 8" xfId="686"/>
    <cellStyle name="Обычный 2 9" xfId="687"/>
    <cellStyle name="Обычный 2 9 2" xfId="941"/>
    <cellStyle name="Обычный 2_3.1" xfId="688"/>
    <cellStyle name="Обычный 20" xfId="689"/>
    <cellStyle name="Обычный 21" xfId="690"/>
    <cellStyle name="Обычный 22" xfId="691"/>
    <cellStyle name="Обычный 23" xfId="692"/>
    <cellStyle name="Обычный 24" xfId="693"/>
    <cellStyle name="Обычный 25" xfId="694"/>
    <cellStyle name="Обычный 26" xfId="695"/>
    <cellStyle name="Обычный 27" xfId="696"/>
    <cellStyle name="Обычный 28" xfId="697"/>
    <cellStyle name="Обычный 29" xfId="698"/>
    <cellStyle name="Обычный 3" xfId="3"/>
    <cellStyle name="Обычный 3 10" xfId="699"/>
    <cellStyle name="Обычный 3 11" xfId="700"/>
    <cellStyle name="Обычный 3 2" xfId="701"/>
    <cellStyle name="Обычный 3 3" xfId="702"/>
    <cellStyle name="Обычный 3 4" xfId="703"/>
    <cellStyle name="Обычный 3 5" xfId="704"/>
    <cellStyle name="Обычный 3 6" xfId="705"/>
    <cellStyle name="Обычный 3 7" xfId="706"/>
    <cellStyle name="Обычный 3 8" xfId="707"/>
    <cellStyle name="Обычный 3 9" xfId="708"/>
    <cellStyle name="Обычный 3_CF and Working Capital targets FY2009 v6" xfId="709"/>
    <cellStyle name="Обычный 30" xfId="710"/>
    <cellStyle name="Обычный 31" xfId="711"/>
    <cellStyle name="Обычный 32" xfId="712"/>
    <cellStyle name="Обычный 32 2" xfId="713"/>
    <cellStyle name="Обычный 32 3" xfId="942"/>
    <cellStyle name="Обычный 32_3.1" xfId="714"/>
    <cellStyle name="Обычный 33" xfId="715"/>
    <cellStyle name="Обычный 34" xfId="716"/>
    <cellStyle name="Обычный 35" xfId="717"/>
    <cellStyle name="Обычный 35 2" xfId="718"/>
    <cellStyle name="Обычный 35 3" xfId="719"/>
    <cellStyle name="Обычный 35 4" xfId="720"/>
    <cellStyle name="Обычный 35 5" xfId="721"/>
    <cellStyle name="Обычный 36" xfId="722"/>
    <cellStyle name="Обычный 36 2" xfId="723"/>
    <cellStyle name="Обычный 36 2 2" xfId="724"/>
    <cellStyle name="Обычный 36 3" xfId="725"/>
    <cellStyle name="Обычный 36_3.1" xfId="726"/>
    <cellStyle name="Обычный 37" xfId="727"/>
    <cellStyle name="Обычный 38" xfId="728"/>
    <cellStyle name="Обычный 39" xfId="729"/>
    <cellStyle name="Обычный 4" xfId="730"/>
    <cellStyle name="Обычный 4 2" xfId="731"/>
    <cellStyle name="Обычный 4 3" xfId="732"/>
    <cellStyle name="Обычный 4 4" xfId="733"/>
    <cellStyle name="Обычный 4 5" xfId="734"/>
    <cellStyle name="Обычный 4 6" xfId="735"/>
    <cellStyle name="Обычный 4_CF and Working Capital targets FY2009 v6" xfId="736"/>
    <cellStyle name="Обычный 40" xfId="935"/>
    <cellStyle name="Обычный 40 2" xfId="943"/>
    <cellStyle name="Обычный 41" xfId="936"/>
    <cellStyle name="Обычный 42" xfId="944"/>
    <cellStyle name="Обычный 43" xfId="945"/>
    <cellStyle name="Обычный 44" xfId="946"/>
    <cellStyle name="Обычный 5" xfId="737"/>
    <cellStyle name="Обычный 5 2" xfId="738"/>
    <cellStyle name="Обычный 6" xfId="739"/>
    <cellStyle name="Обычный 6 2" xfId="740"/>
    <cellStyle name="Обычный 6 2 2" xfId="741"/>
    <cellStyle name="Обычный 6 2 3" xfId="742"/>
    <cellStyle name="Обычный 6 2 4" xfId="743"/>
    <cellStyle name="Обычный 6 2 5" xfId="744"/>
    <cellStyle name="Обычный 6 3" xfId="745"/>
    <cellStyle name="Обычный 6 4" xfId="746"/>
    <cellStyle name="Обычный 6 5" xfId="747"/>
    <cellStyle name="Обычный 7" xfId="748"/>
    <cellStyle name="Обычный 7 2" xfId="749"/>
    <cellStyle name="Обычный 7 2 2" xfId="750"/>
    <cellStyle name="Обычный 7 2 3" xfId="751"/>
    <cellStyle name="Обычный 7 2 4" xfId="752"/>
    <cellStyle name="Обычный 7 2 5" xfId="753"/>
    <cellStyle name="Обычный 7 3" xfId="754"/>
    <cellStyle name="Обычный 7 4" xfId="755"/>
    <cellStyle name="Обычный 7 5" xfId="756"/>
    <cellStyle name="Обычный 73 3" xfId="757"/>
    <cellStyle name="Обычный 8" xfId="758"/>
    <cellStyle name="Обычный 8 2" xfId="759"/>
    <cellStyle name="Обычный 8 2 2" xfId="760"/>
    <cellStyle name="Обычный 8 2 3" xfId="761"/>
    <cellStyle name="Обычный 8 2 4" xfId="762"/>
    <cellStyle name="Обычный 8 2 5" xfId="763"/>
    <cellStyle name="Обычный 8 3" xfId="764"/>
    <cellStyle name="Обычный 8 4" xfId="765"/>
    <cellStyle name="Обычный 8 5" xfId="766"/>
    <cellStyle name="Обычный 9" xfId="767"/>
    <cellStyle name="Обычный 9 2" xfId="768"/>
    <cellStyle name="Обычный 9 3" xfId="769"/>
    <cellStyle name="Обычный 9 4" xfId="770"/>
    <cellStyle name="Обычный 9 5" xfId="771"/>
    <cellStyle name="Плохой 2" xfId="772"/>
    <cellStyle name="Плохой 2 2" xfId="773"/>
    <cellStyle name="Плохой 3" xfId="774"/>
    <cellStyle name="Плохой 4" xfId="775"/>
    <cellStyle name="Плохой 5" xfId="776"/>
    <cellStyle name="Плохой 6" xfId="777"/>
    <cellStyle name="Плохой 7" xfId="778"/>
    <cellStyle name="Пояснение 2" xfId="779"/>
    <cellStyle name="Пояснение 2 2" xfId="780"/>
    <cellStyle name="Пояснение 3" xfId="781"/>
    <cellStyle name="Пояснение 4" xfId="782"/>
    <cellStyle name="Пояснение 5" xfId="783"/>
    <cellStyle name="Пояснение 6" xfId="784"/>
    <cellStyle name="Пояснение 7" xfId="785"/>
    <cellStyle name="Примечание 2" xfId="786"/>
    <cellStyle name="Примечание 2 2" xfId="787"/>
    <cellStyle name="Примечание 2 3" xfId="788"/>
    <cellStyle name="Примечание 2 4" xfId="789"/>
    <cellStyle name="Примечание 2 5" xfId="790"/>
    <cellStyle name="Примечание 2 6" xfId="791"/>
    <cellStyle name="Примечание 2_3.1" xfId="792"/>
    <cellStyle name="Примечание 3" xfId="793"/>
    <cellStyle name="Примечание 4" xfId="794"/>
    <cellStyle name="Примечание 5" xfId="795"/>
    <cellStyle name="Примечание 6" xfId="796"/>
    <cellStyle name="Примечание 7" xfId="797"/>
    <cellStyle name="Процентный" xfId="949" builtinId="5"/>
    <cellStyle name="Процентный 10" xfId="5"/>
    <cellStyle name="Процентный 10 2" xfId="798"/>
    <cellStyle name="Процентный 10 3" xfId="799"/>
    <cellStyle name="Процентный 10 4" xfId="800"/>
    <cellStyle name="Процентный 10 5" xfId="801"/>
    <cellStyle name="Процентный 10 6" xfId="802"/>
    <cellStyle name="Процентный 10 7" xfId="803"/>
    <cellStyle name="Процентный 10 8" xfId="804"/>
    <cellStyle name="Процентный 11" xfId="805"/>
    <cellStyle name="Процентный 12" xfId="806"/>
    <cellStyle name="Процентный 13" xfId="807"/>
    <cellStyle name="Процентный 14" xfId="948"/>
    <cellStyle name="Процентный 15" xfId="950"/>
    <cellStyle name="Процентный 2" xfId="2"/>
    <cellStyle name="Процентный 2 2" xfId="808"/>
    <cellStyle name="Процентный 2 2 2" xfId="809"/>
    <cellStyle name="Процентный 2 2 2 2" xfId="810"/>
    <cellStyle name="Процентный 2 2 2 3" xfId="811"/>
    <cellStyle name="Процентный 2 2 2 4" xfId="812"/>
    <cellStyle name="Процентный 2 2 2 5" xfId="813"/>
    <cellStyle name="Процентный 2 2 2 6" xfId="814"/>
    <cellStyle name="Процентный 2 2 3" xfId="815"/>
    <cellStyle name="Процентный 2 2 4" xfId="816"/>
    <cellStyle name="Процентный 2 2 5" xfId="817"/>
    <cellStyle name="Процентный 2 2 6" xfId="818"/>
    <cellStyle name="Процентный 2 2 7" xfId="819"/>
    <cellStyle name="Процентный 2 3" xfId="820"/>
    <cellStyle name="Процентный 2 4" xfId="821"/>
    <cellStyle name="Процентный 2 4 2" xfId="822"/>
    <cellStyle name="Процентный 2 4 2 2" xfId="823"/>
    <cellStyle name="Процентный 2 4 2 3" xfId="824"/>
    <cellStyle name="Процентный 2 4 2 4" xfId="825"/>
    <cellStyle name="Процентный 2 4 2 5" xfId="826"/>
    <cellStyle name="Процентный 2 4 3" xfId="827"/>
    <cellStyle name="Процентный 2 4 4" xfId="828"/>
    <cellStyle name="Процентный 2 4 5" xfId="829"/>
    <cellStyle name="Процентный 2 5" xfId="830"/>
    <cellStyle name="Процентный 2 6" xfId="831"/>
    <cellStyle name="Процентный 2 7" xfId="832"/>
    <cellStyle name="Процентный 2 8" xfId="938"/>
    <cellStyle name="Процентный 3" xfId="833"/>
    <cellStyle name="Процентный 3 2" xfId="834"/>
    <cellStyle name="Процентный 3 3" xfId="835"/>
    <cellStyle name="Процентный 3 4" xfId="836"/>
    <cellStyle name="Процентный 4" xfId="837"/>
    <cellStyle name="Процентный 4 2" xfId="838"/>
    <cellStyle name="Процентный 5" xfId="839"/>
    <cellStyle name="Процентный 5 2" xfId="840"/>
    <cellStyle name="Процентный 6" xfId="841"/>
    <cellStyle name="Процентный 6 2" xfId="842"/>
    <cellStyle name="Процентный 7" xfId="843"/>
    <cellStyle name="Процентный 7 2" xfId="844"/>
    <cellStyle name="Процентный 8" xfId="845"/>
    <cellStyle name="Процентный 9" xfId="846"/>
    <cellStyle name="Связанная ячейка 2" xfId="847"/>
    <cellStyle name="Связанная ячейка 2 2" xfId="848"/>
    <cellStyle name="Связанная ячейка 2_3.1" xfId="849"/>
    <cellStyle name="Связанная ячейка 3" xfId="850"/>
    <cellStyle name="Связанная ячейка 4" xfId="851"/>
    <cellStyle name="Связанная ячейка 5" xfId="852"/>
    <cellStyle name="Связанная ячейка 6" xfId="853"/>
    <cellStyle name="Связанная ячейка 7" xfId="854"/>
    <cellStyle name="Стиль 1" xfId="855"/>
    <cellStyle name="Стиль 1 2" xfId="856"/>
    <cellStyle name="Стиль 1_CF and Working Capital targets FY2009 v6" xfId="857"/>
    <cellStyle name="Текст предупреждения 2" xfId="858"/>
    <cellStyle name="Текст предупреждения 2 2" xfId="859"/>
    <cellStyle name="Текст предупреждения 3" xfId="860"/>
    <cellStyle name="Текст предупреждения 4" xfId="861"/>
    <cellStyle name="Текст предупреждения 5" xfId="862"/>
    <cellStyle name="Текст предупреждения 6" xfId="863"/>
    <cellStyle name="Текст предупреждения 7" xfId="864"/>
    <cellStyle name="Тысячи [0]_27.02 скоррект. " xfId="865"/>
    <cellStyle name="Тысячи [а]" xfId="866"/>
    <cellStyle name="Тысячи_27.02 скоррект. " xfId="867"/>
    <cellStyle name="Финансовый 10" xfId="4"/>
    <cellStyle name="Финансовый 11" xfId="868"/>
    <cellStyle name="Финансовый 12" xfId="869"/>
    <cellStyle name="Финансовый 13" xfId="870"/>
    <cellStyle name="Финансовый 13 2 2" xfId="871"/>
    <cellStyle name="Финансовый 14" xfId="872"/>
    <cellStyle name="Финансовый 15" xfId="873"/>
    <cellStyle name="Финансовый 16" xfId="874"/>
    <cellStyle name="Финансовый 17" xfId="875"/>
    <cellStyle name="Финансовый 2" xfId="876"/>
    <cellStyle name="Финансовый 2 2" xfId="877"/>
    <cellStyle name="Финансовый 2 2 2" xfId="878"/>
    <cellStyle name="Финансовый 2 2 2 2" xfId="879"/>
    <cellStyle name="Финансовый 2 2 2 3" xfId="880"/>
    <cellStyle name="Финансовый 2 2 2 4" xfId="881"/>
    <cellStyle name="Финансовый 2 2 2 5" xfId="882"/>
    <cellStyle name="Финансовый 2 2 3" xfId="883"/>
    <cellStyle name="Финансовый 2 2 4" xfId="884"/>
    <cellStyle name="Финансовый 2 2 5" xfId="885"/>
    <cellStyle name="Финансовый 2 3" xfId="886"/>
    <cellStyle name="Финансовый 2 4" xfId="887"/>
    <cellStyle name="Финансовый 2 4 2" xfId="888"/>
    <cellStyle name="Финансовый 2 4 2 2" xfId="889"/>
    <cellStyle name="Финансовый 2 4 2 3" xfId="890"/>
    <cellStyle name="Финансовый 2 4 2 4" xfId="891"/>
    <cellStyle name="Финансовый 2 4 2 5" xfId="892"/>
    <cellStyle name="Финансовый 2 4 3" xfId="893"/>
    <cellStyle name="Финансовый 2 4 4" xfId="894"/>
    <cellStyle name="Финансовый 2 4 5" xfId="895"/>
    <cellStyle name="Финансовый 2 5" xfId="896"/>
    <cellStyle name="Финансовый 2 6" xfId="897"/>
    <cellStyle name="Финансовый 2 7" xfId="898"/>
    <cellStyle name="Финансовый 2 8" xfId="899"/>
    <cellStyle name="Финансовый 2_Кредитный_портфель_ГК_ДОМО_25.02.09" xfId="900"/>
    <cellStyle name="Финансовый 3" xfId="901"/>
    <cellStyle name="Финансовый 3 2" xfId="902"/>
    <cellStyle name="Финансовый 3 3" xfId="903"/>
    <cellStyle name="Финансовый 3 4" xfId="904"/>
    <cellStyle name="Финансовый 3 5" xfId="905"/>
    <cellStyle name="Финансовый 3 6" xfId="906"/>
    <cellStyle name="Финансовый 3 7" xfId="907"/>
    <cellStyle name="Финансовый 4" xfId="908"/>
    <cellStyle name="Финансовый 4 2" xfId="909"/>
    <cellStyle name="Финансовый 4 2 2" xfId="910"/>
    <cellStyle name="Финансовый 4 2 2 2" xfId="911"/>
    <cellStyle name="Финансовый 4 2 2 3" xfId="912"/>
    <cellStyle name="Финансовый 4 2 2 4" xfId="913"/>
    <cellStyle name="Финансовый 4 2 2 5" xfId="914"/>
    <cellStyle name="Финансовый 4 2 3" xfId="915"/>
    <cellStyle name="Финансовый 4 2 4" xfId="916"/>
    <cellStyle name="Финансовый 4 2 5" xfId="917"/>
    <cellStyle name="Финансовый 4 3" xfId="918"/>
    <cellStyle name="Финансовый 5" xfId="919"/>
    <cellStyle name="Финансовый 5 2" xfId="920"/>
    <cellStyle name="Финансовый 6" xfId="921"/>
    <cellStyle name="Финансовый 6 2" xfId="922"/>
    <cellStyle name="Финансовый 7" xfId="923"/>
    <cellStyle name="Финансовый 7 2" xfId="924"/>
    <cellStyle name="Финансовый 8" xfId="925"/>
    <cellStyle name="Финансовый 8 2" xfId="926"/>
    <cellStyle name="Финансовый 9" xfId="927"/>
    <cellStyle name="Хороший 2" xfId="928"/>
    <cellStyle name="Хороший 2 2" xfId="929"/>
    <cellStyle name="Хороший 3" xfId="930"/>
    <cellStyle name="Хороший 4" xfId="931"/>
    <cellStyle name="Хороший 5" xfId="932"/>
    <cellStyle name="Хороший 6" xfId="933"/>
    <cellStyle name="Хороший 7" xfId="934"/>
  </cellStyles>
  <dxfs count="0"/>
  <tableStyles count="0" defaultTableStyle="TableStyleMedium9" defaultPivotStyle="PivotStyleLight16"/>
  <colors>
    <mruColors>
      <color rgb="FF0000CC"/>
      <color rgb="FF00B0F0"/>
      <color rgb="FF00863D"/>
      <color rgb="FF98208F"/>
      <color rgb="FFDE0000"/>
      <color rgb="FFB8007F"/>
      <color rgb="FFE3771D"/>
      <color rgb="FFD60093"/>
      <color rgb="FFFF0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/Relationships>
</file>

<file path=xl/ctrlProps/ctrlProp1.xml><?xml version="1.0" encoding="utf-8"?>
<formControlPr xmlns="http://schemas.microsoft.com/office/spreadsheetml/2009/9/main" objectType="Drop" dropLines="12" dropStyle="combo" dx="16" fmlaLink="$E$11" fmlaRange="Служебная!$A$12:$A$23" noThreeD="1" sel="5" val="0"/>
</file>

<file path=xl/ctrlProps/ctrlProp2.xml><?xml version="1.0" encoding="utf-8"?>
<formControlPr xmlns="http://schemas.microsoft.com/office/spreadsheetml/2009/9/main" objectType="Drop" dropLines="2" dropStyle="combo" dx="16" fmlaLink="$E$12" fmlaRange="Служебная!$A$7:$A$8" noThreeD="1" sel="2" val="0"/>
</file>

<file path=xl/ctrlProps/ctrlProp3.xml><?xml version="1.0" encoding="utf-8"?>
<formControlPr xmlns="http://schemas.microsoft.com/office/spreadsheetml/2009/9/main" objectType="Drop" dropLines="3" dropStyle="combo" dx="16" fmlaLink="$E$8" fmlaRange="Служебная!$A$2:$B$4" noThreeD="1" sel="1" val="0"/>
</file>

<file path=xl/ctrlProps/ctrlProp4.xml><?xml version="1.0" encoding="utf-8"?>
<formControlPr xmlns="http://schemas.microsoft.com/office/spreadsheetml/2009/9/main" objectType="Drop" dropLines="2" dropStyle="combo" dx="16" fmlaLink="$E$12" fmlaRange="Служебная!$A$7:$A$8" noThreeD="1" sel="2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1259415</xdr:colOff>
      <xdr:row>46</xdr:row>
      <xdr:rowOff>10584</xdr:rowOff>
    </xdr:from>
    <xdr:to>
      <xdr:col>4</xdr:col>
      <xdr:colOff>168164</xdr:colOff>
      <xdr:row>46</xdr:row>
      <xdr:rowOff>154584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7748" y="6021917"/>
          <a:ext cx="930166" cy="1440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0</xdr:colOff>
          <xdr:row>11</xdr:row>
          <xdr:rowOff>9525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0</xdr:colOff>
          <xdr:row>12</xdr:row>
          <xdr:rowOff>9525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</xdr:row>
          <xdr:rowOff>0</xdr:rowOff>
        </xdr:from>
        <xdr:to>
          <xdr:col>4</xdr:col>
          <xdr:colOff>9525</xdr:colOff>
          <xdr:row>8</xdr:row>
          <xdr:rowOff>9525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0</xdr:colOff>
          <xdr:row>12</xdr:row>
          <xdr:rowOff>9525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</xdr:row>
      <xdr:rowOff>0</xdr:rowOff>
    </xdr:from>
    <xdr:to>
      <xdr:col>6</xdr:col>
      <xdr:colOff>1785176</xdr:colOff>
      <xdr:row>4</xdr:row>
      <xdr:rowOff>159083</xdr:rowOff>
    </xdr:to>
    <xdr:pic>
      <xdr:nvPicPr>
        <xdr:cNvPr id="7" name="Рисунок 6" descr="C:\Users\Брокер Финанс\Downloads\y64mq2mp8_o.jpg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7664"/>
        <a:stretch/>
      </xdr:blipFill>
      <xdr:spPr bwMode="auto">
        <a:xfrm>
          <a:off x="7376583" y="169333"/>
          <a:ext cx="1785176" cy="720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9</xdr:col>
      <xdr:colOff>779759</xdr:colOff>
      <xdr:row>4</xdr:row>
      <xdr:rowOff>159083</xdr:rowOff>
    </xdr:to>
    <xdr:pic>
      <xdr:nvPicPr>
        <xdr:cNvPr id="2" name="Рисунок 1" descr="C:\Users\Брокер Финанс\Downloads\y64mq2mp8_o.jpg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7664"/>
        <a:stretch/>
      </xdr:blipFill>
      <xdr:spPr bwMode="auto">
        <a:xfrm>
          <a:off x="9048750" y="169333"/>
          <a:ext cx="1785176" cy="720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11</xdr:col>
      <xdr:colOff>779759</xdr:colOff>
      <xdr:row>4</xdr:row>
      <xdr:rowOff>159083</xdr:rowOff>
    </xdr:to>
    <xdr:pic>
      <xdr:nvPicPr>
        <xdr:cNvPr id="2" name="Рисунок 1" descr="C:\Users\Брокер Финанс\Downloads\y64mq2mp8_o.jpg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7664"/>
        <a:stretch/>
      </xdr:blipFill>
      <xdr:spPr bwMode="auto">
        <a:xfrm>
          <a:off x="11017250" y="169333"/>
          <a:ext cx="1785176" cy="720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44</xdr:col>
      <xdr:colOff>0</xdr:colOff>
      <xdr:row>1</xdr:row>
      <xdr:rowOff>0</xdr:rowOff>
    </xdr:from>
    <xdr:to>
      <xdr:col>45</xdr:col>
      <xdr:colOff>779759</xdr:colOff>
      <xdr:row>5</xdr:row>
      <xdr:rowOff>333</xdr:rowOff>
    </xdr:to>
    <xdr:pic>
      <xdr:nvPicPr>
        <xdr:cNvPr id="2" name="Рисунок 1" descr="C:\Users\Брокер Финанс\Downloads\y64mq2mp8_o.jpg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7664"/>
        <a:stretch/>
      </xdr:blipFill>
      <xdr:spPr bwMode="auto">
        <a:xfrm>
          <a:off x="29210000" y="169333"/>
          <a:ext cx="1785176" cy="720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12</xdr:col>
      <xdr:colOff>779760</xdr:colOff>
      <xdr:row>4</xdr:row>
      <xdr:rowOff>159083</xdr:rowOff>
    </xdr:to>
    <xdr:pic>
      <xdr:nvPicPr>
        <xdr:cNvPr id="2" name="Рисунок 1" descr="C:\Users\Брокер Финанс\Downloads\y64mq2mp8_o.jpg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7664"/>
        <a:stretch/>
      </xdr:blipFill>
      <xdr:spPr bwMode="auto">
        <a:xfrm>
          <a:off x="11197167" y="169333"/>
          <a:ext cx="1785176" cy="720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11</xdr:col>
      <xdr:colOff>779759</xdr:colOff>
      <xdr:row>4</xdr:row>
      <xdr:rowOff>159083</xdr:rowOff>
    </xdr:to>
    <xdr:pic>
      <xdr:nvPicPr>
        <xdr:cNvPr id="2" name="Рисунок 1" descr="C:\Users\Брокер Финанс\Downloads\y64mq2mp8_o.jpg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7664"/>
        <a:stretch/>
      </xdr:blipFill>
      <xdr:spPr bwMode="auto">
        <a:xfrm>
          <a:off x="10414000" y="169333"/>
          <a:ext cx="1785176" cy="720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46</xdr:col>
      <xdr:colOff>0</xdr:colOff>
      <xdr:row>1</xdr:row>
      <xdr:rowOff>0</xdr:rowOff>
    </xdr:from>
    <xdr:to>
      <xdr:col>47</xdr:col>
      <xdr:colOff>779759</xdr:colOff>
      <xdr:row>4</xdr:row>
      <xdr:rowOff>159083</xdr:rowOff>
    </xdr:to>
    <xdr:pic>
      <xdr:nvPicPr>
        <xdr:cNvPr id="2" name="Рисунок 1" descr="C:\Users\Брокер Финанс\Downloads\y64mq2mp8_o.jpg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7664"/>
        <a:stretch/>
      </xdr:blipFill>
      <xdr:spPr bwMode="auto">
        <a:xfrm>
          <a:off x="36004500" y="169333"/>
          <a:ext cx="1785176" cy="720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2_srv\finans\common\&#1076;&#1083;&#1103;%20&#1051;&#1080;&#1072;&#1085;&#1099;\&#1044;&#1045;&#1049;&#1057;&#1058;&#1042;&#1059;&#1070;&#1065;&#1048;&#1045;%20&#1050;&#1056;&#1045;&#1044;&#1048;&#1058;&#1067;%20&#1055;&#1054;%20&#1042;&#1057;&#1045;&#1052;%20&#1070;&#1056;.&#1051;&#1048;&#1062;&#1040;&#1052;%20&#1054;&#1058;&#1044;&#1045;&#1051;&#1068;&#1053;&#1054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Users\!\Desktop\JOB\kaz\Documents%20and%20Settings\dgafurova\Local%20Settings\Temporary%20Internet%20Files\Content.Outlook\SR2LTX67\&#1057;&#1072;&#1090;&#1077;&#1083;&#1083;&#1080;&#1090;_&#1050;&#1101;&#1096;-&#1092;&#1083;&#1086;%20&#1076;&#1083;&#1103;%20&#1087;&#1077;&#1095;&#1072;&#1090;&#1080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2_srv\finans\U\_Finance\MAB\2008\&#1071;&#1085;&#1074;&#1072;&#1088;&#1100;\MAB\0108%20MAB%20transfomator%20v04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2_srv\finans\Documents%20and%20Settings\oreshkina\Local%20Settings\Temporary%20Internet%20Files\OLK2A7\0308%20MAB%20transfomator%20v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img.mail.yandex.net/Documents%20and%20Settings/user/Local%20Settings/Temporary%20Internet%20Files/OLK67/&#1041;&#1102;&#1076;&#1078;&#1077;&#1090;%20&#1044;&#1051;%202007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2_srv\finans\Documents%20and%20Settings\oreshkina\Local%20Settings\Temporary%20Internet%20Files\OLK2A7\1208%20MAB%20transfomator%20v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B-Acer03/Desktop/&#1040;&#1051;&#1057;&#1059;/&#1041;&#1048;&#1047;&#1053;&#1045;&#1057;-&#1055;&#1051;&#1040;&#1053;&#1067;/&#1052;&#1080;&#1083;&#1072;%20&#1052;&#1086;&#1090;&#1086;&#1088;&#1089;/18.01.2016/&#1058;&#1069;&#1054;%20&#1052;&#1080;&#1083;&#1072;&#1052;&#1086;&#1090;&#1086;&#1088;&#1089;%2018.01.20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2_srv\finans\Documents%20and%20Settings\oreshkina\Local%20Settings\Temporary%20Internet%20Files\OLK2A7\0408%20MAB%20transfomator%20v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2_srv\finans\Actual\0401%20jan\0401%20conso%20PL%20actual%20v1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2_srv\finans\FEO\&#1052;&#1091;&#1089;&#1080;&#1085;&#1091;...&#1082;%20&#1089;&#1086;&#1074;&#1077;&#1097;&#1072;&#1085;&#1080;&#1103;&#1084;\&#1052;&#1091;&#1089;&#1080;&#1085;&#1091;...&#1041;&#1044;&#1056;%20&#1087;&#1083;&#1072;&#1085;%20&#1089;&#1077;&#1085;&#1090;2008-2009=19-08-08\&#1042;&#1089;&#1087;&#1086;&#1084;&#1086;&#1075;&#1072;&#1090;&#1077;&#1083;&#1100;&#1085;&#1099;&#1077;\offshore_gec_Ilqsat_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2_srv\finans\U\&#1041;&#1091;&#1093;&#1075;&#1072;&#1083;&#1090;&#1077;&#1088;&#1080;&#1103;\Account%202008%20&#1080;&#1102;&#1085;&#1100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OOR-5-PG\C\&#1052;&#1086;&#1080;%20&#1076;&#1086;&#1082;&#1091;&#1084;&#1077;&#1085;&#1090;&#1099;\&#1041;&#1080;&#1079;&#1085;&#1077;&#1089;-&#1087;&#1083;&#1072;&#1085;%202002\&#1052;&#1086;&#1076;&#1077;&#1083;&#1100;_&#1055;&#1077;&#1089;&#1089;&#1080;&#1084;_&#1087;&#1088;&#1086;&#1073;&#1085;&#1099;&#1081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2_srv\finans\Documents%20and%20Settings\baeva\Local%20Settings\Temporary%20Internet%20Files\OLK5D\&#1041;&#1102;&#1076;&#1078;&#1077;&#1090;%207&#1071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2_srv\finans\U\&#1041;&#1091;&#1093;&#1075;&#1072;&#1083;&#1090;&#1077;&#1088;&#1080;&#1103;\Account%202008%20&#1080;&#1102;&#1083;&#110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ОМО-Вятка"/>
      <sheetName val="Айсберг"/>
      <sheetName val="Прогресс"/>
      <sheetName val="Бытовая Электроника"/>
      <sheetName val="Комфорт"/>
      <sheetName val="Техника"/>
      <sheetName val="ККН"/>
      <sheetName val="Абрис"/>
      <sheetName val="Траверз"/>
      <sheetName val="Реестр кредитных договоров"/>
      <sheetName val="Кредитный портфель"/>
      <sheetName val="Свод"/>
      <sheetName val="расчет % по сост. на 18.02.09"/>
      <sheetName val="Расчет %% по дог.493"/>
      <sheetName val="Динамика кред портфеля "/>
      <sheetName val="Динамика процентов"/>
      <sheetName val="Динамика (вариант2)"/>
      <sheetName val="Динамика (вариант1)"/>
      <sheetName val="АРИС"/>
      <sheetName val="Лист1"/>
      <sheetName val="БЫТ. ЭЛ."/>
      <sheetName val="ОБЩИЙ ИТОГ"/>
      <sheetName val="Реестр кредитных договоров (2)"/>
      <sheetName val="ДОМО"/>
      <sheetName val="ЭЛЕКТРОНИКА"/>
      <sheetName val="ГЛОБУС"/>
      <sheetName val="Для Дамира (1)"/>
      <sheetName val="Для Дамира (с гарант и аккред)"/>
      <sheetName val="Для Дамира (3)"/>
      <sheetName val="по банкам отдельно"/>
      <sheetName val="20.02.08"/>
      <sheetName val="18.02.08"/>
      <sheetName val="ТФБ"/>
      <sheetName val="АББ"/>
      <sheetName val="АББ ТФБ"/>
      <sheetName val="СБ"/>
      <sheetName val="СБ1"/>
      <sheetName val="Для Дамира (2)"/>
      <sheetName val="Для Дамира"/>
      <sheetName val="Лист3"/>
      <sheetName val="Лист2"/>
      <sheetName val="Апсел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>
        <row r="1">
          <cell r="L1">
            <v>25.262599999999999</v>
          </cell>
        </row>
      </sheetData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ан БДР Satellit"/>
      <sheetName val="Адель"/>
      <sheetName val="Закупки и оплата"/>
      <sheetName val="CF"/>
      <sheetName val="БДР"/>
      <sheetName val="БДДС прогноз"/>
      <sheetName val="Первые оплаты"/>
      <sheetName val="долги все"/>
      <sheetName val="Закупки и оплата печать"/>
      <sheetName val="График оплат"/>
      <sheetName val="Лист6"/>
      <sheetName val="План оплаты"/>
      <sheetName val="План оплаты (2)"/>
    </sheetNames>
    <sheetDataSet>
      <sheetData sheetId="0" refreshError="1"/>
      <sheetData sheetId="1">
        <row r="71">
          <cell r="T71">
            <v>1716445000</v>
          </cell>
        </row>
        <row r="73">
          <cell r="J73">
            <v>518203000</v>
          </cell>
        </row>
      </sheetData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налитика"/>
      <sheetName val="общее ср-е"/>
      <sheetName val="0108 vs 0107EXCL VAT"/>
      <sheetName val="0108 vs 0107EXCL VAT_ret"/>
      <sheetName val="0108 vs YB EXCL VAT"/>
      <sheetName val="0108 vs YB EXCL VAT_ret"/>
      <sheetName val="retail EXCL VAT"/>
      <sheetName val="0108 vs YBEXCL VAT conso"/>
      <sheetName val="vert EXCL VAT"/>
      <sheetName val="заготовка"/>
      <sheetName val="заготовка2"/>
      <sheetName val="BSact"/>
      <sheetName val="BSactEXCL_VAT"/>
      <sheetName val="CFS"/>
      <sheetName val="CFS_EXCL VAT"/>
      <sheetName val="CF"/>
      <sheetName val="Financing Activity 0108"/>
      <sheetName val="Store perf06"/>
      <sheetName val="Store perf_EXCL_VAT"/>
      <sheetName val="Store perf07"/>
      <sheetName val="1.1"/>
      <sheetName val="1.4"/>
      <sheetName val="1.2"/>
      <sheetName val="2.01"/>
      <sheetName val="2.02"/>
      <sheetName val="2.03"/>
      <sheetName val="2.04"/>
      <sheetName val="2.05"/>
      <sheetName val="2.06"/>
      <sheetName val="2.06_01"/>
      <sheetName val="2.06_"/>
      <sheetName val="2.06_2"/>
      <sheetName val="2.07"/>
      <sheetName val="2.10"/>
      <sheetName val="2.08"/>
      <sheetName val="2.08_1"/>
      <sheetName val="2.09"/>
      <sheetName val="2.10_"/>
      <sheetName val="2.11"/>
      <sheetName val="2.12"/>
      <sheetName val="2.13"/>
      <sheetName val="2.14"/>
      <sheetName val="2.20"/>
      <sheetName val="2.20 (2)"/>
      <sheetName val="2.23"/>
      <sheetName val="2.24"/>
      <sheetName val="РКО"/>
      <sheetName val="2.23_"/>
      <sheetName val="2.25"/>
      <sheetName val="2.26"/>
      <sheetName val="2.27"/>
      <sheetName val="0108 vs YBEXCL VAT conso (2)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/>
      <sheetData sheetId="9" refreshError="1">
        <row r="3">
          <cell r="C3">
            <v>26.5</v>
          </cell>
        </row>
      </sheetData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налитика"/>
      <sheetName val="общее ср-е"/>
      <sheetName val="0308 vs 0307EXCL VAT"/>
      <sheetName val="0308 vs 0307EXCL VAT_ret"/>
      <sheetName val="0308 vs YB EXCL VAT"/>
      <sheetName val="0308 vs YB EXCL VAT_ret"/>
      <sheetName val="retail EXCL VAT"/>
      <sheetName val="0308 vs YBEXCL VAT conso"/>
      <sheetName val="08 vs YBEXCL VAT conso"/>
      <sheetName val="vert EXCL VAT"/>
      <sheetName val="заготовка"/>
      <sheetName val="заготовка2"/>
      <sheetName val="BSact"/>
      <sheetName val="BSactEXCL_VAT"/>
      <sheetName val="CFS"/>
      <sheetName val="CFS_EXCL VAT"/>
      <sheetName val="CF"/>
      <sheetName val="Financing Activity 0308"/>
      <sheetName val="Store perf07"/>
      <sheetName val="Store perf_EXCL_VAT"/>
      <sheetName val="Store perf08"/>
      <sheetName val="1.1"/>
      <sheetName val="1.4"/>
      <sheetName val="1.2"/>
      <sheetName val="2.01"/>
      <sheetName val="2.02"/>
      <sheetName val="2.03"/>
      <sheetName val="2.03old"/>
      <sheetName val="capex_марк"/>
      <sheetName val="2.04"/>
      <sheetName val="2.05"/>
      <sheetName val="2.06"/>
      <sheetName val="2.06_01"/>
      <sheetName val="2.06_"/>
      <sheetName val="2.06_2"/>
      <sheetName val="2.07"/>
      <sheetName val="2.10"/>
      <sheetName val="2.08"/>
      <sheetName val="2.08_1"/>
      <sheetName val="2.09"/>
      <sheetName val="2.10_2"/>
      <sheetName val="2.10_"/>
      <sheetName val="2.11"/>
      <sheetName val="2.12"/>
      <sheetName val="2.13"/>
      <sheetName val="2.14"/>
      <sheetName val="2.20"/>
      <sheetName val="2.20 (2)"/>
      <sheetName val="2.23"/>
      <sheetName val="2.24"/>
      <sheetName val="РКО"/>
      <sheetName val="2.23_"/>
      <sheetName val="2.25_2"/>
      <sheetName val="2.25"/>
      <sheetName val="2.26"/>
      <sheetName val="2.2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3">
          <cell r="C3">
            <v>26.5</v>
          </cell>
        </row>
      </sheetData>
      <sheetData sheetId="1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 бюджет"/>
      <sheetName val="молком"/>
      <sheetName val="сэ"/>
      <sheetName val="транспорт"/>
      <sheetName val="рег транспорт"/>
      <sheetName val="_"/>
      <sheetName val="sales2006_SKU"/>
      <sheetName val="д2006-2007"/>
      <sheetName val="закупки2007"/>
      <sheetName val="запасы цс"/>
      <sheetName val="new shops"/>
      <sheetName val="д2006-2007(full)"/>
      <sheetName val="д2006"/>
      <sheetName val="д мод8"/>
      <sheetName val="модель (8)"/>
      <sheetName val="д факт_11_2006"/>
      <sheetName val="модель11_2006"/>
      <sheetName val="прогноз_4кв2006"/>
      <sheetName val="молком (1 вар)"/>
    </sheetNames>
    <sheetDataSet>
      <sheetData sheetId="0" refreshError="1">
        <row r="2">
          <cell r="C2">
            <v>26.5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налитика"/>
      <sheetName val="общее ср-е"/>
      <sheetName val="1108 vs 1107EXCL VATруб."/>
      <sheetName val="1208 vs 1207EXCL VAT_ret"/>
      <sheetName val="1108 vs 1107EXCL VAT_ret_руб."/>
      <sheetName val="retail EXCL VATrub"/>
      <sheetName val="1208 vs YB EXCL VAT"/>
      <sheetName val="1108 vs YB EXCL VATруб."/>
      <sheetName val="1208 vs YBEXCL VAT conso"/>
      <sheetName val="1108 vs YBEXCL VAT consoруб."/>
      <sheetName val="1208 vs EST EXCL VAT"/>
      <sheetName val="1208 vs EST EXCL VAT conso"/>
      <sheetName val="08 vs YBEXCL VAT conso"/>
      <sheetName val="08 vs YBEXCL VAT conso руб."/>
      <sheetName val="08 vs EST EXCL VAT conso"/>
      <sheetName val="vert EXCL VAT"/>
      <sheetName val="заготовка"/>
      <sheetName val="vert EXCL VATруб."/>
      <sheetName val="заготовка2"/>
      <sheetName val="BSact"/>
      <sheetName val="BSactEXCL_VAT"/>
      <sheetName val="CFS"/>
      <sheetName val="CFS_EXCL VAT"/>
      <sheetName val="CF"/>
      <sheetName val="заготовка_руб."/>
      <sheetName val="metod"/>
      <sheetName val="Financing Activity 1208"/>
      <sheetName val="Store perf_EXCL_VAT"/>
      <sheetName val="Store perf_EXCL_VAT руб."/>
      <sheetName val="Store perf08"/>
      <sheetName val="Store perf_EXCL_VAT руб. (2)"/>
      <sheetName val="1.1"/>
      <sheetName val="1.4"/>
      <sheetName val="1.1 (2)"/>
      <sheetName val="1.2"/>
      <sheetName val="2.01_"/>
      <sheetName val="2.01"/>
      <sheetName val="2.02_"/>
      <sheetName val="2.02"/>
      <sheetName val="2.03"/>
      <sheetName val="2.03old"/>
      <sheetName val="2.03_1"/>
      <sheetName val="2.04"/>
      <sheetName val="2.04 р"/>
      <sheetName val="2.06"/>
      <sheetName val="2.06_"/>
      <sheetName val="2.06_2"/>
      <sheetName val="2.05_1"/>
      <sheetName val="2.05_2"/>
      <sheetName val="2.06_1"/>
      <sheetName val="2.06_3"/>
      <sheetName val="2.07"/>
      <sheetName val="2.10"/>
      <sheetName val="2.08"/>
      <sheetName val="2.07_1"/>
      <sheetName val="2.08_2"/>
      <sheetName val="2.09"/>
      <sheetName val="2.10_3"/>
      <sheetName val="2.10_2"/>
      <sheetName val="2.10_"/>
      <sheetName val="2.11"/>
      <sheetName val="2.11_2"/>
      <sheetName val="2.12"/>
      <sheetName val="2.13"/>
      <sheetName val="2.13_3"/>
      <sheetName val="2.13_2"/>
      <sheetName val="2.13_4"/>
      <sheetName val="2.14"/>
      <sheetName val="2.15"/>
      <sheetName val="2.16"/>
      <sheetName val="2.20"/>
      <sheetName val="2.20_1"/>
      <sheetName val="2.20 (2)"/>
      <sheetName val="2.23"/>
      <sheetName val="2.24"/>
      <sheetName val="РКО"/>
      <sheetName val="инкассац"/>
      <sheetName val="2.23_"/>
      <sheetName val="2.25_2"/>
      <sheetName val="2.25"/>
      <sheetName val="2.26"/>
      <sheetName val="2.27"/>
      <sheetName val="Лист1"/>
      <sheetName val="Лист2"/>
      <sheetName val="2_10_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одержание"/>
      <sheetName val="ИД"/>
      <sheetName val="1"/>
      <sheetName val="рабочий лист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Лист1"/>
      <sheetName val="15"/>
      <sheetName val="Лист2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>
        <row r="14">
          <cell r="B14">
            <v>0</v>
          </cell>
        </row>
      </sheetData>
      <sheetData sheetId="17" refreshError="1"/>
      <sheetData sheetId="18" refreshError="1"/>
      <sheetData sheetId="1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налитика"/>
      <sheetName val="общее ср-е"/>
      <sheetName val="0408 vs 0407EXCL VAT"/>
      <sheetName val="0408 vs 0407EXCL VAT_ret"/>
      <sheetName val="0408 vs YB EXCL VAT_ret"/>
      <sheetName val="retail EXCL VAT"/>
      <sheetName val="0408 vs YBEXCL VAT conso"/>
      <sheetName val="08 vs YBEXCL VAT conso"/>
      <sheetName val="vert EXCL VAT"/>
      <sheetName val="заготовка"/>
      <sheetName val="заготовка2"/>
      <sheetName val="BSact"/>
      <sheetName val="BSactEXCL_VAT"/>
      <sheetName val="CFS"/>
      <sheetName val="CFS_EXCL VAT"/>
      <sheetName val="CF"/>
      <sheetName val="Financing Activity 0408"/>
      <sheetName val="Store perf07"/>
      <sheetName val="Store perf_EXCL_VAT"/>
      <sheetName val="Store perf08"/>
      <sheetName val="1.1"/>
      <sheetName val="1.4"/>
      <sheetName val="1.2"/>
      <sheetName val="2.01"/>
      <sheetName val="2.02"/>
      <sheetName val="2.03"/>
      <sheetName val="2.03old"/>
      <sheetName val="2.03_1"/>
      <sheetName val="capex_марк"/>
      <sheetName val="2.04"/>
      <sheetName val="2.05"/>
      <sheetName val="2.06"/>
      <sheetName val="2.06_01"/>
      <sheetName val="2.06_"/>
      <sheetName val="2.06_2"/>
      <sheetName val="2.07"/>
      <sheetName val="2.10"/>
      <sheetName val="2.08"/>
      <sheetName val="2.08_1"/>
      <sheetName val="2.09"/>
      <sheetName val="2.10_2"/>
      <sheetName val="2.10_"/>
      <sheetName val="2.11"/>
      <sheetName val="2.12"/>
      <sheetName val="2.13"/>
      <sheetName val="2.14"/>
      <sheetName val="2.20"/>
      <sheetName val="2.20 (2)"/>
      <sheetName val="2.23"/>
      <sheetName val="2.24"/>
      <sheetName val="РКО"/>
      <sheetName val="инкассац"/>
      <sheetName val="2.23_"/>
      <sheetName val="2.25_2"/>
      <sheetName val="2.25"/>
      <sheetName val="2.26"/>
      <sheetName val="2.27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C3">
            <v>26.5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 monthly"/>
      <sheetName val="retail"/>
      <sheetName val="ord"/>
      <sheetName val="corp"/>
      <sheetName val="key cl"/>
      <sheetName val="conso jan-dec"/>
      <sheetName val="conso jan-nov"/>
      <sheetName val="conso jan-oct"/>
      <sheetName val="conso jan-sept"/>
      <sheetName val="conso jan-aug"/>
      <sheetName val="conso jan-june"/>
      <sheetName val="jan new"/>
      <sheetName val="jan old"/>
      <sheetName val="LC"/>
      <sheetName val="уточнения"/>
      <sheetName val="feb new"/>
      <sheetName val="feb old"/>
      <sheetName val="marh new"/>
      <sheetName val="mrch old"/>
      <sheetName val="apr new"/>
      <sheetName val="apr old"/>
      <sheetName val="may new"/>
      <sheetName val="may old"/>
      <sheetName val="june new"/>
      <sheetName val="june old"/>
      <sheetName val="july new"/>
      <sheetName val="july old"/>
      <sheetName val="aug new"/>
      <sheetName val="aug old"/>
      <sheetName val="aug old_t"/>
      <sheetName val="sep new"/>
      <sheetName val="sep old"/>
      <sheetName val="oct new"/>
      <sheetName val="oct old"/>
      <sheetName val="nov new"/>
      <sheetName val="nov old"/>
      <sheetName val="dec new"/>
      <sheetName val="dec old"/>
      <sheetName val="conso al"/>
      <sheetName val="retail al"/>
      <sheetName val="corp 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83">
          <cell r="B83">
            <v>30.7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>
        <row r="83">
          <cell r="B83">
            <v>29.2</v>
          </cell>
        </row>
      </sheetData>
      <sheetData sheetId="38" refreshError="1"/>
      <sheetData sheetId="39" refreshError="1"/>
      <sheetData sheetId="4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Shore"/>
      <sheetName val="OffShore (2)"/>
      <sheetName val="OffShore_(2)"/>
    </sheetNames>
    <sheetDataSet>
      <sheetData sheetId="0" refreshError="1">
        <row r="27">
          <cell r="B27" t="str">
            <v>российский рубль</v>
          </cell>
        </row>
        <row r="28">
          <cell r="B28" t="str">
            <v>доллар США</v>
          </cell>
        </row>
        <row r="29">
          <cell r="B29" t="str">
            <v>ЕВРО</v>
          </cell>
        </row>
        <row r="30">
          <cell r="B30" t="str">
            <v>швейцарские франки</v>
          </cell>
        </row>
        <row r="31">
          <cell r="B31" t="str">
            <v>HKD</v>
          </cell>
        </row>
      </sheetData>
      <sheetData sheetId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 платежей (2)"/>
      <sheetName val="РЕЕСТР платежей"/>
      <sheetName val="Сводная"/>
      <sheetName val="Сводная М"/>
      <sheetName val="Кредиты"/>
      <sheetName val="Отложенные. НЕ ПЛАТИМ"/>
      <sheetName val="Списки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Буканов</v>
          </cell>
          <cell r="D2" t="str">
            <v>5-АВЕНЮ</v>
          </cell>
          <cell r="G2" t="str">
            <v>Бор</v>
          </cell>
          <cell r="I2" t="str">
            <v>АБ</v>
          </cell>
          <cell r="J2" t="str">
            <v>БВ</v>
          </cell>
        </row>
        <row r="3">
          <cell r="A3" t="str">
            <v>Бобылева</v>
          </cell>
          <cell r="D3" t="str">
            <v>АКАДЕМИЧЕСКАЯ</v>
          </cell>
          <cell r="G3" t="str">
            <v>Видное</v>
          </cell>
          <cell r="I3" t="str">
            <v>БМ</v>
          </cell>
          <cell r="J3" t="str">
            <v>БВЦ</v>
          </cell>
        </row>
        <row r="4">
          <cell r="A4" t="str">
            <v>Бунжуков</v>
          </cell>
          <cell r="D4" t="str">
            <v>Арсенал</v>
          </cell>
          <cell r="G4" t="str">
            <v>Волгоград</v>
          </cell>
          <cell r="I4" t="str">
            <v>СБ</v>
          </cell>
        </row>
        <row r="5">
          <cell r="A5" t="str">
            <v>Вершинина</v>
          </cell>
          <cell r="D5" t="str">
            <v>Балашиха</v>
          </cell>
          <cell r="G5" t="str">
            <v>Воскресенск</v>
          </cell>
          <cell r="I5" t="str">
            <v>УС</v>
          </cell>
        </row>
        <row r="6">
          <cell r="A6" t="str">
            <v>Гостев</v>
          </cell>
          <cell r="D6" t="str">
            <v>Белая Дача</v>
          </cell>
          <cell r="G6" t="str">
            <v>Дзержинск</v>
          </cell>
          <cell r="I6" t="str">
            <v>МКБ</v>
          </cell>
        </row>
        <row r="7">
          <cell r="A7" t="str">
            <v xml:space="preserve">Грязнова </v>
          </cell>
          <cell r="D7" t="str">
            <v>БИБИРЕВО</v>
          </cell>
          <cell r="G7" t="str">
            <v>Зеленоград</v>
          </cell>
          <cell r="I7" t="str">
            <v>ЛБ</v>
          </cell>
        </row>
        <row r="8">
          <cell r="A8" t="str">
            <v>Гурьева</v>
          </cell>
          <cell r="D8" t="str">
            <v>Вавилон, Ростов</v>
          </cell>
          <cell r="G8" t="str">
            <v>Иваново</v>
          </cell>
          <cell r="I8" t="str">
            <v>БРС</v>
          </cell>
        </row>
        <row r="9">
          <cell r="A9" t="str">
            <v>Дюмина</v>
          </cell>
          <cell r="D9" t="str">
            <v>ВАРШАВСКАЯ</v>
          </cell>
          <cell r="G9" t="str">
            <v>Казань</v>
          </cell>
          <cell r="I9" t="str">
            <v>ФБ</v>
          </cell>
        </row>
        <row r="10">
          <cell r="A10" t="str">
            <v>Елизаров</v>
          </cell>
          <cell r="D10" t="str">
            <v>Вернадский</v>
          </cell>
          <cell r="G10" t="str">
            <v>Калуга</v>
          </cell>
          <cell r="I10" t="str">
            <v>МБ</v>
          </cell>
        </row>
        <row r="11">
          <cell r="A11" t="str">
            <v>Ковалева Т.</v>
          </cell>
          <cell r="D11" t="str">
            <v>Вернисаж</v>
          </cell>
          <cell r="G11" t="str">
            <v>Коломна</v>
          </cell>
          <cell r="I11" t="str">
            <v>ЮК</v>
          </cell>
        </row>
        <row r="12">
          <cell r="A12" t="str">
            <v>Костина</v>
          </cell>
          <cell r="D12" t="str">
            <v>Видное</v>
          </cell>
          <cell r="G12" t="str">
            <v>Курган</v>
          </cell>
        </row>
        <row r="13">
          <cell r="A13" t="str">
            <v>Лебедкина</v>
          </cell>
          <cell r="D13" t="str">
            <v>ВОЙКОВСКАЯ</v>
          </cell>
          <cell r="G13" t="str">
            <v>Липецк</v>
          </cell>
        </row>
        <row r="14">
          <cell r="A14" t="str">
            <v>Левина</v>
          </cell>
          <cell r="D14" t="str">
            <v>ВОЛГОГРАДСКИЙ</v>
          </cell>
          <cell r="G14" t="str">
            <v>Москва</v>
          </cell>
        </row>
        <row r="15">
          <cell r="A15" t="str">
            <v>Лихов</v>
          </cell>
          <cell r="D15" t="str">
            <v>Времена Года</v>
          </cell>
          <cell r="G15" t="str">
            <v>Н. Новгород</v>
          </cell>
        </row>
        <row r="16">
          <cell r="A16" t="str">
            <v>Марков</v>
          </cell>
          <cell r="D16" t="str">
            <v>все магазины</v>
          </cell>
          <cell r="G16" t="str">
            <v>Н. Челны</v>
          </cell>
        </row>
        <row r="17">
          <cell r="A17" t="str">
            <v>Милешина</v>
          </cell>
          <cell r="D17" t="str">
            <v>Галерея Арт (Уфа)</v>
          </cell>
          <cell r="G17" t="str">
            <v>Нижнекамск</v>
          </cell>
        </row>
        <row r="18">
          <cell r="A18" t="str">
            <v>Непочатых</v>
          </cell>
          <cell r="D18" t="str">
            <v>ГиперСити</v>
          </cell>
          <cell r="G18" t="str">
            <v>Новосибирск</v>
          </cell>
        </row>
        <row r="19">
          <cell r="A19" t="str">
            <v>Новиков</v>
          </cell>
          <cell r="D19" t="str">
            <v>ГОРБУШКА</v>
          </cell>
          <cell r="G19" t="str">
            <v>Омск</v>
          </cell>
        </row>
        <row r="20">
          <cell r="A20" t="str">
            <v>Осокин</v>
          </cell>
          <cell r="D20" t="str">
            <v>Горбушка-2000</v>
          </cell>
          <cell r="G20" t="str">
            <v>Орехово-Зуево</v>
          </cell>
        </row>
        <row r="21">
          <cell r="A21" t="str">
            <v>Пахомова</v>
          </cell>
          <cell r="D21" t="str">
            <v>ДРИМ-ХАУЗ</v>
          </cell>
          <cell r="G21" t="str">
            <v>Пенза</v>
          </cell>
        </row>
        <row r="22">
          <cell r="A22" t="str">
            <v>Потанин</v>
          </cell>
          <cell r="D22" t="str">
            <v>Европейский</v>
          </cell>
          <cell r="G22" t="str">
            <v>Питер</v>
          </cell>
        </row>
        <row r="23">
          <cell r="A23" t="str">
            <v>Разумова</v>
          </cell>
          <cell r="D23" t="str">
            <v>Ереван Плаза</v>
          </cell>
          <cell r="G23" t="str">
            <v>Псков</v>
          </cell>
        </row>
        <row r="24">
          <cell r="A24" t="str">
            <v>Ромашова</v>
          </cell>
          <cell r="D24" t="str">
            <v>Зеленоград</v>
          </cell>
          <cell r="G24" t="str">
            <v>Ростов</v>
          </cell>
        </row>
        <row r="25">
          <cell r="A25" t="str">
            <v>Савин</v>
          </cell>
          <cell r="D25" t="str">
            <v>Зеркало, Бор</v>
          </cell>
          <cell r="G25" t="str">
            <v>Самара</v>
          </cell>
        </row>
        <row r="26">
          <cell r="A26" t="str">
            <v>Семенов</v>
          </cell>
          <cell r="D26" t="str">
            <v>Зиг Заг, Москва</v>
          </cell>
          <cell r="G26" t="str">
            <v>Сергиев Посад</v>
          </cell>
        </row>
        <row r="27">
          <cell r="A27" t="str">
            <v>Синельников</v>
          </cell>
          <cell r="D27" t="str">
            <v>Казань Кольцо</v>
          </cell>
          <cell r="G27" t="str">
            <v>Сратов</v>
          </cell>
        </row>
        <row r="28">
          <cell r="A28" t="str">
            <v>Советкин</v>
          </cell>
          <cell r="D28" t="str">
            <v>Казань Мега</v>
          </cell>
          <cell r="G28" t="str">
            <v>Тольятти</v>
          </cell>
        </row>
        <row r="29">
          <cell r="A29" t="str">
            <v>Степанян</v>
          </cell>
          <cell r="D29" t="str">
            <v>Казань офис</v>
          </cell>
        </row>
        <row r="30">
          <cell r="A30" t="str">
            <v>Тарасова</v>
          </cell>
          <cell r="D30" t="str">
            <v>Казань Пхаус</v>
          </cell>
        </row>
        <row r="31">
          <cell r="D31" t="str">
            <v>Калуга</v>
          </cell>
        </row>
        <row r="32">
          <cell r="D32" t="str">
            <v>КАШИРСКАЯ</v>
          </cell>
        </row>
        <row r="33">
          <cell r="D33" t="str">
            <v>КОСМОС, Ярославль</v>
          </cell>
        </row>
        <row r="34">
          <cell r="D34" t="str">
            <v>КРАСНОПРУДНАЯ</v>
          </cell>
        </row>
        <row r="35">
          <cell r="D35" t="str">
            <v>Куба</v>
          </cell>
        </row>
        <row r="36">
          <cell r="D36" t="str">
            <v>ЛЕНИНСКИЙ</v>
          </cell>
        </row>
        <row r="37">
          <cell r="D37" t="str">
            <v>Мадагаскар, Тольятти</v>
          </cell>
        </row>
        <row r="38">
          <cell r="D38" t="str">
            <v>МАЯКОВСКАЯ</v>
          </cell>
        </row>
        <row r="39">
          <cell r="D39" t="str">
            <v>Мега Адыгея</v>
          </cell>
        </row>
        <row r="40">
          <cell r="D40" t="str">
            <v>Мега Омск</v>
          </cell>
        </row>
        <row r="41">
          <cell r="D41" t="str">
            <v>Мега Самара</v>
          </cell>
        </row>
        <row r="42">
          <cell r="D42" t="str">
            <v>Мега Уфа</v>
          </cell>
        </row>
        <row r="43">
          <cell r="D43" t="str">
            <v>Менделеева, Воскресенск</v>
          </cell>
        </row>
        <row r="44">
          <cell r="D44" t="str">
            <v>Молком</v>
          </cell>
        </row>
        <row r="45">
          <cell r="D45" t="str">
            <v>Н Челны</v>
          </cell>
        </row>
        <row r="46">
          <cell r="D46" t="str">
            <v>Н. Новгород офис</v>
          </cell>
        </row>
        <row r="47">
          <cell r="D47" t="str">
            <v>Нижнекамск</v>
          </cell>
        </row>
        <row r="48">
          <cell r="D48" t="str">
            <v>НН Мега</v>
          </cell>
        </row>
        <row r="49">
          <cell r="D49" t="str">
            <v>НН Фантастика</v>
          </cell>
        </row>
        <row r="50">
          <cell r="D50" t="str">
            <v>НН Шоколад</v>
          </cell>
        </row>
        <row r="51">
          <cell r="D51" t="str">
            <v>Новосибирск Мега</v>
          </cell>
        </row>
        <row r="52">
          <cell r="D52" t="str">
            <v>Новосибирск офис</v>
          </cell>
        </row>
        <row r="53">
          <cell r="D53" t="str">
            <v>Новосибирск Роял</v>
          </cell>
        </row>
        <row r="54">
          <cell r="D54" t="str">
            <v>НОВЫЕ ЧЕРЕМУШКИ</v>
          </cell>
        </row>
        <row r="55">
          <cell r="D55" t="str">
            <v>НОВЫЙ АРБАТ</v>
          </cell>
        </row>
        <row r="56">
          <cell r="D56" t="str">
            <v>ОКТЯБРЬСКОЕ ПОЛЕ</v>
          </cell>
        </row>
        <row r="57">
          <cell r="D57" t="str">
            <v>Орехово З</v>
          </cell>
        </row>
        <row r="58">
          <cell r="D58" t="str">
            <v>офис</v>
          </cell>
        </row>
        <row r="59">
          <cell r="D59" t="str">
            <v>Питер офис</v>
          </cell>
        </row>
        <row r="60">
          <cell r="D60" t="str">
            <v>ПОДОЛЬСК</v>
          </cell>
        </row>
        <row r="61">
          <cell r="D61" t="str">
            <v>ПРАЖСКАЯ</v>
          </cell>
        </row>
        <row r="62">
          <cell r="D62" t="str">
            <v>ПРЕОБРАЖЕНСКАЯ</v>
          </cell>
        </row>
        <row r="63">
          <cell r="D63" t="str">
            <v>Реал, Волгоград</v>
          </cell>
        </row>
        <row r="64">
          <cell r="D64" t="str">
            <v>Реал, Липецк</v>
          </cell>
        </row>
        <row r="65">
          <cell r="D65" t="str">
            <v>Регионы</v>
          </cell>
        </row>
        <row r="66">
          <cell r="D66" t="str">
            <v>РИО</v>
          </cell>
        </row>
        <row r="67">
          <cell r="D67" t="str">
            <v>Рио Гранд, Иваново</v>
          </cell>
        </row>
        <row r="68">
          <cell r="D68" t="str">
            <v>Рио Гранд, Ярославль</v>
          </cell>
        </row>
        <row r="69">
          <cell r="D69" t="str">
            <v>Ростов Мега</v>
          </cell>
        </row>
        <row r="70">
          <cell r="D70" t="str">
            <v>Рояль, Дзержинск</v>
          </cell>
        </row>
        <row r="71">
          <cell r="D71" t="str">
            <v>Русь на Волге, Самара</v>
          </cell>
        </row>
        <row r="72">
          <cell r="D72" t="str">
            <v>Русь на Волге, Тольятти</v>
          </cell>
        </row>
        <row r="73">
          <cell r="D73" t="str">
            <v>САВЕЛОВСКИЙ 2</v>
          </cell>
        </row>
        <row r="74">
          <cell r="D74" t="str">
            <v>Самара Дыбенко</v>
          </cell>
        </row>
        <row r="75">
          <cell r="D75" t="str">
            <v>Самара М</v>
          </cell>
        </row>
        <row r="76">
          <cell r="D76" t="str">
            <v>Севастопольский</v>
          </cell>
        </row>
        <row r="77">
          <cell r="D77" t="str">
            <v>Сергиев Посад</v>
          </cell>
        </row>
        <row r="78">
          <cell r="D78" t="str">
            <v>Сибирский Молл</v>
          </cell>
        </row>
        <row r="79">
          <cell r="D79" t="str">
            <v>Сити Молл, Саратов</v>
          </cell>
        </row>
        <row r="80">
          <cell r="D80" t="str">
            <v>Склад Балашиха</v>
          </cell>
        </row>
        <row r="81">
          <cell r="D81" t="str">
            <v>Склад Речников (экспедиции)</v>
          </cell>
        </row>
        <row r="82">
          <cell r="D82" t="str">
            <v>СМОЛЕНСКИЙ</v>
          </cell>
        </row>
        <row r="83">
          <cell r="D83" t="str">
            <v>Солнцево</v>
          </cell>
        </row>
        <row r="84">
          <cell r="D84" t="str">
            <v>СПб Гарден</v>
          </cell>
        </row>
        <row r="85">
          <cell r="D85" t="str">
            <v>СПб Дыбенко</v>
          </cell>
        </row>
        <row r="86">
          <cell r="D86" t="str">
            <v>СПб Июнь</v>
          </cell>
        </row>
        <row r="87">
          <cell r="D87" t="str">
            <v>СПб Парнас</v>
          </cell>
        </row>
        <row r="88">
          <cell r="D88" t="str">
            <v>СПб Радуга</v>
          </cell>
        </row>
        <row r="89">
          <cell r="D89" t="str">
            <v>СПб Рамстор</v>
          </cell>
        </row>
        <row r="90">
          <cell r="D90" t="str">
            <v>Торговый квартал Новосибирск</v>
          </cell>
        </row>
        <row r="91">
          <cell r="D91" t="str">
            <v>ТРК Праздник (Тушино)</v>
          </cell>
        </row>
        <row r="92">
          <cell r="D92" t="str">
            <v>ТРЦ Мегаполис (пр-т Андропова)</v>
          </cell>
        </row>
        <row r="93">
          <cell r="D93" t="str">
            <v>ТРЦ Октябрьский</v>
          </cell>
        </row>
        <row r="94">
          <cell r="D94" t="str">
            <v>ТЦ "Ашан"</v>
          </cell>
        </row>
        <row r="95">
          <cell r="D95" t="str">
            <v>Учебный офис "Бизнес Центр"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дажиУКР"/>
      <sheetName val="ПеремУКР"/>
      <sheetName val="ПиУ"/>
      <sheetName val="КолУКР"/>
      <sheetName val="Данные"/>
      <sheetName val="Поступления"/>
      <sheetName val="Дебиторка"/>
      <sheetName val="БДДС"/>
      <sheetName val="Завод 2004  (2)"/>
      <sheetName val="Завод 2004 (3 копия +16,2%)"/>
      <sheetName val="Завод 2004 (3)"/>
      <sheetName val="Завод 2004 (4)"/>
      <sheetName val="Лист1"/>
      <sheetName val="Завод 2004 (5)"/>
      <sheetName val="ВМСидоров"/>
      <sheetName val="Завод 2004(6)_утвержд."/>
      <sheetName val="ВМСидоров 6_утвержд"/>
      <sheetName val="В.М.!!!!"/>
      <sheetName val="Ю.Ю.!!!!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</sheetNames>
    <sheetDataSet>
      <sheetData sheetId="0"/>
      <sheetData sheetId="1"/>
      <sheetData sheetId="2"/>
      <sheetData sheetId="3" refreshError="1">
        <row r="1">
          <cell r="A1" t="str">
            <v>Товарная группа</v>
          </cell>
          <cell r="B1">
            <v>3500</v>
          </cell>
          <cell r="C1">
            <v>3500</v>
          </cell>
          <cell r="D1">
            <v>3500</v>
          </cell>
          <cell r="E1">
            <v>2805</v>
          </cell>
          <cell r="F1">
            <v>2905</v>
          </cell>
          <cell r="G1">
            <v>3060</v>
          </cell>
          <cell r="H1">
            <v>3215</v>
          </cell>
          <cell r="I1">
            <v>3325</v>
          </cell>
          <cell r="J1">
            <v>3535</v>
          </cell>
          <cell r="K1">
            <v>3840</v>
          </cell>
          <cell r="L1">
            <v>4090</v>
          </cell>
          <cell r="M1">
            <v>3985</v>
          </cell>
          <cell r="N1">
            <v>3880</v>
          </cell>
          <cell r="O1">
            <v>3725</v>
          </cell>
          <cell r="P1">
            <v>3610</v>
          </cell>
          <cell r="Q1" t="str">
            <v>Итого</v>
          </cell>
        </row>
        <row r="2">
          <cell r="A2" t="str">
            <v>Датчики</v>
          </cell>
          <cell r="Q2">
            <v>0</v>
          </cell>
        </row>
        <row r="3">
          <cell r="A3" t="str">
            <v>ПРОЧИЕ</v>
          </cell>
          <cell r="Q3">
            <v>0</v>
          </cell>
        </row>
        <row r="5">
          <cell r="A5" t="str">
            <v>Товарная группа</v>
          </cell>
          <cell r="B5">
            <v>1</v>
          </cell>
          <cell r="C5">
            <v>1.009488792934583</v>
          </cell>
          <cell r="D5">
            <v>1.0190676230605216</v>
          </cell>
          <cell r="E5">
            <v>1.0287373447220807</v>
          </cell>
          <cell r="F5">
            <v>1.0384988203702212</v>
          </cell>
          <cell r="G5">
            <v>1.048352920639523</v>
          </cell>
          <cell r="H5">
            <v>1.0583005244258368</v>
          </cell>
          <cell r="I5">
            <v>1.0683425189646742</v>
          </cell>
          <cell r="J5">
            <v>1.0784797999103408</v>
          </cell>
          <cell r="K5">
            <v>1.0887132714158205</v>
          </cell>
          <cell r="L5">
            <v>1.0990438462134178</v>
          </cell>
          <cell r="M5">
            <v>1.1094724456961647</v>
          </cell>
          <cell r="N5">
            <v>1.120000000000001</v>
          </cell>
          <cell r="O5">
            <v>1.130627448086734</v>
          </cell>
          <cell r="P5">
            <v>1.141355737827785</v>
          </cell>
        </row>
        <row r="6">
          <cell r="A6" t="str">
            <v>Датчики</v>
          </cell>
          <cell r="B6">
            <v>1</v>
          </cell>
          <cell r="C6">
            <v>1.0079741404289038</v>
          </cell>
          <cell r="D6">
            <v>1.0160118677733874</v>
          </cell>
          <cell r="E6">
            <v>1.0241136890844451</v>
          </cell>
          <cell r="F6">
            <v>1.0322801154563672</v>
          </cell>
          <cell r="G6">
            <v>1.0405116620589814</v>
          </cell>
          <cell r="H6">
            <v>1.0488088481701519</v>
          </cell>
          <cell r="I6">
            <v>1.0571721972085375</v>
          </cell>
          <cell r="J6">
            <v>1.0656022367666111</v>
          </cell>
          <cell r="K6">
            <v>1.0740994986439421</v>
          </cell>
          <cell r="L6">
            <v>1.082664518880744</v>
          </cell>
          <cell r="M6">
            <v>1.0912978377916907</v>
          </cell>
          <cell r="N6">
            <v>1.1000000000000005</v>
          </cell>
          <cell r="O6">
            <v>1.1087715544717947</v>
          </cell>
          <cell r="P6">
            <v>1.1176130545507266</v>
          </cell>
        </row>
        <row r="7">
          <cell r="A7" t="str">
            <v>ПРОЧИЕ</v>
          </cell>
        </row>
      </sheetData>
      <sheetData sheetId="4" refreshError="1">
        <row r="1">
          <cell r="B1" t="str">
            <v>Цена</v>
          </cell>
          <cell r="C1" t="str">
            <v>Завод</v>
          </cell>
          <cell r="D1" t="str">
            <v>ПКИ</v>
          </cell>
          <cell r="E1" t="str">
            <v>ОП</v>
          </cell>
          <cell r="F1" t="str">
            <v>З/П</v>
          </cell>
          <cell r="G1" t="str">
            <v>Итого</v>
          </cell>
        </row>
        <row r="2">
          <cell r="A2" t="str">
            <v>Датчики</v>
          </cell>
          <cell r="B2">
            <v>11056</v>
          </cell>
          <cell r="C2">
            <v>2170.0487670182997</v>
          </cell>
          <cell r="D2">
            <v>2723.2733356541644</v>
          </cell>
          <cell r="E2">
            <v>1916.2551821177308</v>
          </cell>
          <cell r="F2">
            <v>266.26271520980578</v>
          </cell>
          <cell r="G2">
            <v>7296.96</v>
          </cell>
        </row>
        <row r="3">
          <cell r="A3" t="str">
            <v>ПРОЧИЕ</v>
          </cell>
          <cell r="B3">
            <v>1000</v>
          </cell>
          <cell r="C3">
            <v>0</v>
          </cell>
          <cell r="D3">
            <v>0</v>
          </cell>
          <cell r="E3">
            <v>740</v>
          </cell>
          <cell r="F3">
            <v>0</v>
          </cell>
          <cell r="G3">
            <v>740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Я"/>
      <sheetName val="Свет+Керамика"/>
      <sheetName val="Лист3"/>
      <sheetName val="Свет_Керамика"/>
    </sheetNames>
    <sheetDataSet>
      <sheetData sheetId="0" refreshError="1"/>
      <sheetData sheetId="1">
        <row r="3">
          <cell r="B3" t="str">
            <v xml:space="preserve">- светильник ARCTIC 236 </v>
          </cell>
        </row>
        <row r="4">
          <cell r="B4" t="str">
            <v>- светильники люминисцентные, TL2004B-2 WH</v>
          </cell>
        </row>
        <row r="5">
          <cell r="B5" t="str">
            <v>- светильники люминисцентные, WL4001A T3</v>
          </cell>
        </row>
        <row r="6">
          <cell r="B6" t="str">
            <v>- светильники люминисцентные, WL4001A T4</v>
          </cell>
        </row>
        <row r="7">
          <cell r="B7" t="str">
            <v xml:space="preserve">- подвесной светильник OPTIC </v>
          </cell>
        </row>
        <row r="8">
          <cell r="B8" t="str">
            <v xml:space="preserve">- светильник Halla, </v>
          </cell>
        </row>
        <row r="9">
          <cell r="B9" t="str">
            <v xml:space="preserve">- встроенный светильник hony </v>
          </cell>
        </row>
        <row r="10">
          <cell r="B10" t="str">
            <v>- подвесной светильник JUMBO</v>
          </cell>
        </row>
        <row r="11">
          <cell r="B11" t="str">
            <v xml:space="preserve">- светильник FLIPPER, </v>
          </cell>
        </row>
        <row r="12">
          <cell r="B12" t="str">
            <v>-светильник OPL/R 418</v>
          </cell>
        </row>
        <row r="19">
          <cell r="B19" t="str">
            <v>- Торговый зал Венеция</v>
          </cell>
        </row>
        <row r="20">
          <cell r="B20" t="str">
            <v>- Торговый зал Huiy Ceramics P6700</v>
          </cell>
        </row>
      </sheetData>
      <sheetData sheetId="2" refreshError="1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 платежей (2)"/>
      <sheetName val="РЕЕСТР платежей"/>
      <sheetName val="Сводная"/>
      <sheetName val="Сводная М"/>
      <sheetName val="Кредиты"/>
      <sheetName val="Отложенные. НЕ ПЛАТИМ"/>
      <sheetName val="Списки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Авдеева</v>
          </cell>
        </row>
        <row r="3">
          <cell r="A3" t="str">
            <v>Александров</v>
          </cell>
        </row>
        <row r="4">
          <cell r="A4" t="str">
            <v>Бобылева</v>
          </cell>
        </row>
        <row r="5">
          <cell r="A5" t="str">
            <v>Буканов</v>
          </cell>
        </row>
        <row r="6">
          <cell r="A6" t="str">
            <v>Бунжуков</v>
          </cell>
        </row>
        <row r="7">
          <cell r="A7" t="str">
            <v>Вершинина</v>
          </cell>
        </row>
        <row r="8">
          <cell r="A8" t="str">
            <v>Гостев</v>
          </cell>
        </row>
        <row r="9">
          <cell r="A9" t="str">
            <v xml:space="preserve">Грязнова </v>
          </cell>
        </row>
        <row r="10">
          <cell r="A10" t="str">
            <v>Гурьева</v>
          </cell>
        </row>
        <row r="11">
          <cell r="A11" t="str">
            <v>Дюмина</v>
          </cell>
        </row>
        <row r="12">
          <cell r="A12" t="str">
            <v>Елизаров</v>
          </cell>
        </row>
        <row r="13">
          <cell r="A13" t="str">
            <v>Калиновский</v>
          </cell>
        </row>
        <row r="14">
          <cell r="A14" t="str">
            <v>Ковалева Т.</v>
          </cell>
        </row>
        <row r="15">
          <cell r="A15" t="str">
            <v>Костина</v>
          </cell>
        </row>
        <row r="16">
          <cell r="A16" t="str">
            <v>Лебедкина</v>
          </cell>
        </row>
        <row r="17">
          <cell r="A17" t="str">
            <v>Левина</v>
          </cell>
        </row>
        <row r="18">
          <cell r="A18" t="str">
            <v>Лихов</v>
          </cell>
        </row>
        <row r="19">
          <cell r="A19" t="str">
            <v>Марков</v>
          </cell>
        </row>
        <row r="20">
          <cell r="A20" t="str">
            <v>Милешина</v>
          </cell>
        </row>
        <row r="21">
          <cell r="A21" t="str">
            <v>Непочатых</v>
          </cell>
        </row>
        <row r="22">
          <cell r="A22" t="str">
            <v>Новиков</v>
          </cell>
        </row>
        <row r="23">
          <cell r="A23" t="str">
            <v>Осокин</v>
          </cell>
        </row>
        <row r="24">
          <cell r="A24" t="str">
            <v>Паняев</v>
          </cell>
        </row>
        <row r="25">
          <cell r="A25" t="str">
            <v>Пахомова</v>
          </cell>
        </row>
        <row r="26">
          <cell r="A26" t="str">
            <v>Подобная</v>
          </cell>
        </row>
        <row r="27">
          <cell r="A27" t="str">
            <v>Потанин</v>
          </cell>
        </row>
        <row r="28">
          <cell r="A28" t="str">
            <v>Разумова</v>
          </cell>
        </row>
        <row r="29">
          <cell r="A29" t="str">
            <v>Ромашова</v>
          </cell>
        </row>
        <row r="30">
          <cell r="A30" t="str">
            <v>Савин</v>
          </cell>
        </row>
        <row r="31">
          <cell r="A31" t="str">
            <v>Семенов</v>
          </cell>
        </row>
        <row r="32">
          <cell r="A32" t="str">
            <v>Синельников</v>
          </cell>
        </row>
        <row r="33">
          <cell r="A33" t="str">
            <v>Советкин</v>
          </cell>
        </row>
        <row r="34">
          <cell r="A34" t="str">
            <v>Степанян</v>
          </cell>
        </row>
        <row r="35">
          <cell r="A35" t="str">
            <v>Тарасова</v>
          </cell>
        </row>
        <row r="36">
          <cell r="A36" t="str">
            <v>Тимченко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B1:J57"/>
  <sheetViews>
    <sheetView tabSelected="1" topLeftCell="A16" zoomScale="90" zoomScaleNormal="90" workbookViewId="0">
      <selection activeCell="C18" sqref="C18"/>
    </sheetView>
  </sheetViews>
  <sheetFormatPr defaultColWidth="15.140625" defaultRowHeight="12.75" x14ac:dyDescent="0.2"/>
  <cols>
    <col min="1" max="2" width="3.7109375" style="6" customWidth="1"/>
    <col min="3" max="3" width="65.7109375" style="6" customWidth="1"/>
    <col min="4" max="4" width="30.28515625" style="6" customWidth="1"/>
    <col min="5" max="5" width="3.7109375" style="59" customWidth="1"/>
    <col min="6" max="6" width="3.7109375" style="15" customWidth="1"/>
    <col min="7" max="7" width="88.28515625" style="15" customWidth="1"/>
    <col min="8" max="8" width="14.140625" style="6" customWidth="1"/>
    <col min="9" max="16384" width="15.140625" style="6"/>
  </cols>
  <sheetData>
    <row r="1" spans="2:10" s="2" customFormat="1" ht="13.5" thickBot="1" x14ac:dyDescent="0.25">
      <c r="C1" s="3"/>
      <c r="D1" s="4"/>
      <c r="E1" s="56"/>
      <c r="F1" s="5"/>
    </row>
    <row r="2" spans="2:10" s="5" customFormat="1" x14ac:dyDescent="0.2">
      <c r="B2" s="61"/>
      <c r="C2" s="62"/>
      <c r="D2" s="63"/>
      <c r="E2" s="38"/>
    </row>
    <row r="3" spans="2:10" s="5" customFormat="1" ht="18.75" x14ac:dyDescent="0.3">
      <c r="B3" s="30"/>
      <c r="C3" s="29" t="s">
        <v>25</v>
      </c>
      <c r="D3" s="31"/>
      <c r="E3" s="39"/>
      <c r="G3" s="64"/>
      <c r="I3" s="15"/>
      <c r="J3" s="15"/>
    </row>
    <row r="4" spans="2:10" s="5" customFormat="1" x14ac:dyDescent="0.2">
      <c r="B4" s="65"/>
      <c r="C4" s="66"/>
      <c r="D4" s="66"/>
      <c r="E4" s="36"/>
      <c r="I4" s="15"/>
      <c r="J4" s="15"/>
    </row>
    <row r="5" spans="2:10" s="5" customFormat="1" ht="15.75" x14ac:dyDescent="0.2">
      <c r="B5" s="55"/>
      <c r="C5" s="67" t="s">
        <v>18</v>
      </c>
      <c r="D5" s="68"/>
      <c r="E5" s="40"/>
      <c r="G5" s="15"/>
      <c r="H5" s="69"/>
      <c r="I5" s="69"/>
      <c r="J5" s="15"/>
    </row>
    <row r="6" spans="2:10" s="5" customFormat="1" ht="15.75" x14ac:dyDescent="0.25">
      <c r="B6" s="55"/>
      <c r="C6" s="27" t="s">
        <v>19</v>
      </c>
      <c r="D6" s="26" t="s">
        <v>17</v>
      </c>
      <c r="E6" s="40"/>
      <c r="G6" s="31" t="s">
        <v>20</v>
      </c>
      <c r="H6" s="69"/>
      <c r="I6" s="69"/>
      <c r="J6" s="15"/>
    </row>
    <row r="7" spans="2:10" s="15" customFormat="1" x14ac:dyDescent="0.2">
      <c r="B7" s="55"/>
      <c r="C7" s="70" t="s">
        <v>220</v>
      </c>
      <c r="D7" s="71"/>
      <c r="E7" s="72"/>
      <c r="F7" s="7"/>
      <c r="H7" s="69"/>
      <c r="I7" s="69"/>
    </row>
    <row r="8" spans="2:10" s="15" customFormat="1" ht="15.95" customHeight="1" x14ac:dyDescent="0.2">
      <c r="B8" s="55"/>
      <c r="C8" s="48" t="s">
        <v>119</v>
      </c>
      <c r="D8" s="73"/>
      <c r="E8" s="72">
        <v>1</v>
      </c>
      <c r="F8" s="7" t="s">
        <v>7</v>
      </c>
      <c r="G8" s="15" t="s">
        <v>154</v>
      </c>
      <c r="H8" s="69"/>
      <c r="I8" s="69"/>
      <c r="J8" s="69"/>
    </row>
    <row r="9" spans="2:10" s="15" customFormat="1" x14ac:dyDescent="0.2">
      <c r="B9" s="55"/>
      <c r="C9" s="48" t="s">
        <v>21</v>
      </c>
      <c r="D9" s="74">
        <v>10</v>
      </c>
      <c r="E9" s="72"/>
      <c r="F9" s="7" t="s">
        <v>7</v>
      </c>
      <c r="G9" s="15" t="s">
        <v>156</v>
      </c>
      <c r="H9" s="69"/>
      <c r="I9" s="69"/>
      <c r="J9" s="69"/>
    </row>
    <row r="10" spans="2:10" s="15" customFormat="1" x14ac:dyDescent="0.2">
      <c r="B10" s="55"/>
      <c r="C10" s="48" t="s">
        <v>22</v>
      </c>
      <c r="D10" s="74">
        <v>700</v>
      </c>
      <c r="E10" s="72"/>
      <c r="F10" s="7" t="s">
        <v>7</v>
      </c>
      <c r="G10" s="15" t="s">
        <v>118</v>
      </c>
      <c r="H10" s="69"/>
      <c r="I10" s="69"/>
      <c r="J10" s="69"/>
    </row>
    <row r="11" spans="2:10" s="15" customFormat="1" ht="15.95" customHeight="1" x14ac:dyDescent="0.2">
      <c r="B11" s="55"/>
      <c r="C11" s="48" t="s">
        <v>23</v>
      </c>
      <c r="D11" s="73"/>
      <c r="E11" s="72">
        <v>5</v>
      </c>
      <c r="F11" s="7" t="s">
        <v>7</v>
      </c>
      <c r="G11" s="15" t="s">
        <v>46</v>
      </c>
      <c r="H11" s="69"/>
    </row>
    <row r="12" spans="2:10" s="15" customFormat="1" ht="15.95" customHeight="1" x14ac:dyDescent="0.2">
      <c r="B12" s="55"/>
      <c r="C12" s="48" t="s">
        <v>132</v>
      </c>
      <c r="D12" s="73"/>
      <c r="E12" s="72">
        <v>2</v>
      </c>
      <c r="F12" s="7" t="s">
        <v>7</v>
      </c>
      <c r="G12" s="15" t="s">
        <v>153</v>
      </c>
      <c r="H12" s="69"/>
    </row>
    <row r="13" spans="2:10" s="15" customFormat="1" x14ac:dyDescent="0.2">
      <c r="B13" s="55"/>
      <c r="C13" s="48" t="s">
        <v>244</v>
      </c>
      <c r="D13" s="75">
        <v>0.15</v>
      </c>
      <c r="E13" s="72"/>
      <c r="F13" s="7" t="s">
        <v>7</v>
      </c>
      <c r="G13" s="15" t="s">
        <v>245</v>
      </c>
      <c r="H13" s="69"/>
    </row>
    <row r="14" spans="2:10" s="15" customFormat="1" x14ac:dyDescent="0.2">
      <c r="B14" s="55"/>
      <c r="C14" s="48" t="s">
        <v>129</v>
      </c>
      <c r="D14" s="75">
        <v>0.3</v>
      </c>
      <c r="E14" s="72"/>
      <c r="F14" s="7" t="s">
        <v>7</v>
      </c>
      <c r="G14" s="15" t="s">
        <v>199</v>
      </c>
      <c r="H14" s="69"/>
    </row>
    <row r="15" spans="2:10" s="15" customFormat="1" x14ac:dyDescent="0.2">
      <c r="B15" s="55"/>
      <c r="C15" s="48" t="s">
        <v>200</v>
      </c>
      <c r="D15" s="74">
        <v>12130</v>
      </c>
      <c r="E15" s="72"/>
      <c r="F15" s="7" t="s">
        <v>7</v>
      </c>
      <c r="G15" s="15" t="s">
        <v>201</v>
      </c>
      <c r="H15" s="69"/>
    </row>
    <row r="16" spans="2:10" s="15" customFormat="1" x14ac:dyDescent="0.2">
      <c r="B16" s="55"/>
      <c r="C16" s="48" t="s">
        <v>239</v>
      </c>
      <c r="D16" s="74">
        <v>2</v>
      </c>
      <c r="E16" s="72"/>
      <c r="F16" s="7" t="s">
        <v>7</v>
      </c>
      <c r="G16" s="15" t="s">
        <v>240</v>
      </c>
    </row>
    <row r="17" spans="2:7" s="15" customFormat="1" x14ac:dyDescent="0.2">
      <c r="B17" s="55"/>
      <c r="C17" s="48" t="s">
        <v>232</v>
      </c>
      <c r="D17" s="74">
        <v>20369</v>
      </c>
      <c r="E17" s="72"/>
      <c r="F17" s="7" t="s">
        <v>7</v>
      </c>
      <c r="G17" s="15" t="s">
        <v>238</v>
      </c>
    </row>
    <row r="18" spans="2:7" s="43" customFormat="1" x14ac:dyDescent="0.2">
      <c r="B18" s="44"/>
      <c r="C18" s="52" t="s">
        <v>231</v>
      </c>
      <c r="D18" s="53"/>
      <c r="E18" s="57"/>
      <c r="F18" s="45"/>
    </row>
    <row r="19" spans="2:7" s="43" customFormat="1" x14ac:dyDescent="0.2">
      <c r="B19" s="44"/>
      <c r="C19" s="51" t="s">
        <v>217</v>
      </c>
      <c r="D19" s="54">
        <v>100</v>
      </c>
      <c r="E19" s="57"/>
      <c r="F19" s="7" t="s">
        <v>7</v>
      </c>
      <c r="G19" s="15" t="s">
        <v>218</v>
      </c>
    </row>
    <row r="20" spans="2:7" s="43" customFormat="1" x14ac:dyDescent="0.2">
      <c r="B20" s="44"/>
      <c r="C20" s="51" t="s">
        <v>216</v>
      </c>
      <c r="D20" s="54">
        <v>110</v>
      </c>
      <c r="E20" s="57"/>
      <c r="F20" s="7" t="s">
        <v>7</v>
      </c>
      <c r="G20" s="15" t="s">
        <v>218</v>
      </c>
    </row>
    <row r="21" spans="2:7" s="43" customFormat="1" x14ac:dyDescent="0.2">
      <c r="B21" s="44"/>
      <c r="C21" s="51" t="s">
        <v>215</v>
      </c>
      <c r="D21" s="54">
        <v>190</v>
      </c>
      <c r="E21" s="57"/>
      <c r="F21" s="7" t="s">
        <v>7</v>
      </c>
      <c r="G21" s="15" t="s">
        <v>218</v>
      </c>
    </row>
    <row r="22" spans="2:7" s="15" customFormat="1" x14ac:dyDescent="0.2">
      <c r="B22" s="55"/>
      <c r="C22" s="70" t="s">
        <v>219</v>
      </c>
      <c r="D22" s="71"/>
      <c r="E22" s="72"/>
      <c r="F22" s="7"/>
    </row>
    <row r="23" spans="2:7" s="15" customFormat="1" x14ac:dyDescent="0.2">
      <c r="B23" s="55"/>
      <c r="C23" s="48" t="s">
        <v>217</v>
      </c>
      <c r="D23" s="74">
        <v>290</v>
      </c>
      <c r="E23" s="72"/>
      <c r="F23" s="7" t="s">
        <v>7</v>
      </c>
      <c r="G23" s="15" t="s">
        <v>221</v>
      </c>
    </row>
    <row r="24" spans="2:7" s="15" customFormat="1" x14ac:dyDescent="0.2">
      <c r="B24" s="55"/>
      <c r="C24" s="48" t="s">
        <v>216</v>
      </c>
      <c r="D24" s="74">
        <v>320</v>
      </c>
      <c r="E24" s="72"/>
      <c r="F24" s="7" t="s">
        <v>7</v>
      </c>
      <c r="G24" s="15" t="s">
        <v>221</v>
      </c>
    </row>
    <row r="25" spans="2:7" s="15" customFormat="1" x14ac:dyDescent="0.2">
      <c r="B25" s="55"/>
      <c r="C25" s="48" t="s">
        <v>215</v>
      </c>
      <c r="D25" s="74">
        <v>550</v>
      </c>
      <c r="E25" s="72"/>
      <c r="F25" s="7" t="s">
        <v>7</v>
      </c>
      <c r="G25" s="15" t="s">
        <v>221</v>
      </c>
    </row>
    <row r="26" spans="2:7" s="5" customFormat="1" x14ac:dyDescent="0.2">
      <c r="B26" s="55"/>
      <c r="C26" s="76"/>
      <c r="D26" s="77"/>
      <c r="E26" s="40"/>
      <c r="G26" s="15"/>
    </row>
    <row r="27" spans="2:7" s="8" customFormat="1" ht="15.75" x14ac:dyDescent="0.25">
      <c r="B27" s="78"/>
      <c r="C27" s="79" t="s">
        <v>26</v>
      </c>
      <c r="D27" s="80"/>
      <c r="E27" s="41"/>
    </row>
    <row r="28" spans="2:7" s="5" customFormat="1" ht="15.75" x14ac:dyDescent="0.2">
      <c r="B28" s="55"/>
      <c r="C28" s="27" t="s">
        <v>19</v>
      </c>
      <c r="D28" s="26" t="s">
        <v>24</v>
      </c>
      <c r="E28" s="40"/>
      <c r="G28" s="15"/>
    </row>
    <row r="29" spans="2:7" s="5" customFormat="1" x14ac:dyDescent="0.2">
      <c r="B29" s="55"/>
      <c r="C29" s="201" t="s">
        <v>97</v>
      </c>
      <c r="D29" s="202"/>
      <c r="E29" s="37"/>
      <c r="F29" s="18"/>
      <c r="G29" s="1"/>
    </row>
    <row r="30" spans="2:7" s="5" customFormat="1" x14ac:dyDescent="0.2">
      <c r="B30" s="55"/>
      <c r="C30" s="9" t="s">
        <v>4</v>
      </c>
      <c r="D30" s="10">
        <f>AVERAGE('Расчет прибыли'!F7:Q7)</f>
        <v>399758.33333333331</v>
      </c>
      <c r="E30" s="42"/>
      <c r="F30" s="11" t="s">
        <v>7</v>
      </c>
      <c r="G30" s="15" t="s">
        <v>92</v>
      </c>
    </row>
    <row r="31" spans="2:7" s="5" customFormat="1" x14ac:dyDescent="0.2">
      <c r="B31" s="55"/>
      <c r="C31" s="9" t="s">
        <v>5</v>
      </c>
      <c r="D31" s="10">
        <f>AVERAGE('Расчет прибыли'!F22:Q22)</f>
        <v>100582.10000000002</v>
      </c>
      <c r="E31" s="42"/>
      <c r="F31" s="11" t="s">
        <v>7</v>
      </c>
      <c r="G31" s="15" t="s">
        <v>93</v>
      </c>
    </row>
    <row r="32" spans="2:7" s="5" customFormat="1" x14ac:dyDescent="0.2">
      <c r="B32" s="55"/>
      <c r="C32" s="9" t="s">
        <v>6</v>
      </c>
      <c r="D32" s="10">
        <f>'Расчет прибыли'!E23</f>
        <v>269400</v>
      </c>
      <c r="E32" s="42"/>
      <c r="F32" s="11" t="s">
        <v>7</v>
      </c>
      <c r="G32" s="15" t="s">
        <v>94</v>
      </c>
    </row>
    <row r="33" spans="2:7" s="5" customFormat="1" x14ac:dyDescent="0.2">
      <c r="B33" s="55"/>
      <c r="C33" s="201" t="s">
        <v>98</v>
      </c>
      <c r="D33" s="202"/>
      <c r="E33" s="37"/>
      <c r="F33" s="18"/>
      <c r="G33" s="1"/>
    </row>
    <row r="34" spans="2:7" s="5" customFormat="1" x14ac:dyDescent="0.2">
      <c r="B34" s="55"/>
      <c r="C34" s="9" t="s">
        <v>4</v>
      </c>
      <c r="D34" s="10">
        <f>AVERAGE('Расчет прибыли'!R7:AC7)</f>
        <v>431200</v>
      </c>
      <c r="E34" s="42"/>
      <c r="F34" s="11" t="s">
        <v>7</v>
      </c>
      <c r="G34" s="15" t="s">
        <v>92</v>
      </c>
    </row>
    <row r="35" spans="2:7" s="5" customFormat="1" x14ac:dyDescent="0.2">
      <c r="B35" s="55"/>
      <c r="C35" s="9" t="s">
        <v>5</v>
      </c>
      <c r="D35" s="10">
        <f>AVERAGE('Расчет прибыли'!R22:AC22)</f>
        <v>116849.40000000002</v>
      </c>
      <c r="E35" s="42"/>
      <c r="F35" s="11" t="s">
        <v>7</v>
      </c>
      <c r="G35" s="15" t="s">
        <v>93</v>
      </c>
    </row>
    <row r="36" spans="2:7" s="5" customFormat="1" x14ac:dyDescent="0.2">
      <c r="B36" s="55"/>
      <c r="C36" s="9" t="s">
        <v>6</v>
      </c>
      <c r="D36" s="10">
        <v>0</v>
      </c>
      <c r="E36" s="42"/>
      <c r="F36" s="11" t="s">
        <v>7</v>
      </c>
      <c r="G36" s="15" t="s">
        <v>94</v>
      </c>
    </row>
    <row r="37" spans="2:7" s="5" customFormat="1" x14ac:dyDescent="0.2">
      <c r="B37" s="55"/>
      <c r="C37" s="201" t="s">
        <v>99</v>
      </c>
      <c r="D37" s="202"/>
      <c r="E37" s="42"/>
      <c r="F37" s="18"/>
      <c r="G37" s="1"/>
    </row>
    <row r="38" spans="2:7" s="5" customFormat="1" x14ac:dyDescent="0.2">
      <c r="B38" s="55"/>
      <c r="C38" s="9" t="s">
        <v>4</v>
      </c>
      <c r="D38" s="10">
        <f>AVERAGE('Расчет прибыли'!AD7:AO7)</f>
        <v>431200</v>
      </c>
      <c r="E38" s="42"/>
      <c r="F38" s="11" t="s">
        <v>7</v>
      </c>
      <c r="G38" s="15" t="s">
        <v>92</v>
      </c>
    </row>
    <row r="39" spans="2:7" s="5" customFormat="1" x14ac:dyDescent="0.2">
      <c r="B39" s="55"/>
      <c r="C39" s="9" t="s">
        <v>5</v>
      </c>
      <c r="D39" s="10">
        <f>AVERAGE('Расчет прибыли'!AD22:AO22)</f>
        <v>116849.40000000002</v>
      </c>
      <c r="E39" s="42"/>
      <c r="F39" s="11" t="s">
        <v>7</v>
      </c>
      <c r="G39" s="15" t="s">
        <v>93</v>
      </c>
    </row>
    <row r="40" spans="2:7" s="5" customFormat="1" x14ac:dyDescent="0.2">
      <c r="B40" s="55"/>
      <c r="C40" s="9" t="s">
        <v>6</v>
      </c>
      <c r="D40" s="10">
        <v>0</v>
      </c>
      <c r="E40" s="42"/>
      <c r="F40" s="11" t="s">
        <v>7</v>
      </c>
      <c r="G40" s="15" t="s">
        <v>94</v>
      </c>
    </row>
    <row r="41" spans="2:7" s="5" customFormat="1" x14ac:dyDescent="0.2">
      <c r="B41" s="55"/>
      <c r="C41" s="47"/>
      <c r="D41" s="47"/>
      <c r="E41" s="42"/>
      <c r="F41" s="18"/>
      <c r="G41" s="1"/>
    </row>
    <row r="42" spans="2:7" s="5" customFormat="1" x14ac:dyDescent="0.2">
      <c r="B42" s="55"/>
      <c r="C42" s="60" t="s">
        <v>246</v>
      </c>
      <c r="D42" s="60">
        <f>'Расчет прибыли'!E25</f>
        <v>5</v>
      </c>
      <c r="E42" s="42"/>
      <c r="F42" s="7" t="s">
        <v>7</v>
      </c>
      <c r="G42" s="15" t="s">
        <v>95</v>
      </c>
    </row>
    <row r="43" spans="2:7" s="2" customFormat="1" ht="13.5" thickBot="1" x14ac:dyDescent="0.25">
      <c r="B43" s="12"/>
      <c r="C43" s="13"/>
      <c r="D43" s="13"/>
      <c r="E43" s="58"/>
      <c r="F43" s="5"/>
      <c r="G43" s="5"/>
    </row>
    <row r="45" spans="2:7" x14ac:dyDescent="0.2">
      <c r="C45" s="14" t="s">
        <v>3</v>
      </c>
      <c r="D45" s="24" t="s">
        <v>2</v>
      </c>
    </row>
    <row r="47" spans="2:7" x14ac:dyDescent="0.2">
      <c r="B47" s="200" t="s">
        <v>117</v>
      </c>
      <c r="C47" s="200"/>
      <c r="D47" s="200"/>
      <c r="E47" s="200"/>
    </row>
    <row r="55" spans="3:3" ht="13.5" x14ac:dyDescent="0.2">
      <c r="C55" s="46" t="s">
        <v>212</v>
      </c>
    </row>
    <row r="56" spans="3:3" ht="13.5" x14ac:dyDescent="0.2">
      <c r="C56" s="46" t="s">
        <v>213</v>
      </c>
    </row>
    <row r="57" spans="3:3" ht="27" x14ac:dyDescent="0.2">
      <c r="C57" s="46" t="s">
        <v>214</v>
      </c>
    </row>
  </sheetData>
  <mergeCells count="4">
    <mergeCell ref="B47:E47"/>
    <mergeCell ref="C29:D29"/>
    <mergeCell ref="C33:D33"/>
    <mergeCell ref="C37:D37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Drop Down 6">
              <controlPr defaultSize="0" autoLine="0" autoPict="0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5" name="Drop Down 7">
              <controlPr defaultSize="0" autoLine="0" autoPict="0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4</xdr:col>
                    <xdr:colOff>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Drop Down 10">
              <controlPr defaultSize="0" autoLine="0" autoPict="0">
                <anchor moveWithCells="1">
                  <from>
                    <xdr:col>3</xdr:col>
                    <xdr:colOff>9525</xdr:colOff>
                    <xdr:row>7</xdr:row>
                    <xdr:rowOff>0</xdr:rowOff>
                  </from>
                  <to>
                    <xdr:col>4</xdr:col>
                    <xdr:colOff>9525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7" name="Drop Down 11">
              <controlPr defaultSize="0" autoLine="0" autoPict="0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4</xdr:col>
                    <xdr:colOff>0</xdr:colOff>
                    <xdr:row>12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2"/>
  <sheetViews>
    <sheetView zoomScale="90" zoomScaleNormal="90" workbookViewId="0">
      <selection activeCell="I2" sqref="I2"/>
    </sheetView>
  </sheetViews>
  <sheetFormatPr defaultColWidth="15.140625" defaultRowHeight="12.75" x14ac:dyDescent="0.2"/>
  <cols>
    <col min="1" max="2" width="3.7109375" style="18" customWidth="1"/>
    <col min="3" max="3" width="4.7109375" style="18" customWidth="1"/>
    <col min="4" max="4" width="50.7109375" style="18" customWidth="1"/>
    <col min="5" max="5" width="14.7109375" style="18" customWidth="1"/>
    <col min="6" max="6" width="50.7109375" style="18" customWidth="1"/>
    <col min="7" max="8" width="3.7109375" style="18" customWidth="1"/>
    <col min="9" max="16384" width="15.140625" style="18"/>
  </cols>
  <sheetData>
    <row r="1" spans="2:9" ht="13.5" thickBot="1" x14ac:dyDescent="0.25"/>
    <row r="2" spans="2:9" x14ac:dyDescent="0.2">
      <c r="B2" s="81"/>
      <c r="C2" s="82"/>
      <c r="D2" s="82"/>
      <c r="E2" s="82"/>
      <c r="F2" s="82"/>
      <c r="G2" s="83"/>
    </row>
    <row r="3" spans="2:9" ht="18.75" x14ac:dyDescent="0.3">
      <c r="B3" s="30"/>
      <c r="C3" s="29" t="s">
        <v>16</v>
      </c>
      <c r="D3" s="29"/>
      <c r="E3" s="31"/>
      <c r="F3" s="31"/>
      <c r="G3" s="84"/>
    </row>
    <row r="4" spans="2:9" x14ac:dyDescent="0.2">
      <c r="B4" s="16"/>
      <c r="C4" s="47"/>
      <c r="D4" s="47"/>
      <c r="E4" s="47"/>
      <c r="F4" s="47"/>
      <c r="G4" s="17"/>
    </row>
    <row r="5" spans="2:9" ht="31.5" x14ac:dyDescent="0.2">
      <c r="B5" s="16"/>
      <c r="C5" s="26" t="s">
        <v>47</v>
      </c>
      <c r="D5" s="26" t="s">
        <v>19</v>
      </c>
      <c r="E5" s="26" t="s">
        <v>133</v>
      </c>
      <c r="F5" s="26" t="s">
        <v>14</v>
      </c>
      <c r="G5" s="17"/>
    </row>
    <row r="6" spans="2:9" x14ac:dyDescent="0.2">
      <c r="B6" s="16"/>
      <c r="C6" s="85">
        <v>1</v>
      </c>
      <c r="D6" s="86" t="s">
        <v>0</v>
      </c>
      <c r="E6" s="87">
        <f>IF(Калькулятор!E8=1,Служебная!B2,IF(Калькулятор!E8=2,Служебная!B3,Служебная!B4))</f>
        <v>152000</v>
      </c>
      <c r="F6" s="88" t="s">
        <v>120</v>
      </c>
      <c r="G6" s="17"/>
      <c r="H6" s="11"/>
    </row>
    <row r="7" spans="2:9" x14ac:dyDescent="0.2">
      <c r="B7" s="16"/>
      <c r="C7" s="85">
        <v>2</v>
      </c>
      <c r="D7" s="86" t="s">
        <v>31</v>
      </c>
      <c r="E7" s="89">
        <v>800</v>
      </c>
      <c r="F7" s="88" t="s">
        <v>158</v>
      </c>
      <c r="G7" s="17"/>
      <c r="H7" s="11"/>
    </row>
    <row r="8" spans="2:9" x14ac:dyDescent="0.2">
      <c r="B8" s="16"/>
      <c r="C8" s="85">
        <v>3</v>
      </c>
      <c r="D8" s="86" t="s">
        <v>32</v>
      </c>
      <c r="E8" s="89">
        <f>3300+11500</f>
        <v>14800</v>
      </c>
      <c r="F8" s="88" t="s">
        <v>155</v>
      </c>
      <c r="G8" s="17"/>
      <c r="H8" s="11"/>
    </row>
    <row r="9" spans="2:9" x14ac:dyDescent="0.2">
      <c r="B9" s="16"/>
      <c r="C9" s="85">
        <v>4</v>
      </c>
      <c r="D9" s="86" t="s">
        <v>33</v>
      </c>
      <c r="E9" s="89">
        <v>1000</v>
      </c>
      <c r="F9" s="88" t="s">
        <v>34</v>
      </c>
      <c r="G9" s="17"/>
      <c r="H9" s="11"/>
    </row>
    <row r="10" spans="2:9" x14ac:dyDescent="0.2">
      <c r="B10" s="16"/>
      <c r="C10" s="85">
        <v>5</v>
      </c>
      <c r="D10" s="86" t="s">
        <v>100</v>
      </c>
      <c r="E10" s="89">
        <f>IF(Калькулятор!E8=3,Калькулятор!D9*Калькулятор!D10*2,0)</f>
        <v>0</v>
      </c>
      <c r="F10" s="88" t="s">
        <v>157</v>
      </c>
      <c r="G10" s="17"/>
      <c r="H10" s="11"/>
    </row>
    <row r="11" spans="2:9" x14ac:dyDescent="0.2">
      <c r="B11" s="16"/>
      <c r="C11" s="85">
        <v>6</v>
      </c>
      <c r="D11" s="86" t="s">
        <v>131</v>
      </c>
      <c r="E11" s="87">
        <f>IF(Калькулятор!E8=1,Оборудование!G18,IF(Калькулятор!E8=2,Оборудование!G49,(Оборудование!G80+Оборудование!G100)))</f>
        <v>60800</v>
      </c>
      <c r="F11" s="88" t="s">
        <v>159</v>
      </c>
      <c r="G11" s="17"/>
      <c r="H11" s="11"/>
    </row>
    <row r="12" spans="2:9" x14ac:dyDescent="0.2">
      <c r="B12" s="16"/>
      <c r="C12" s="85">
        <v>7</v>
      </c>
      <c r="D12" s="86" t="s">
        <v>35</v>
      </c>
      <c r="E12" s="90">
        <f>E15*E13+E16*E14*E13+E17*E14*E13</f>
        <v>40000</v>
      </c>
      <c r="F12" s="88"/>
      <c r="G12" s="17"/>
      <c r="H12" s="11"/>
    </row>
    <row r="13" spans="2:9" s="98" customFormat="1" x14ac:dyDescent="0.2">
      <c r="B13" s="91"/>
      <c r="C13" s="92"/>
      <c r="D13" s="93" t="s">
        <v>38</v>
      </c>
      <c r="E13" s="94">
        <v>2</v>
      </c>
      <c r="F13" s="95"/>
      <c r="G13" s="96"/>
      <c r="H13" s="97"/>
      <c r="I13" s="199"/>
    </row>
    <row r="14" spans="2:9" s="98" customFormat="1" x14ac:dyDescent="0.2">
      <c r="B14" s="91"/>
      <c r="C14" s="92"/>
      <c r="D14" s="93" t="s">
        <v>42</v>
      </c>
      <c r="E14" s="94">
        <v>3</v>
      </c>
      <c r="F14" s="95"/>
      <c r="G14" s="96"/>
      <c r="H14" s="97"/>
    </row>
    <row r="15" spans="2:9" s="98" customFormat="1" x14ac:dyDescent="0.2">
      <c r="B15" s="91"/>
      <c r="C15" s="92"/>
      <c r="D15" s="93" t="s">
        <v>39</v>
      </c>
      <c r="E15" s="94">
        <v>8000</v>
      </c>
      <c r="F15" s="95"/>
      <c r="G15" s="96"/>
      <c r="H15" s="97"/>
    </row>
    <row r="16" spans="2:9" s="98" customFormat="1" x14ac:dyDescent="0.2">
      <c r="B16" s="91"/>
      <c r="C16" s="92"/>
      <c r="D16" s="93" t="s">
        <v>40</v>
      </c>
      <c r="E16" s="94">
        <v>3500</v>
      </c>
      <c r="F16" s="95"/>
      <c r="G16" s="96"/>
      <c r="H16" s="97"/>
    </row>
    <row r="17" spans="2:8" s="98" customFormat="1" x14ac:dyDescent="0.2">
      <c r="B17" s="91"/>
      <c r="C17" s="92"/>
      <c r="D17" s="93" t="s">
        <v>41</v>
      </c>
      <c r="E17" s="94">
        <v>500</v>
      </c>
      <c r="F17" s="95"/>
      <c r="G17" s="96"/>
      <c r="H17" s="97"/>
    </row>
    <row r="18" spans="2:8" x14ac:dyDescent="0.2">
      <c r="B18" s="16"/>
      <c r="C18" s="85">
        <v>8</v>
      </c>
      <c r="D18" s="86" t="s">
        <v>37</v>
      </c>
      <c r="E18" s="89">
        <v>0</v>
      </c>
      <c r="F18" s="88" t="s">
        <v>101</v>
      </c>
      <c r="G18" s="17"/>
      <c r="H18" s="11"/>
    </row>
    <row r="19" spans="2:8" ht="15.75" x14ac:dyDescent="0.25">
      <c r="B19" s="16"/>
      <c r="C19" s="26"/>
      <c r="D19" s="99" t="s">
        <v>1</v>
      </c>
      <c r="E19" s="100">
        <f>SUM(E6:E12)+E18</f>
        <v>269400</v>
      </c>
      <c r="F19" s="26"/>
      <c r="G19" s="17"/>
    </row>
    <row r="20" spans="2:8" ht="13.5" thickBot="1" x14ac:dyDescent="0.25">
      <c r="B20" s="21"/>
      <c r="C20" s="22"/>
      <c r="D20" s="22"/>
      <c r="E20" s="22"/>
      <c r="F20" s="22"/>
      <c r="G20" s="23"/>
      <c r="H20" s="47"/>
    </row>
    <row r="22" spans="2:8" x14ac:dyDescent="0.2">
      <c r="D22" s="28" t="s">
        <v>3</v>
      </c>
      <c r="E22" s="101" t="s">
        <v>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3"/>
  <sheetViews>
    <sheetView zoomScale="90" zoomScaleNormal="90" workbookViewId="0">
      <selection activeCell="K2" sqref="K2"/>
    </sheetView>
  </sheetViews>
  <sheetFormatPr defaultColWidth="15.140625" defaultRowHeight="12.75" x14ac:dyDescent="0.25"/>
  <cols>
    <col min="1" max="2" width="3.7109375" style="102" customWidth="1"/>
    <col min="3" max="3" width="4.7109375" style="102" customWidth="1"/>
    <col min="4" max="4" width="50.7109375" style="102" customWidth="1"/>
    <col min="5" max="7" width="14.7109375" style="102" customWidth="1"/>
    <col min="8" max="8" width="50.7109375" style="102" customWidth="1"/>
    <col min="9" max="10" width="3.7109375" style="102" customWidth="1"/>
    <col min="11" max="16384" width="15.140625" style="102"/>
  </cols>
  <sheetData>
    <row r="1" spans="2:10" ht="13.5" thickBot="1" x14ac:dyDescent="0.3"/>
    <row r="2" spans="2:10" x14ac:dyDescent="0.25">
      <c r="B2" s="103"/>
      <c r="C2" s="104"/>
      <c r="D2" s="104"/>
      <c r="E2" s="104"/>
      <c r="F2" s="104"/>
      <c r="G2" s="104"/>
      <c r="H2" s="104"/>
      <c r="I2" s="105"/>
    </row>
    <row r="3" spans="2:10" ht="18.75" x14ac:dyDescent="0.25">
      <c r="B3" s="106"/>
      <c r="C3" s="107" t="s">
        <v>160</v>
      </c>
      <c r="D3" s="108"/>
      <c r="E3" s="109"/>
      <c r="F3" s="109"/>
      <c r="G3" s="109"/>
      <c r="H3" s="109"/>
      <c r="I3" s="110"/>
    </row>
    <row r="4" spans="2:10" x14ac:dyDescent="0.25">
      <c r="B4" s="111"/>
      <c r="C4" s="112"/>
      <c r="D4" s="112"/>
      <c r="E4" s="112"/>
      <c r="F4" s="112"/>
      <c r="G4" s="112"/>
      <c r="H4" s="112"/>
      <c r="I4" s="113"/>
    </row>
    <row r="5" spans="2:10" ht="31.5" x14ac:dyDescent="0.25">
      <c r="B5" s="111"/>
      <c r="C5" s="26" t="s">
        <v>47</v>
      </c>
      <c r="D5" s="26" t="s">
        <v>8</v>
      </c>
      <c r="E5" s="26" t="s">
        <v>9</v>
      </c>
      <c r="F5" s="26" t="s">
        <v>29</v>
      </c>
      <c r="G5" s="26" t="s">
        <v>10</v>
      </c>
      <c r="H5" s="26" t="s">
        <v>14</v>
      </c>
      <c r="I5" s="113"/>
    </row>
    <row r="6" spans="2:10" x14ac:dyDescent="0.25">
      <c r="B6" s="111"/>
      <c r="C6" s="114">
        <v>1</v>
      </c>
      <c r="D6" s="115" t="s">
        <v>161</v>
      </c>
      <c r="E6" s="116">
        <v>3</v>
      </c>
      <c r="F6" s="116">
        <v>9900</v>
      </c>
      <c r="G6" s="117">
        <f t="shared" ref="G6:G17" si="0">F6*E6</f>
        <v>29700</v>
      </c>
      <c r="H6" s="117"/>
      <c r="I6" s="113"/>
      <c r="J6" s="118"/>
    </row>
    <row r="7" spans="2:10" x14ac:dyDescent="0.25">
      <c r="B7" s="111"/>
      <c r="C7" s="114">
        <v>2</v>
      </c>
      <c r="D7" s="115" t="s">
        <v>162</v>
      </c>
      <c r="E7" s="116">
        <v>2</v>
      </c>
      <c r="F7" s="116">
        <v>2750</v>
      </c>
      <c r="G7" s="117">
        <f t="shared" si="0"/>
        <v>5500</v>
      </c>
      <c r="H7" s="117"/>
      <c r="I7" s="113"/>
      <c r="J7" s="118"/>
    </row>
    <row r="8" spans="2:10" x14ac:dyDescent="0.25">
      <c r="B8" s="111"/>
      <c r="C8" s="114">
        <v>3</v>
      </c>
      <c r="D8" s="115" t="s">
        <v>163</v>
      </c>
      <c r="E8" s="116">
        <v>2</v>
      </c>
      <c r="F8" s="116">
        <v>2040</v>
      </c>
      <c r="G8" s="117">
        <f t="shared" si="0"/>
        <v>4080</v>
      </c>
      <c r="H8" s="117"/>
      <c r="I8" s="113"/>
      <c r="J8" s="118"/>
    </row>
    <row r="9" spans="2:10" ht="25.5" x14ac:dyDescent="0.25">
      <c r="B9" s="111"/>
      <c r="C9" s="114">
        <v>4</v>
      </c>
      <c r="D9" s="115" t="s">
        <v>164</v>
      </c>
      <c r="E9" s="116">
        <v>5</v>
      </c>
      <c r="F9" s="116">
        <v>2900</v>
      </c>
      <c r="G9" s="117">
        <f t="shared" si="0"/>
        <v>14500</v>
      </c>
      <c r="H9" s="117"/>
      <c r="I9" s="113"/>
      <c r="J9" s="118"/>
    </row>
    <row r="10" spans="2:10" x14ac:dyDescent="0.25">
      <c r="B10" s="111"/>
      <c r="C10" s="114">
        <v>5</v>
      </c>
      <c r="D10" s="115" t="s">
        <v>165</v>
      </c>
      <c r="E10" s="116">
        <v>1</v>
      </c>
      <c r="F10" s="116">
        <v>590</v>
      </c>
      <c r="G10" s="117">
        <f t="shared" si="0"/>
        <v>590</v>
      </c>
      <c r="H10" s="117"/>
      <c r="I10" s="113"/>
      <c r="J10" s="118"/>
    </row>
    <row r="11" spans="2:10" x14ac:dyDescent="0.25">
      <c r="B11" s="111"/>
      <c r="C11" s="114">
        <v>6</v>
      </c>
      <c r="D11" s="115" t="s">
        <v>166</v>
      </c>
      <c r="E11" s="116">
        <v>2</v>
      </c>
      <c r="F11" s="116">
        <v>1340</v>
      </c>
      <c r="G11" s="117">
        <f t="shared" si="0"/>
        <v>2680</v>
      </c>
      <c r="H11" s="117"/>
      <c r="I11" s="113"/>
      <c r="J11" s="118"/>
    </row>
    <row r="12" spans="2:10" x14ac:dyDescent="0.25">
      <c r="B12" s="111"/>
      <c r="C12" s="114">
        <v>7</v>
      </c>
      <c r="D12" s="115" t="s">
        <v>167</v>
      </c>
      <c r="E12" s="116">
        <v>1</v>
      </c>
      <c r="F12" s="116">
        <v>500</v>
      </c>
      <c r="G12" s="117">
        <f t="shared" si="0"/>
        <v>500</v>
      </c>
      <c r="H12" s="117"/>
      <c r="I12" s="113"/>
      <c r="J12" s="118"/>
    </row>
    <row r="13" spans="2:10" x14ac:dyDescent="0.25">
      <c r="B13" s="111"/>
      <c r="C13" s="114">
        <v>8</v>
      </c>
      <c r="D13" s="115" t="s">
        <v>168</v>
      </c>
      <c r="E13" s="116">
        <v>1</v>
      </c>
      <c r="F13" s="116">
        <v>1000</v>
      </c>
      <c r="G13" s="117">
        <f t="shared" si="0"/>
        <v>1000</v>
      </c>
      <c r="H13" s="117"/>
      <c r="I13" s="113"/>
      <c r="J13" s="118"/>
    </row>
    <row r="14" spans="2:10" x14ac:dyDescent="0.25">
      <c r="B14" s="111"/>
      <c r="C14" s="114">
        <v>9</v>
      </c>
      <c r="D14" s="115" t="s">
        <v>169</v>
      </c>
      <c r="E14" s="116">
        <v>3</v>
      </c>
      <c r="F14" s="116">
        <v>300</v>
      </c>
      <c r="G14" s="117">
        <f t="shared" si="0"/>
        <v>900</v>
      </c>
      <c r="H14" s="117"/>
      <c r="I14" s="113"/>
      <c r="J14" s="118"/>
    </row>
    <row r="15" spans="2:10" ht="25.5" x14ac:dyDescent="0.25">
      <c r="B15" s="111"/>
      <c r="C15" s="114">
        <v>10</v>
      </c>
      <c r="D15" s="115" t="s">
        <v>170</v>
      </c>
      <c r="E15" s="116">
        <v>3</v>
      </c>
      <c r="F15" s="116">
        <v>50</v>
      </c>
      <c r="G15" s="117">
        <f t="shared" si="0"/>
        <v>150</v>
      </c>
      <c r="H15" s="117"/>
      <c r="I15" s="113"/>
      <c r="J15" s="118"/>
    </row>
    <row r="16" spans="2:10" ht="25.5" x14ac:dyDescent="0.25">
      <c r="B16" s="111"/>
      <c r="C16" s="114">
        <v>11</v>
      </c>
      <c r="D16" s="115" t="s">
        <v>171</v>
      </c>
      <c r="E16" s="116">
        <v>3</v>
      </c>
      <c r="F16" s="116">
        <v>400</v>
      </c>
      <c r="G16" s="117">
        <f t="shared" si="0"/>
        <v>1200</v>
      </c>
      <c r="H16" s="117"/>
      <c r="I16" s="113"/>
      <c r="J16" s="118"/>
    </row>
    <row r="17" spans="2:11" x14ac:dyDescent="0.25">
      <c r="B17" s="111"/>
      <c r="C17" s="114">
        <v>12</v>
      </c>
      <c r="D17" s="115" t="s">
        <v>37</v>
      </c>
      <c r="E17" s="116">
        <v>1</v>
      </c>
      <c r="F17" s="116">
        <v>0</v>
      </c>
      <c r="G17" s="117">
        <f t="shared" si="0"/>
        <v>0</v>
      </c>
      <c r="H17" s="117" t="s">
        <v>101</v>
      </c>
      <c r="I17" s="113"/>
      <c r="J17" s="118"/>
    </row>
    <row r="18" spans="2:11" s="122" customFormat="1" ht="15.75" x14ac:dyDescent="0.25">
      <c r="B18" s="119"/>
      <c r="C18" s="26">
        <v>13</v>
      </c>
      <c r="D18" s="100" t="s">
        <v>1</v>
      </c>
      <c r="E18" s="100"/>
      <c r="F18" s="100"/>
      <c r="G18" s="100">
        <f>SUM(G6:G17)</f>
        <v>60800</v>
      </c>
      <c r="H18" s="100"/>
      <c r="I18" s="120"/>
      <c r="J18" s="121"/>
    </row>
    <row r="19" spans="2:11" ht="13.5" thickBot="1" x14ac:dyDescent="0.3">
      <c r="B19" s="123"/>
      <c r="C19" s="124"/>
      <c r="D19" s="124"/>
      <c r="E19" s="124"/>
      <c r="F19" s="124"/>
      <c r="G19" s="124"/>
      <c r="H19" s="124"/>
      <c r="I19" s="125"/>
      <c r="J19" s="112"/>
    </row>
    <row r="20" spans="2:11" ht="13.5" thickBot="1" x14ac:dyDescent="0.3"/>
    <row r="21" spans="2:11" x14ac:dyDescent="0.25">
      <c r="B21" s="103"/>
      <c r="C21" s="104"/>
      <c r="D21" s="104"/>
      <c r="E21" s="104"/>
      <c r="F21" s="104"/>
      <c r="G21" s="104"/>
      <c r="H21" s="104"/>
      <c r="I21" s="105"/>
    </row>
    <row r="22" spans="2:11" ht="18.75" x14ac:dyDescent="0.25">
      <c r="B22" s="106"/>
      <c r="C22" s="107" t="s">
        <v>172</v>
      </c>
      <c r="D22" s="108"/>
      <c r="E22" s="109"/>
      <c r="F22" s="109"/>
      <c r="G22" s="109"/>
      <c r="H22" s="109"/>
      <c r="I22" s="110"/>
    </row>
    <row r="23" spans="2:11" x14ac:dyDescent="0.25">
      <c r="B23" s="111"/>
      <c r="C23" s="112"/>
      <c r="D23" s="112"/>
      <c r="E23" s="112"/>
      <c r="F23" s="112"/>
      <c r="G23" s="112"/>
      <c r="H23" s="112"/>
      <c r="I23" s="113"/>
    </row>
    <row r="24" spans="2:11" ht="31.5" x14ac:dyDescent="0.25">
      <c r="B24" s="111"/>
      <c r="C24" s="26" t="s">
        <v>47</v>
      </c>
      <c r="D24" s="26" t="s">
        <v>8</v>
      </c>
      <c r="E24" s="26" t="s">
        <v>9</v>
      </c>
      <c r="F24" s="26" t="s">
        <v>29</v>
      </c>
      <c r="G24" s="26" t="s">
        <v>10</v>
      </c>
      <c r="H24" s="26" t="s">
        <v>14</v>
      </c>
      <c r="I24" s="113"/>
    </row>
    <row r="25" spans="2:11" s="133" customFormat="1" x14ac:dyDescent="0.25">
      <c r="B25" s="126"/>
      <c r="C25" s="127"/>
      <c r="D25" s="128" t="s">
        <v>173</v>
      </c>
      <c r="E25" s="129"/>
      <c r="F25" s="129"/>
      <c r="G25" s="130"/>
      <c r="H25" s="130"/>
      <c r="I25" s="131"/>
      <c r="J25" s="132"/>
    </row>
    <row r="26" spans="2:11" x14ac:dyDescent="0.25">
      <c r="B26" s="111"/>
      <c r="C26" s="114">
        <v>1</v>
      </c>
      <c r="D26" s="115" t="s">
        <v>174</v>
      </c>
      <c r="E26" s="116">
        <v>1</v>
      </c>
      <c r="F26" s="116">
        <v>71990</v>
      </c>
      <c r="G26" s="117">
        <f t="shared" ref="G26:G48" si="1">F26*E26</f>
        <v>71990</v>
      </c>
      <c r="H26" s="117"/>
      <c r="I26" s="113"/>
      <c r="J26" s="118"/>
      <c r="K26" s="134"/>
    </row>
    <row r="27" spans="2:11" x14ac:dyDescent="0.25">
      <c r="B27" s="111"/>
      <c r="C27" s="114">
        <v>2</v>
      </c>
      <c r="D27" s="115" t="s">
        <v>175</v>
      </c>
      <c r="E27" s="116">
        <v>1</v>
      </c>
      <c r="F27" s="116">
        <v>60990</v>
      </c>
      <c r="G27" s="117">
        <f t="shared" si="1"/>
        <v>60990</v>
      </c>
      <c r="H27" s="117"/>
      <c r="I27" s="113"/>
      <c r="J27" s="118"/>
      <c r="K27" s="135"/>
    </row>
    <row r="28" spans="2:11" s="133" customFormat="1" x14ac:dyDescent="0.25">
      <c r="B28" s="126"/>
      <c r="C28" s="127"/>
      <c r="D28" s="128" t="s">
        <v>176</v>
      </c>
      <c r="E28" s="129"/>
      <c r="F28" s="129"/>
      <c r="G28" s="130"/>
      <c r="H28" s="130"/>
      <c r="I28" s="131"/>
      <c r="J28" s="132"/>
      <c r="K28" s="102"/>
    </row>
    <row r="29" spans="2:11" x14ac:dyDescent="0.25">
      <c r="B29" s="111"/>
      <c r="C29" s="114">
        <v>3</v>
      </c>
      <c r="D29" s="115" t="s">
        <v>177</v>
      </c>
      <c r="E29" s="116">
        <v>1</v>
      </c>
      <c r="F29" s="116">
        <v>23900</v>
      </c>
      <c r="G29" s="117">
        <f t="shared" si="1"/>
        <v>23900</v>
      </c>
      <c r="H29" s="117"/>
      <c r="I29" s="113"/>
      <c r="J29" s="118"/>
      <c r="K29" s="134"/>
    </row>
    <row r="30" spans="2:11" s="133" customFormat="1" x14ac:dyDescent="0.25">
      <c r="B30" s="126"/>
      <c r="C30" s="127"/>
      <c r="D30" s="128" t="s">
        <v>178</v>
      </c>
      <c r="E30" s="129"/>
      <c r="F30" s="129"/>
      <c r="G30" s="130"/>
      <c r="H30" s="130"/>
      <c r="I30" s="131"/>
      <c r="J30" s="132"/>
      <c r="K30" s="102"/>
    </row>
    <row r="31" spans="2:11" x14ac:dyDescent="0.25">
      <c r="B31" s="111"/>
      <c r="C31" s="114">
        <v>4</v>
      </c>
      <c r="D31" s="115" t="s">
        <v>179</v>
      </c>
      <c r="E31" s="116">
        <v>1</v>
      </c>
      <c r="F31" s="116">
        <v>19000</v>
      </c>
      <c r="G31" s="117">
        <f t="shared" si="1"/>
        <v>19000</v>
      </c>
      <c r="H31" s="117"/>
      <c r="I31" s="113"/>
      <c r="J31" s="118"/>
      <c r="K31" s="134"/>
    </row>
    <row r="32" spans="2:11" x14ac:dyDescent="0.25">
      <c r="B32" s="111"/>
      <c r="C32" s="114">
        <v>5</v>
      </c>
      <c r="D32" s="115" t="s">
        <v>180</v>
      </c>
      <c r="E32" s="116">
        <v>2</v>
      </c>
      <c r="F32" s="116">
        <v>1390</v>
      </c>
      <c r="G32" s="117">
        <f t="shared" si="1"/>
        <v>2780</v>
      </c>
      <c r="H32" s="117"/>
      <c r="I32" s="113"/>
      <c r="J32" s="118"/>
      <c r="K32" s="135"/>
    </row>
    <row r="33" spans="2:11" x14ac:dyDescent="0.25">
      <c r="B33" s="111"/>
      <c r="C33" s="114">
        <v>6</v>
      </c>
      <c r="D33" s="115" t="s">
        <v>181</v>
      </c>
      <c r="E33" s="116">
        <v>2</v>
      </c>
      <c r="F33" s="116">
        <v>550</v>
      </c>
      <c r="G33" s="117">
        <f t="shared" si="1"/>
        <v>1100</v>
      </c>
      <c r="H33" s="117"/>
      <c r="I33" s="113"/>
      <c r="J33" s="118"/>
      <c r="K33" s="135"/>
    </row>
    <row r="34" spans="2:11" x14ac:dyDescent="0.25">
      <c r="B34" s="111"/>
      <c r="C34" s="114">
        <v>7</v>
      </c>
      <c r="D34" s="115" t="s">
        <v>182</v>
      </c>
      <c r="E34" s="116">
        <v>2</v>
      </c>
      <c r="F34" s="116">
        <v>1800</v>
      </c>
      <c r="G34" s="117">
        <f t="shared" si="1"/>
        <v>3600</v>
      </c>
      <c r="H34" s="117"/>
      <c r="I34" s="113"/>
      <c r="J34" s="118"/>
      <c r="K34" s="135"/>
    </row>
    <row r="35" spans="2:11" x14ac:dyDescent="0.25">
      <c r="B35" s="111"/>
      <c r="C35" s="114">
        <v>8</v>
      </c>
      <c r="D35" s="115" t="s">
        <v>183</v>
      </c>
      <c r="E35" s="116">
        <v>1</v>
      </c>
      <c r="F35" s="116">
        <v>7000</v>
      </c>
      <c r="G35" s="117">
        <f t="shared" si="1"/>
        <v>7000</v>
      </c>
      <c r="H35" s="117"/>
      <c r="I35" s="113"/>
      <c r="J35" s="118"/>
      <c r="K35" s="135"/>
    </row>
    <row r="36" spans="2:11" s="133" customFormat="1" x14ac:dyDescent="0.25">
      <c r="B36" s="126"/>
      <c r="C36" s="127"/>
      <c r="D36" s="128" t="s">
        <v>184</v>
      </c>
      <c r="E36" s="129"/>
      <c r="F36" s="129"/>
      <c r="G36" s="130"/>
      <c r="H36" s="130"/>
      <c r="I36" s="131"/>
      <c r="J36" s="132"/>
      <c r="K36" s="102"/>
    </row>
    <row r="37" spans="2:11" x14ac:dyDescent="0.25">
      <c r="B37" s="111"/>
      <c r="C37" s="114">
        <v>9</v>
      </c>
      <c r="D37" s="115" t="s">
        <v>161</v>
      </c>
      <c r="E37" s="116">
        <v>3</v>
      </c>
      <c r="F37" s="116">
        <v>9900</v>
      </c>
      <c r="G37" s="117">
        <f t="shared" si="1"/>
        <v>29700</v>
      </c>
      <c r="H37" s="117"/>
      <c r="I37" s="113"/>
      <c r="J37" s="118"/>
      <c r="K37" s="134"/>
    </row>
    <row r="38" spans="2:11" x14ac:dyDescent="0.25">
      <c r="B38" s="111"/>
      <c r="C38" s="114">
        <v>10</v>
      </c>
      <c r="D38" s="115" t="s">
        <v>162</v>
      </c>
      <c r="E38" s="116">
        <v>2</v>
      </c>
      <c r="F38" s="116">
        <v>2750</v>
      </c>
      <c r="G38" s="117">
        <f t="shared" si="1"/>
        <v>5500</v>
      </c>
      <c r="H38" s="117"/>
      <c r="I38" s="113"/>
      <c r="J38" s="118"/>
      <c r="K38" s="135"/>
    </row>
    <row r="39" spans="2:11" x14ac:dyDescent="0.25">
      <c r="B39" s="111"/>
      <c r="C39" s="114">
        <v>11</v>
      </c>
      <c r="D39" s="115" t="s">
        <v>163</v>
      </c>
      <c r="E39" s="116">
        <v>2</v>
      </c>
      <c r="F39" s="116">
        <v>2040</v>
      </c>
      <c r="G39" s="117">
        <f t="shared" si="1"/>
        <v>4080</v>
      </c>
      <c r="H39" s="117"/>
      <c r="I39" s="113"/>
      <c r="J39" s="118"/>
      <c r="K39" s="135"/>
    </row>
    <row r="40" spans="2:11" ht="25.5" x14ac:dyDescent="0.25">
      <c r="B40" s="111"/>
      <c r="C40" s="114">
        <v>12</v>
      </c>
      <c r="D40" s="115" t="s">
        <v>164</v>
      </c>
      <c r="E40" s="116">
        <v>5</v>
      </c>
      <c r="F40" s="116">
        <v>2900</v>
      </c>
      <c r="G40" s="117">
        <f t="shared" si="1"/>
        <v>14500</v>
      </c>
      <c r="H40" s="117"/>
      <c r="I40" s="113"/>
      <c r="J40" s="118"/>
      <c r="K40" s="135"/>
    </row>
    <row r="41" spans="2:11" x14ac:dyDescent="0.25">
      <c r="B41" s="111"/>
      <c r="C41" s="114">
        <v>13</v>
      </c>
      <c r="D41" s="115" t="s">
        <v>165</v>
      </c>
      <c r="E41" s="116">
        <v>1</v>
      </c>
      <c r="F41" s="116">
        <v>590</v>
      </c>
      <c r="G41" s="117">
        <f t="shared" si="1"/>
        <v>590</v>
      </c>
      <c r="H41" s="117"/>
      <c r="I41" s="113"/>
      <c r="J41" s="118"/>
    </row>
    <row r="42" spans="2:11" x14ac:dyDescent="0.25">
      <c r="B42" s="111"/>
      <c r="C42" s="114">
        <v>14</v>
      </c>
      <c r="D42" s="115" t="s">
        <v>166</v>
      </c>
      <c r="E42" s="116">
        <v>2</v>
      </c>
      <c r="F42" s="116">
        <v>1340</v>
      </c>
      <c r="G42" s="117">
        <f t="shared" si="1"/>
        <v>2680</v>
      </c>
      <c r="H42" s="117"/>
      <c r="I42" s="113"/>
      <c r="J42" s="118"/>
      <c r="K42" s="135"/>
    </row>
    <row r="43" spans="2:11" x14ac:dyDescent="0.25">
      <c r="B43" s="111"/>
      <c r="C43" s="114">
        <v>15</v>
      </c>
      <c r="D43" s="115" t="s">
        <v>167</v>
      </c>
      <c r="E43" s="116">
        <v>1</v>
      </c>
      <c r="F43" s="116">
        <v>500</v>
      </c>
      <c r="G43" s="117">
        <f t="shared" si="1"/>
        <v>500</v>
      </c>
      <c r="H43" s="117"/>
      <c r="I43" s="113"/>
      <c r="J43" s="118"/>
    </row>
    <row r="44" spans="2:11" x14ac:dyDescent="0.25">
      <c r="B44" s="111"/>
      <c r="C44" s="114">
        <v>16</v>
      </c>
      <c r="D44" s="115" t="s">
        <v>168</v>
      </c>
      <c r="E44" s="116">
        <v>1</v>
      </c>
      <c r="F44" s="116">
        <v>1000</v>
      </c>
      <c r="G44" s="117">
        <f t="shared" si="1"/>
        <v>1000</v>
      </c>
      <c r="H44" s="117"/>
      <c r="I44" s="113"/>
      <c r="J44" s="118"/>
      <c r="K44" s="135"/>
    </row>
    <row r="45" spans="2:11" x14ac:dyDescent="0.25">
      <c r="B45" s="111"/>
      <c r="C45" s="114">
        <v>17</v>
      </c>
      <c r="D45" s="115" t="s">
        <v>169</v>
      </c>
      <c r="E45" s="116">
        <v>3</v>
      </c>
      <c r="F45" s="116">
        <v>300</v>
      </c>
      <c r="G45" s="117">
        <f t="shared" si="1"/>
        <v>900</v>
      </c>
      <c r="H45" s="117"/>
      <c r="I45" s="113"/>
      <c r="J45" s="118"/>
    </row>
    <row r="46" spans="2:11" ht="25.5" x14ac:dyDescent="0.25">
      <c r="B46" s="111"/>
      <c r="C46" s="114">
        <v>18</v>
      </c>
      <c r="D46" s="115" t="s">
        <v>170</v>
      </c>
      <c r="E46" s="116">
        <v>3</v>
      </c>
      <c r="F46" s="116">
        <v>50</v>
      </c>
      <c r="G46" s="117">
        <f t="shared" si="1"/>
        <v>150</v>
      </c>
      <c r="H46" s="117"/>
      <c r="I46" s="113"/>
      <c r="J46" s="118"/>
    </row>
    <row r="47" spans="2:11" ht="25.5" x14ac:dyDescent="0.25">
      <c r="B47" s="111"/>
      <c r="C47" s="114">
        <v>19</v>
      </c>
      <c r="D47" s="115" t="s">
        <v>171</v>
      </c>
      <c r="E47" s="116">
        <v>3</v>
      </c>
      <c r="F47" s="116">
        <v>400</v>
      </c>
      <c r="G47" s="117">
        <f t="shared" si="1"/>
        <v>1200</v>
      </c>
      <c r="H47" s="117"/>
      <c r="I47" s="113"/>
      <c r="J47" s="118"/>
      <c r="K47" s="135"/>
    </row>
    <row r="48" spans="2:11" x14ac:dyDescent="0.25">
      <c r="B48" s="111"/>
      <c r="C48" s="114">
        <v>20</v>
      </c>
      <c r="D48" s="115" t="s">
        <v>37</v>
      </c>
      <c r="E48" s="116">
        <v>1</v>
      </c>
      <c r="F48" s="116">
        <v>0</v>
      </c>
      <c r="G48" s="117">
        <f t="shared" si="1"/>
        <v>0</v>
      </c>
      <c r="H48" s="117" t="s">
        <v>101</v>
      </c>
      <c r="I48" s="113"/>
      <c r="J48" s="118"/>
    </row>
    <row r="49" spans="2:11" s="122" customFormat="1" ht="15.75" x14ac:dyDescent="0.25">
      <c r="B49" s="119"/>
      <c r="C49" s="26"/>
      <c r="D49" s="100" t="s">
        <v>1</v>
      </c>
      <c r="E49" s="100"/>
      <c r="F49" s="100"/>
      <c r="G49" s="100">
        <f>SUM(G25:G48)</f>
        <v>251160</v>
      </c>
      <c r="H49" s="100"/>
      <c r="I49" s="120"/>
      <c r="J49" s="121"/>
    </row>
    <row r="50" spans="2:11" ht="13.5" thickBot="1" x14ac:dyDescent="0.3">
      <c r="B50" s="123"/>
      <c r="C50" s="124"/>
      <c r="D50" s="124"/>
      <c r="E50" s="124"/>
      <c r="F50" s="124"/>
      <c r="G50" s="124"/>
      <c r="H50" s="124"/>
      <c r="I50" s="125"/>
      <c r="J50" s="112"/>
    </row>
    <row r="51" spans="2:11" ht="13.5" thickBot="1" x14ac:dyDescent="0.3"/>
    <row r="52" spans="2:11" x14ac:dyDescent="0.25">
      <c r="B52" s="103"/>
      <c r="C52" s="104"/>
      <c r="D52" s="104"/>
      <c r="E52" s="104"/>
      <c r="F52" s="104"/>
      <c r="G52" s="104"/>
      <c r="H52" s="104"/>
      <c r="I52" s="105"/>
    </row>
    <row r="53" spans="2:11" ht="18.75" x14ac:dyDescent="0.25">
      <c r="B53" s="106"/>
      <c r="C53" s="107" t="s">
        <v>185</v>
      </c>
      <c r="D53" s="108"/>
      <c r="E53" s="109"/>
      <c r="F53" s="109"/>
      <c r="G53" s="109"/>
      <c r="H53" s="109"/>
      <c r="I53" s="110"/>
    </row>
    <row r="54" spans="2:11" x14ac:dyDescent="0.25">
      <c r="B54" s="111"/>
      <c r="C54" s="112"/>
      <c r="D54" s="112"/>
      <c r="E54" s="112"/>
      <c r="F54" s="112"/>
      <c r="G54" s="112"/>
      <c r="H54" s="112"/>
      <c r="I54" s="113"/>
    </row>
    <row r="55" spans="2:11" ht="31.5" x14ac:dyDescent="0.25">
      <c r="B55" s="111"/>
      <c r="C55" s="26" t="s">
        <v>47</v>
      </c>
      <c r="D55" s="26" t="s">
        <v>8</v>
      </c>
      <c r="E55" s="26" t="s">
        <v>9</v>
      </c>
      <c r="F55" s="26" t="s">
        <v>29</v>
      </c>
      <c r="G55" s="26" t="s">
        <v>10</v>
      </c>
      <c r="H55" s="26" t="s">
        <v>14</v>
      </c>
      <c r="I55" s="113"/>
    </row>
    <row r="56" spans="2:11" s="133" customFormat="1" x14ac:dyDescent="0.25">
      <c r="B56" s="126"/>
      <c r="C56" s="127"/>
      <c r="D56" s="128" t="s">
        <v>173</v>
      </c>
      <c r="E56" s="129"/>
      <c r="F56" s="129"/>
      <c r="G56" s="130"/>
      <c r="H56" s="130"/>
      <c r="I56" s="131"/>
      <c r="J56" s="132"/>
    </row>
    <row r="57" spans="2:11" x14ac:dyDescent="0.25">
      <c r="B57" s="111"/>
      <c r="C57" s="114">
        <v>1</v>
      </c>
      <c r="D57" s="115" t="s">
        <v>174</v>
      </c>
      <c r="E57" s="116">
        <v>2</v>
      </c>
      <c r="F57" s="116">
        <v>71990</v>
      </c>
      <c r="G57" s="117">
        <f t="shared" ref="G57:G58" si="2">F57*E57</f>
        <v>143980</v>
      </c>
      <c r="H57" s="117"/>
      <c r="I57" s="113"/>
      <c r="J57" s="118"/>
      <c r="K57" s="134"/>
    </row>
    <row r="58" spans="2:11" x14ac:dyDescent="0.25">
      <c r="B58" s="111"/>
      <c r="C58" s="114">
        <v>2</v>
      </c>
      <c r="D58" s="115" t="s">
        <v>175</v>
      </c>
      <c r="E58" s="116">
        <v>2</v>
      </c>
      <c r="F58" s="116">
        <v>60990</v>
      </c>
      <c r="G58" s="117">
        <f t="shared" si="2"/>
        <v>121980</v>
      </c>
      <c r="H58" s="117"/>
      <c r="I58" s="113"/>
      <c r="J58" s="118"/>
      <c r="K58" s="135"/>
    </row>
    <row r="59" spans="2:11" s="133" customFormat="1" x14ac:dyDescent="0.25">
      <c r="B59" s="126"/>
      <c r="C59" s="127"/>
      <c r="D59" s="128" t="s">
        <v>176</v>
      </c>
      <c r="E59" s="129"/>
      <c r="F59" s="129"/>
      <c r="G59" s="130"/>
      <c r="H59" s="130"/>
      <c r="I59" s="131"/>
      <c r="J59" s="132"/>
      <c r="K59" s="102"/>
    </row>
    <row r="60" spans="2:11" x14ac:dyDescent="0.25">
      <c r="B60" s="111"/>
      <c r="C60" s="114">
        <v>3</v>
      </c>
      <c r="D60" s="115" t="s">
        <v>177</v>
      </c>
      <c r="E60" s="116">
        <v>2</v>
      </c>
      <c r="F60" s="116">
        <v>23900</v>
      </c>
      <c r="G60" s="117">
        <f t="shared" ref="G60" si="3">F60*E60</f>
        <v>47800</v>
      </c>
      <c r="H60" s="117"/>
      <c r="I60" s="113"/>
      <c r="J60" s="118"/>
      <c r="K60" s="134"/>
    </row>
    <row r="61" spans="2:11" s="133" customFormat="1" x14ac:dyDescent="0.25">
      <c r="B61" s="126"/>
      <c r="C61" s="127"/>
      <c r="D61" s="128" t="s">
        <v>178</v>
      </c>
      <c r="E61" s="129"/>
      <c r="F61" s="129"/>
      <c r="G61" s="130"/>
      <c r="H61" s="130"/>
      <c r="I61" s="131"/>
      <c r="J61" s="132"/>
      <c r="K61" s="102"/>
    </row>
    <row r="62" spans="2:11" x14ac:dyDescent="0.25">
      <c r="B62" s="111"/>
      <c r="C62" s="114">
        <v>4</v>
      </c>
      <c r="D62" s="115" t="s">
        <v>179</v>
      </c>
      <c r="E62" s="116">
        <v>2</v>
      </c>
      <c r="F62" s="116">
        <v>19000</v>
      </c>
      <c r="G62" s="117">
        <f t="shared" ref="G62:G66" si="4">F62*E62</f>
        <v>38000</v>
      </c>
      <c r="H62" s="117"/>
      <c r="I62" s="113"/>
      <c r="J62" s="118"/>
      <c r="K62" s="134"/>
    </row>
    <row r="63" spans="2:11" x14ac:dyDescent="0.25">
      <c r="B63" s="111"/>
      <c r="C63" s="114">
        <v>5</v>
      </c>
      <c r="D63" s="115" t="s">
        <v>180</v>
      </c>
      <c r="E63" s="116">
        <v>4</v>
      </c>
      <c r="F63" s="116">
        <v>1390</v>
      </c>
      <c r="G63" s="117">
        <f t="shared" si="4"/>
        <v>5560</v>
      </c>
      <c r="H63" s="117"/>
      <c r="I63" s="113"/>
      <c r="J63" s="118"/>
      <c r="K63" s="135"/>
    </row>
    <row r="64" spans="2:11" x14ac:dyDescent="0.25">
      <c r="B64" s="111"/>
      <c r="C64" s="114">
        <v>6</v>
      </c>
      <c r="D64" s="115" t="s">
        <v>181</v>
      </c>
      <c r="E64" s="116">
        <v>4</v>
      </c>
      <c r="F64" s="116">
        <v>550</v>
      </c>
      <c r="G64" s="117">
        <f t="shared" si="4"/>
        <v>2200</v>
      </c>
      <c r="H64" s="117"/>
      <c r="I64" s="113"/>
      <c r="J64" s="118"/>
      <c r="K64" s="135"/>
    </row>
    <row r="65" spans="2:11" x14ac:dyDescent="0.25">
      <c r="B65" s="111"/>
      <c r="C65" s="114">
        <v>7</v>
      </c>
      <c r="D65" s="115" t="s">
        <v>182</v>
      </c>
      <c r="E65" s="116">
        <v>4</v>
      </c>
      <c r="F65" s="116">
        <v>1800</v>
      </c>
      <c r="G65" s="117">
        <f t="shared" si="4"/>
        <v>7200</v>
      </c>
      <c r="H65" s="117"/>
      <c r="I65" s="113"/>
      <c r="J65" s="118"/>
      <c r="K65" s="135"/>
    </row>
    <row r="66" spans="2:11" x14ac:dyDescent="0.25">
      <c r="B66" s="111"/>
      <c r="C66" s="114">
        <v>8</v>
      </c>
      <c r="D66" s="115" t="s">
        <v>183</v>
      </c>
      <c r="E66" s="116">
        <v>2</v>
      </c>
      <c r="F66" s="116">
        <v>7000</v>
      </c>
      <c r="G66" s="117">
        <f t="shared" si="4"/>
        <v>14000</v>
      </c>
      <c r="H66" s="117"/>
      <c r="I66" s="113"/>
      <c r="J66" s="118"/>
      <c r="K66" s="135"/>
    </row>
    <row r="67" spans="2:11" s="133" customFormat="1" x14ac:dyDescent="0.25">
      <c r="B67" s="126"/>
      <c r="C67" s="127"/>
      <c r="D67" s="128" t="s">
        <v>184</v>
      </c>
      <c r="E67" s="129"/>
      <c r="F67" s="129"/>
      <c r="G67" s="130"/>
      <c r="H67" s="130"/>
      <c r="I67" s="131"/>
      <c r="J67" s="132"/>
      <c r="K67" s="102"/>
    </row>
    <row r="68" spans="2:11" x14ac:dyDescent="0.25">
      <c r="B68" s="111"/>
      <c r="C68" s="114">
        <v>9</v>
      </c>
      <c r="D68" s="115" t="s">
        <v>161</v>
      </c>
      <c r="E68" s="116">
        <v>6</v>
      </c>
      <c r="F68" s="116">
        <v>9900</v>
      </c>
      <c r="G68" s="117">
        <f t="shared" ref="G68:G79" si="5">F68*E68</f>
        <v>59400</v>
      </c>
      <c r="H68" s="117"/>
      <c r="I68" s="113"/>
      <c r="J68" s="118"/>
      <c r="K68" s="134"/>
    </row>
    <row r="69" spans="2:11" x14ac:dyDescent="0.25">
      <c r="B69" s="111"/>
      <c r="C69" s="114">
        <v>10</v>
      </c>
      <c r="D69" s="115" t="s">
        <v>162</v>
      </c>
      <c r="E69" s="116">
        <v>4</v>
      </c>
      <c r="F69" s="116">
        <v>2750</v>
      </c>
      <c r="G69" s="117">
        <f t="shared" si="5"/>
        <v>11000</v>
      </c>
      <c r="H69" s="117"/>
      <c r="I69" s="113"/>
      <c r="J69" s="118"/>
      <c r="K69" s="135"/>
    </row>
    <row r="70" spans="2:11" x14ac:dyDescent="0.25">
      <c r="B70" s="111"/>
      <c r="C70" s="114">
        <v>11</v>
      </c>
      <c r="D70" s="115" t="s">
        <v>163</v>
      </c>
      <c r="E70" s="116">
        <v>4</v>
      </c>
      <c r="F70" s="116">
        <v>2040</v>
      </c>
      <c r="G70" s="117">
        <f t="shared" si="5"/>
        <v>8160</v>
      </c>
      <c r="H70" s="117"/>
      <c r="I70" s="113"/>
      <c r="J70" s="118"/>
      <c r="K70" s="135"/>
    </row>
    <row r="71" spans="2:11" ht="25.5" x14ac:dyDescent="0.25">
      <c r="B71" s="111"/>
      <c r="C71" s="114">
        <v>12</v>
      </c>
      <c r="D71" s="115" t="s">
        <v>164</v>
      </c>
      <c r="E71" s="116">
        <v>10</v>
      </c>
      <c r="F71" s="116">
        <v>2900</v>
      </c>
      <c r="G71" s="117">
        <f t="shared" si="5"/>
        <v>29000</v>
      </c>
      <c r="H71" s="117"/>
      <c r="I71" s="113"/>
      <c r="J71" s="118"/>
      <c r="K71" s="135"/>
    </row>
    <row r="72" spans="2:11" x14ac:dyDescent="0.25">
      <c r="B72" s="111"/>
      <c r="C72" s="114">
        <v>13</v>
      </c>
      <c r="D72" s="115" t="s">
        <v>165</v>
      </c>
      <c r="E72" s="116">
        <v>2</v>
      </c>
      <c r="F72" s="116">
        <v>590</v>
      </c>
      <c r="G72" s="117">
        <f t="shared" si="5"/>
        <v>1180</v>
      </c>
      <c r="H72" s="117"/>
      <c r="I72" s="113"/>
      <c r="J72" s="118"/>
    </row>
    <row r="73" spans="2:11" x14ac:dyDescent="0.25">
      <c r="B73" s="111"/>
      <c r="C73" s="114">
        <v>14</v>
      </c>
      <c r="D73" s="115" t="s">
        <v>166</v>
      </c>
      <c r="E73" s="116">
        <v>4</v>
      </c>
      <c r="F73" s="116">
        <v>1340</v>
      </c>
      <c r="G73" s="117">
        <f t="shared" si="5"/>
        <v>5360</v>
      </c>
      <c r="H73" s="117"/>
      <c r="I73" s="113"/>
      <c r="J73" s="118"/>
      <c r="K73" s="135"/>
    </row>
    <row r="74" spans="2:11" x14ac:dyDescent="0.25">
      <c r="B74" s="111"/>
      <c r="C74" s="114">
        <v>15</v>
      </c>
      <c r="D74" s="115" t="s">
        <v>167</v>
      </c>
      <c r="E74" s="116">
        <v>2</v>
      </c>
      <c r="F74" s="116">
        <v>500</v>
      </c>
      <c r="G74" s="117">
        <f t="shared" si="5"/>
        <v>1000</v>
      </c>
      <c r="H74" s="117"/>
      <c r="I74" s="113"/>
      <c r="J74" s="118"/>
    </row>
    <row r="75" spans="2:11" x14ac:dyDescent="0.25">
      <c r="B75" s="111"/>
      <c r="C75" s="114">
        <v>16</v>
      </c>
      <c r="D75" s="115" t="s">
        <v>168</v>
      </c>
      <c r="E75" s="116">
        <v>2</v>
      </c>
      <c r="F75" s="116">
        <v>1000</v>
      </c>
      <c r="G75" s="117">
        <f t="shared" si="5"/>
        <v>2000</v>
      </c>
      <c r="H75" s="117"/>
      <c r="I75" s="113"/>
      <c r="J75" s="118"/>
      <c r="K75" s="135"/>
    </row>
    <row r="76" spans="2:11" x14ac:dyDescent="0.25">
      <c r="B76" s="111"/>
      <c r="C76" s="114">
        <v>17</v>
      </c>
      <c r="D76" s="115" t="s">
        <v>169</v>
      </c>
      <c r="E76" s="116">
        <v>6</v>
      </c>
      <c r="F76" s="116">
        <v>300</v>
      </c>
      <c r="G76" s="117">
        <f t="shared" si="5"/>
        <v>1800</v>
      </c>
      <c r="H76" s="117"/>
      <c r="I76" s="113"/>
      <c r="J76" s="118"/>
      <c r="K76" s="135"/>
    </row>
    <row r="77" spans="2:11" ht="25.5" x14ac:dyDescent="0.25">
      <c r="B77" s="111"/>
      <c r="C77" s="114">
        <v>18</v>
      </c>
      <c r="D77" s="115" t="s">
        <v>170</v>
      </c>
      <c r="E77" s="116">
        <v>6</v>
      </c>
      <c r="F77" s="116">
        <v>50</v>
      </c>
      <c r="G77" s="117">
        <f t="shared" si="5"/>
        <v>300</v>
      </c>
      <c r="H77" s="117"/>
      <c r="I77" s="113"/>
      <c r="J77" s="118"/>
      <c r="K77" s="135"/>
    </row>
    <row r="78" spans="2:11" ht="25.5" x14ac:dyDescent="0.25">
      <c r="B78" s="111"/>
      <c r="C78" s="114">
        <v>19</v>
      </c>
      <c r="D78" s="115" t="s">
        <v>171</v>
      </c>
      <c r="E78" s="116">
        <v>6</v>
      </c>
      <c r="F78" s="116">
        <v>400</v>
      </c>
      <c r="G78" s="117">
        <f t="shared" si="5"/>
        <v>2400</v>
      </c>
      <c r="H78" s="117"/>
      <c r="I78" s="113"/>
      <c r="J78" s="118"/>
      <c r="K78" s="135"/>
    </row>
    <row r="79" spans="2:11" x14ac:dyDescent="0.25">
      <c r="B79" s="111"/>
      <c r="C79" s="114">
        <v>20</v>
      </c>
      <c r="D79" s="115" t="s">
        <v>37</v>
      </c>
      <c r="E79" s="116">
        <v>1</v>
      </c>
      <c r="F79" s="116">
        <v>0</v>
      </c>
      <c r="G79" s="117">
        <f t="shared" si="5"/>
        <v>0</v>
      </c>
      <c r="H79" s="117" t="s">
        <v>101</v>
      </c>
      <c r="I79" s="113"/>
      <c r="J79" s="118"/>
    </row>
    <row r="80" spans="2:11" s="122" customFormat="1" ht="15.75" x14ac:dyDescent="0.25">
      <c r="B80" s="119"/>
      <c r="C80" s="26"/>
      <c r="D80" s="100" t="s">
        <v>1</v>
      </c>
      <c r="E80" s="100"/>
      <c r="F80" s="100"/>
      <c r="G80" s="100">
        <f>SUM(G56:G79)</f>
        <v>502320</v>
      </c>
      <c r="H80" s="100"/>
      <c r="I80" s="120"/>
      <c r="J80" s="121"/>
    </row>
    <row r="81" spans="2:11" ht="13.5" thickBot="1" x14ac:dyDescent="0.3">
      <c r="B81" s="123"/>
      <c r="C81" s="124"/>
      <c r="D81" s="124"/>
      <c r="E81" s="124"/>
      <c r="F81" s="124"/>
      <c r="G81" s="124"/>
      <c r="H81" s="124"/>
      <c r="I81" s="125"/>
      <c r="J81" s="112"/>
    </row>
    <row r="82" spans="2:11" ht="13.5" thickBot="1" x14ac:dyDescent="0.3"/>
    <row r="83" spans="2:11" x14ac:dyDescent="0.25">
      <c r="B83" s="103"/>
      <c r="C83" s="104"/>
      <c r="D83" s="104"/>
      <c r="E83" s="104"/>
      <c r="F83" s="104"/>
      <c r="G83" s="104"/>
      <c r="H83" s="104"/>
      <c r="I83" s="105"/>
    </row>
    <row r="84" spans="2:11" ht="18.75" x14ac:dyDescent="0.25">
      <c r="B84" s="106"/>
      <c r="C84" s="107" t="s">
        <v>186</v>
      </c>
      <c r="D84" s="108"/>
      <c r="E84" s="109"/>
      <c r="F84" s="109"/>
      <c r="G84" s="109"/>
      <c r="H84" s="109"/>
      <c r="I84" s="110"/>
    </row>
    <row r="85" spans="2:11" x14ac:dyDescent="0.25">
      <c r="B85" s="111"/>
      <c r="C85" s="112"/>
      <c r="D85" s="112"/>
      <c r="E85" s="112"/>
      <c r="F85" s="112"/>
      <c r="G85" s="112"/>
      <c r="H85" s="112"/>
      <c r="I85" s="113"/>
    </row>
    <row r="86" spans="2:11" ht="31.5" x14ac:dyDescent="0.25">
      <c r="B86" s="111"/>
      <c r="C86" s="26" t="s">
        <v>47</v>
      </c>
      <c r="D86" s="26" t="s">
        <v>8</v>
      </c>
      <c r="E86" s="26" t="s">
        <v>9</v>
      </c>
      <c r="F86" s="26" t="s">
        <v>29</v>
      </c>
      <c r="G86" s="26" t="s">
        <v>10</v>
      </c>
      <c r="H86" s="26" t="s">
        <v>14</v>
      </c>
      <c r="I86" s="113"/>
    </row>
    <row r="87" spans="2:11" s="133" customFormat="1" x14ac:dyDescent="0.25">
      <c r="B87" s="126"/>
      <c r="C87" s="127"/>
      <c r="D87" s="128" t="s">
        <v>187</v>
      </c>
      <c r="E87" s="129"/>
      <c r="F87" s="129"/>
      <c r="G87" s="130"/>
      <c r="H87" s="130"/>
      <c r="I87" s="131"/>
      <c r="J87" s="132"/>
      <c r="K87" s="102"/>
    </row>
    <row r="88" spans="2:11" x14ac:dyDescent="0.25">
      <c r="B88" s="111"/>
      <c r="C88" s="114">
        <v>1</v>
      </c>
      <c r="D88" s="115" t="s">
        <v>188</v>
      </c>
      <c r="E88" s="116">
        <v>1</v>
      </c>
      <c r="F88" s="116">
        <v>2000</v>
      </c>
      <c r="G88" s="117">
        <f t="shared" ref="G88:G99" si="6">F88*E88</f>
        <v>2000</v>
      </c>
      <c r="H88" s="117"/>
      <c r="I88" s="113"/>
      <c r="J88" s="118"/>
      <c r="K88" s="134"/>
    </row>
    <row r="89" spans="2:11" x14ac:dyDescent="0.25">
      <c r="B89" s="111"/>
      <c r="C89" s="114">
        <v>2</v>
      </c>
      <c r="D89" s="115" t="s">
        <v>189</v>
      </c>
      <c r="E89" s="116">
        <v>1</v>
      </c>
      <c r="F89" s="116">
        <v>2000</v>
      </c>
      <c r="G89" s="117">
        <f t="shared" si="6"/>
        <v>2000</v>
      </c>
      <c r="H89" s="117"/>
      <c r="I89" s="113"/>
      <c r="J89" s="118"/>
      <c r="K89" s="135"/>
    </row>
    <row r="90" spans="2:11" x14ac:dyDescent="0.25">
      <c r="B90" s="111"/>
      <c r="C90" s="114">
        <v>3</v>
      </c>
      <c r="D90" s="115" t="s">
        <v>190</v>
      </c>
      <c r="E90" s="116">
        <v>1</v>
      </c>
      <c r="F90" s="116">
        <v>5000</v>
      </c>
      <c r="G90" s="117">
        <f t="shared" si="6"/>
        <v>5000</v>
      </c>
      <c r="H90" s="117"/>
      <c r="I90" s="113"/>
      <c r="J90" s="118"/>
      <c r="K90" s="135"/>
    </row>
    <row r="91" spans="2:11" x14ac:dyDescent="0.25">
      <c r="B91" s="111"/>
      <c r="C91" s="114">
        <v>4</v>
      </c>
      <c r="D91" s="115" t="s">
        <v>191</v>
      </c>
      <c r="E91" s="116">
        <v>1</v>
      </c>
      <c r="F91" s="116">
        <v>17000</v>
      </c>
      <c r="G91" s="117">
        <f t="shared" si="6"/>
        <v>17000</v>
      </c>
      <c r="H91" s="117"/>
      <c r="I91" s="113"/>
      <c r="J91" s="118"/>
      <c r="K91" s="135"/>
    </row>
    <row r="92" spans="2:11" x14ac:dyDescent="0.25">
      <c r="B92" s="111"/>
      <c r="C92" s="114">
        <v>5</v>
      </c>
      <c r="D92" s="115" t="s">
        <v>192</v>
      </c>
      <c r="E92" s="116">
        <v>1</v>
      </c>
      <c r="F92" s="116">
        <v>7000</v>
      </c>
      <c r="G92" s="117">
        <f t="shared" si="6"/>
        <v>7000</v>
      </c>
      <c r="H92" s="117"/>
      <c r="I92" s="113"/>
      <c r="J92" s="118"/>
    </row>
    <row r="93" spans="2:11" x14ac:dyDescent="0.25">
      <c r="B93" s="111"/>
      <c r="C93" s="114">
        <v>6</v>
      </c>
      <c r="D93" s="115" t="s">
        <v>193</v>
      </c>
      <c r="E93" s="116">
        <v>1</v>
      </c>
      <c r="F93" s="116">
        <v>11000</v>
      </c>
      <c r="G93" s="117">
        <f t="shared" si="6"/>
        <v>11000</v>
      </c>
      <c r="H93" s="117"/>
      <c r="I93" s="113"/>
      <c r="J93" s="118"/>
      <c r="K93" s="135"/>
    </row>
    <row r="94" spans="2:11" x14ac:dyDescent="0.25">
      <c r="B94" s="111"/>
      <c r="C94" s="114">
        <v>7</v>
      </c>
      <c r="D94" s="115" t="s">
        <v>194</v>
      </c>
      <c r="E94" s="116">
        <v>1</v>
      </c>
      <c r="F94" s="116">
        <v>500</v>
      </c>
      <c r="G94" s="117">
        <f t="shared" si="6"/>
        <v>500</v>
      </c>
      <c r="H94" s="117"/>
      <c r="I94" s="113"/>
      <c r="J94" s="118"/>
    </row>
    <row r="95" spans="2:11" x14ac:dyDescent="0.25">
      <c r="B95" s="111"/>
      <c r="C95" s="114">
        <v>8</v>
      </c>
      <c r="D95" s="115" t="s">
        <v>195</v>
      </c>
      <c r="E95" s="116">
        <v>2</v>
      </c>
      <c r="F95" s="116">
        <v>1200</v>
      </c>
      <c r="G95" s="117">
        <f t="shared" si="6"/>
        <v>2400</v>
      </c>
      <c r="H95" s="117"/>
      <c r="I95" s="113"/>
      <c r="J95" s="118"/>
      <c r="K95" s="135"/>
    </row>
    <row r="96" spans="2:11" x14ac:dyDescent="0.25">
      <c r="B96" s="111"/>
      <c r="C96" s="114">
        <v>9</v>
      </c>
      <c r="D96" s="115" t="s">
        <v>196</v>
      </c>
      <c r="E96" s="116">
        <v>1</v>
      </c>
      <c r="F96" s="116">
        <v>5000</v>
      </c>
      <c r="G96" s="117">
        <f t="shared" si="6"/>
        <v>5000</v>
      </c>
      <c r="H96" s="117"/>
      <c r="I96" s="113"/>
      <c r="J96" s="118"/>
      <c r="K96" s="135"/>
    </row>
    <row r="97" spans="2:11" x14ac:dyDescent="0.25">
      <c r="B97" s="111"/>
      <c r="C97" s="114">
        <v>10</v>
      </c>
      <c r="D97" s="115" t="s">
        <v>197</v>
      </c>
      <c r="E97" s="116">
        <v>1</v>
      </c>
      <c r="F97" s="116">
        <v>200</v>
      </c>
      <c r="G97" s="117">
        <f t="shared" si="6"/>
        <v>200</v>
      </c>
      <c r="H97" s="117"/>
      <c r="I97" s="113"/>
      <c r="J97" s="118"/>
      <c r="K97" s="135"/>
    </row>
    <row r="98" spans="2:11" x14ac:dyDescent="0.25">
      <c r="B98" s="111"/>
      <c r="C98" s="114">
        <v>11</v>
      </c>
      <c r="D98" s="115" t="s">
        <v>198</v>
      </c>
      <c r="E98" s="116">
        <v>5</v>
      </c>
      <c r="F98" s="116">
        <v>100</v>
      </c>
      <c r="G98" s="117">
        <f t="shared" si="6"/>
        <v>500</v>
      </c>
      <c r="H98" s="117"/>
      <c r="I98" s="113"/>
      <c r="J98" s="118"/>
      <c r="K98" s="135"/>
    </row>
    <row r="99" spans="2:11" x14ac:dyDescent="0.25">
      <c r="B99" s="111"/>
      <c r="C99" s="114">
        <v>12</v>
      </c>
      <c r="D99" s="115" t="s">
        <v>37</v>
      </c>
      <c r="E99" s="116">
        <v>1</v>
      </c>
      <c r="F99" s="116">
        <v>0</v>
      </c>
      <c r="G99" s="117">
        <f t="shared" si="6"/>
        <v>0</v>
      </c>
      <c r="H99" s="117" t="s">
        <v>101</v>
      </c>
      <c r="I99" s="113"/>
      <c r="J99" s="118"/>
    </row>
    <row r="100" spans="2:11" s="122" customFormat="1" ht="15.75" x14ac:dyDescent="0.25">
      <c r="B100" s="119"/>
      <c r="C100" s="26"/>
      <c r="D100" s="100" t="s">
        <v>1</v>
      </c>
      <c r="E100" s="100"/>
      <c r="F100" s="100"/>
      <c r="G100" s="100">
        <f>SUM(G87:G99)</f>
        <v>52600</v>
      </c>
      <c r="H100" s="100"/>
      <c r="I100" s="120"/>
      <c r="J100" s="121"/>
    </row>
    <row r="101" spans="2:11" ht="13.5" thickBot="1" x14ac:dyDescent="0.3">
      <c r="B101" s="123"/>
      <c r="C101" s="124"/>
      <c r="D101" s="124"/>
      <c r="E101" s="124"/>
      <c r="F101" s="124"/>
      <c r="G101" s="124"/>
      <c r="H101" s="124"/>
      <c r="I101" s="125"/>
      <c r="J101" s="112"/>
    </row>
    <row r="103" spans="2:11" x14ac:dyDescent="0.2">
      <c r="E103" s="28" t="s">
        <v>3</v>
      </c>
      <c r="F103" s="101" t="s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29"/>
  <sheetViews>
    <sheetView zoomScale="90" zoomScaleNormal="90" workbookViewId="0">
      <selection activeCell="D6" sqref="D6"/>
    </sheetView>
  </sheetViews>
  <sheetFormatPr defaultColWidth="15.140625" defaultRowHeight="12.75" x14ac:dyDescent="0.2"/>
  <cols>
    <col min="1" max="2" width="3.7109375" style="18" customWidth="1"/>
    <col min="3" max="3" width="4.7109375" style="18" customWidth="1"/>
    <col min="4" max="4" width="50.7109375" style="18" customWidth="1"/>
    <col min="5" max="42" width="9.7109375" style="18" customWidth="1"/>
    <col min="43" max="44" width="3.7109375" style="18" customWidth="1"/>
    <col min="45" max="16384" width="15.140625" style="18"/>
  </cols>
  <sheetData>
    <row r="1" spans="2:51" ht="13.5" thickBot="1" x14ac:dyDescent="0.25">
      <c r="U1" s="47"/>
      <c r="V1" s="47"/>
    </row>
    <row r="2" spans="2:51" x14ac:dyDescent="0.2">
      <c r="B2" s="81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3"/>
      <c r="AW2" s="47"/>
      <c r="AX2" s="47"/>
      <c r="AY2" s="47"/>
    </row>
    <row r="3" spans="2:51" ht="18.75" x14ac:dyDescent="0.3">
      <c r="B3" s="136"/>
      <c r="C3" s="137" t="s">
        <v>43</v>
      </c>
      <c r="D3" s="137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9"/>
      <c r="AW3" s="47"/>
      <c r="AX3" s="47"/>
      <c r="AY3" s="47"/>
    </row>
    <row r="4" spans="2:51" x14ac:dyDescent="0.2">
      <c r="B4" s="16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17"/>
    </row>
    <row r="5" spans="2:51" x14ac:dyDescent="0.2">
      <c r="B5" s="16"/>
      <c r="C5" s="47"/>
      <c r="D5" s="140" t="s">
        <v>229</v>
      </c>
      <c r="E5" s="140" t="s">
        <v>9</v>
      </c>
      <c r="F5" s="140" t="s">
        <v>228</v>
      </c>
      <c r="G5" s="140" t="s">
        <v>227</v>
      </c>
      <c r="H5" s="204" t="s">
        <v>14</v>
      </c>
      <c r="I5" s="204"/>
      <c r="J5" s="204"/>
      <c r="K5" s="204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17"/>
    </row>
    <row r="6" spans="2:51" x14ac:dyDescent="0.2">
      <c r="B6" s="16"/>
      <c r="C6" s="47"/>
      <c r="D6" s="48" t="s">
        <v>224</v>
      </c>
      <c r="E6" s="49">
        <v>4</v>
      </c>
      <c r="F6" s="50"/>
      <c r="G6" s="50"/>
      <c r="H6" s="203" t="s">
        <v>226</v>
      </c>
      <c r="I6" s="203"/>
      <c r="J6" s="203"/>
      <c r="K6" s="203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17"/>
    </row>
    <row r="7" spans="2:51" x14ac:dyDescent="0.2">
      <c r="B7" s="16"/>
      <c r="C7" s="47"/>
      <c r="D7" s="48" t="s">
        <v>225</v>
      </c>
      <c r="E7" s="50">
        <v>1</v>
      </c>
      <c r="F7" s="50">
        <v>107800</v>
      </c>
      <c r="G7" s="50">
        <v>107800</v>
      </c>
      <c r="H7" s="203" t="s">
        <v>226</v>
      </c>
      <c r="I7" s="203"/>
      <c r="J7" s="203"/>
      <c r="K7" s="203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17"/>
    </row>
    <row r="8" spans="2:51" x14ac:dyDescent="0.2">
      <c r="B8" s="16"/>
      <c r="C8" s="47"/>
      <c r="D8" s="140" t="s">
        <v>241</v>
      </c>
      <c r="E8" s="141"/>
      <c r="F8" s="141"/>
      <c r="G8" s="141">
        <f>SUM(G9:G11)</f>
        <v>107800</v>
      </c>
      <c r="H8" s="142">
        <f>SUM(H9:H11)</f>
        <v>1</v>
      </c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17"/>
    </row>
    <row r="9" spans="2:51" x14ac:dyDescent="0.2">
      <c r="B9" s="16"/>
      <c r="C9" s="47"/>
      <c r="D9" s="48" t="s">
        <v>217</v>
      </c>
      <c r="E9" s="49">
        <v>180</v>
      </c>
      <c r="F9" s="50">
        <f>Калькулятор!D23</f>
        <v>290</v>
      </c>
      <c r="G9" s="50">
        <f>E9*F9</f>
        <v>52200</v>
      </c>
      <c r="H9" s="143">
        <f>G9/$G$8</f>
        <v>0.48423005565862709</v>
      </c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17"/>
    </row>
    <row r="10" spans="2:51" x14ac:dyDescent="0.2">
      <c r="B10" s="16"/>
      <c r="C10" s="47"/>
      <c r="D10" s="48" t="s">
        <v>216</v>
      </c>
      <c r="E10" s="49">
        <v>105</v>
      </c>
      <c r="F10" s="50">
        <f>Калькулятор!D24</f>
        <v>320</v>
      </c>
      <c r="G10" s="50">
        <f>E10*F10</f>
        <v>33600</v>
      </c>
      <c r="H10" s="143">
        <f t="shared" ref="H10:H11" si="0">G10/$G$8</f>
        <v>0.31168831168831168</v>
      </c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17"/>
    </row>
    <row r="11" spans="2:51" x14ac:dyDescent="0.2">
      <c r="B11" s="16"/>
      <c r="C11" s="47"/>
      <c r="D11" s="48" t="s">
        <v>215</v>
      </c>
      <c r="E11" s="49">
        <v>40</v>
      </c>
      <c r="F11" s="50">
        <f>Калькулятор!D25</f>
        <v>550</v>
      </c>
      <c r="G11" s="50">
        <f>E11*F11</f>
        <v>22000</v>
      </c>
      <c r="H11" s="143">
        <f t="shared" si="0"/>
        <v>0.20408163265306123</v>
      </c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17"/>
    </row>
    <row r="12" spans="2:51" x14ac:dyDescent="0.2">
      <c r="B12" s="16"/>
      <c r="C12" s="47"/>
      <c r="D12" s="47"/>
      <c r="E12" s="144"/>
      <c r="F12" s="144"/>
      <c r="G12" s="144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17"/>
    </row>
    <row r="13" spans="2:51" s="149" customFormat="1" ht="15.75" x14ac:dyDescent="0.25">
      <c r="B13" s="145"/>
      <c r="C13" s="205" t="s">
        <v>47</v>
      </c>
      <c r="D13" s="205" t="s">
        <v>11</v>
      </c>
      <c r="E13" s="208" t="s">
        <v>9</v>
      </c>
      <c r="F13" s="208" t="s">
        <v>230</v>
      </c>
      <c r="G13" s="146" t="s">
        <v>53</v>
      </c>
      <c r="H13" s="146" t="s">
        <v>54</v>
      </c>
      <c r="I13" s="146" t="s">
        <v>55</v>
      </c>
      <c r="J13" s="146" t="s">
        <v>56</v>
      </c>
      <c r="K13" s="146" t="s">
        <v>57</v>
      </c>
      <c r="L13" s="146" t="s">
        <v>58</v>
      </c>
      <c r="M13" s="146" t="s">
        <v>59</v>
      </c>
      <c r="N13" s="146" t="s">
        <v>60</v>
      </c>
      <c r="O13" s="146" t="s">
        <v>61</v>
      </c>
      <c r="P13" s="146" t="s">
        <v>62</v>
      </c>
      <c r="Q13" s="146" t="s">
        <v>63</v>
      </c>
      <c r="R13" s="146" t="s">
        <v>64</v>
      </c>
      <c r="S13" s="146" t="s">
        <v>65</v>
      </c>
      <c r="T13" s="146" t="s">
        <v>66</v>
      </c>
      <c r="U13" s="146" t="s">
        <v>67</v>
      </c>
      <c r="V13" s="146" t="s">
        <v>68</v>
      </c>
      <c r="W13" s="146" t="s">
        <v>69</v>
      </c>
      <c r="X13" s="146" t="s">
        <v>70</v>
      </c>
      <c r="Y13" s="146" t="s">
        <v>71</v>
      </c>
      <c r="Z13" s="146" t="s">
        <v>72</v>
      </c>
      <c r="AA13" s="146" t="s">
        <v>73</v>
      </c>
      <c r="AB13" s="146" t="s">
        <v>74</v>
      </c>
      <c r="AC13" s="146" t="s">
        <v>75</v>
      </c>
      <c r="AD13" s="146" t="s">
        <v>76</v>
      </c>
      <c r="AE13" s="146" t="s">
        <v>77</v>
      </c>
      <c r="AF13" s="146" t="s">
        <v>78</v>
      </c>
      <c r="AG13" s="146" t="s">
        <v>79</v>
      </c>
      <c r="AH13" s="146" t="s">
        <v>80</v>
      </c>
      <c r="AI13" s="146" t="s">
        <v>81</v>
      </c>
      <c r="AJ13" s="146" t="s">
        <v>82</v>
      </c>
      <c r="AK13" s="146" t="s">
        <v>83</v>
      </c>
      <c r="AL13" s="146" t="s">
        <v>84</v>
      </c>
      <c r="AM13" s="146" t="s">
        <v>85</v>
      </c>
      <c r="AN13" s="146" t="s">
        <v>86</v>
      </c>
      <c r="AO13" s="146" t="s">
        <v>87</v>
      </c>
      <c r="AP13" s="146" t="s">
        <v>88</v>
      </c>
      <c r="AQ13" s="147"/>
      <c r="AR13" s="148"/>
    </row>
    <row r="14" spans="2:51" s="149" customFormat="1" ht="15.75" x14ac:dyDescent="0.25">
      <c r="B14" s="145"/>
      <c r="C14" s="206"/>
      <c r="D14" s="207"/>
      <c r="E14" s="209"/>
      <c r="F14" s="209"/>
      <c r="G14" s="146" t="str">
        <f>TEXT(EDATE(1,(Калькулятор!$E$11))-1,"ММММ")</f>
        <v>Май</v>
      </c>
      <c r="H14" s="146" t="str">
        <f>TEXT(EDATE(1,(Калькулятор!$E$11+1))-1,"ММММ")</f>
        <v>Июнь</v>
      </c>
      <c r="I14" s="146" t="str">
        <f>TEXT(EDATE(1,(Калькулятор!$E$11+2))-1,"ММММ")</f>
        <v>Июль</v>
      </c>
      <c r="J14" s="146" t="str">
        <f>TEXT(EDATE(1,(Калькулятор!$E$11+3))-1,"ММММ")</f>
        <v>Август</v>
      </c>
      <c r="K14" s="146" t="str">
        <f>TEXT(EDATE(1,(Калькулятор!$E$11+4))-1,"ММММ")</f>
        <v>Сентябрь</v>
      </c>
      <c r="L14" s="146" t="str">
        <f>TEXT(EDATE(1,(Калькулятор!$E$11+5))-1,"ММММ")</f>
        <v>Октябрь</v>
      </c>
      <c r="M14" s="146" t="str">
        <f>TEXT(EDATE(1,(Калькулятор!$E$11+6))-1,"ММММ")</f>
        <v>Ноябрь</v>
      </c>
      <c r="N14" s="146" t="str">
        <f>TEXT(EDATE(1,(Калькулятор!$E$11+7))-1,"ММММ")</f>
        <v>Декабрь</v>
      </c>
      <c r="O14" s="146" t="str">
        <f>TEXT(EDATE(1,(Калькулятор!$E$11+8))-1,"ММММ")</f>
        <v>Январь</v>
      </c>
      <c r="P14" s="146" t="str">
        <f>TEXT(EDATE(1,(Калькулятор!$E$11+9))-1,"ММММ")</f>
        <v>Февраль</v>
      </c>
      <c r="Q14" s="146" t="str">
        <f>TEXT(EDATE(1,(Калькулятор!$E$11+10))-1,"ММММ")</f>
        <v>Март</v>
      </c>
      <c r="R14" s="146" t="str">
        <f>TEXT(EDATE(1,(Калькулятор!$E$11+11))-1,"ММММ")</f>
        <v>Апрель</v>
      </c>
      <c r="S14" s="146" t="str">
        <f>G14</f>
        <v>Май</v>
      </c>
      <c r="T14" s="146" t="str">
        <f t="shared" ref="T14:AP14" si="1">H14</f>
        <v>Июнь</v>
      </c>
      <c r="U14" s="146" t="str">
        <f t="shared" si="1"/>
        <v>Июль</v>
      </c>
      <c r="V14" s="146" t="str">
        <f t="shared" si="1"/>
        <v>Август</v>
      </c>
      <c r="W14" s="146" t="str">
        <f t="shared" si="1"/>
        <v>Сентябрь</v>
      </c>
      <c r="X14" s="146" t="str">
        <f t="shared" si="1"/>
        <v>Октябрь</v>
      </c>
      <c r="Y14" s="146" t="str">
        <f t="shared" si="1"/>
        <v>Ноябрь</v>
      </c>
      <c r="Z14" s="146" t="str">
        <f t="shared" si="1"/>
        <v>Декабрь</v>
      </c>
      <c r="AA14" s="146" t="str">
        <f t="shared" si="1"/>
        <v>Январь</v>
      </c>
      <c r="AB14" s="146" t="str">
        <f t="shared" si="1"/>
        <v>Февраль</v>
      </c>
      <c r="AC14" s="146" t="str">
        <f t="shared" si="1"/>
        <v>Март</v>
      </c>
      <c r="AD14" s="146" t="str">
        <f t="shared" si="1"/>
        <v>Апрель</v>
      </c>
      <c r="AE14" s="146" t="str">
        <f t="shared" si="1"/>
        <v>Май</v>
      </c>
      <c r="AF14" s="146" t="str">
        <f t="shared" si="1"/>
        <v>Июнь</v>
      </c>
      <c r="AG14" s="146" t="str">
        <f t="shared" si="1"/>
        <v>Июль</v>
      </c>
      <c r="AH14" s="146" t="str">
        <f t="shared" si="1"/>
        <v>Август</v>
      </c>
      <c r="AI14" s="146" t="str">
        <f t="shared" si="1"/>
        <v>Сентябрь</v>
      </c>
      <c r="AJ14" s="146" t="str">
        <f t="shared" si="1"/>
        <v>Октябрь</v>
      </c>
      <c r="AK14" s="146" t="str">
        <f t="shared" si="1"/>
        <v>Ноябрь</v>
      </c>
      <c r="AL14" s="146" t="str">
        <f t="shared" si="1"/>
        <v>Декабрь</v>
      </c>
      <c r="AM14" s="146" t="str">
        <f t="shared" si="1"/>
        <v>Январь</v>
      </c>
      <c r="AN14" s="146" t="str">
        <f t="shared" si="1"/>
        <v>Февраль</v>
      </c>
      <c r="AO14" s="146" t="str">
        <f t="shared" si="1"/>
        <v>Март</v>
      </c>
      <c r="AP14" s="146" t="str">
        <f t="shared" si="1"/>
        <v>Апрель</v>
      </c>
      <c r="AQ14" s="147"/>
      <c r="AR14" s="148"/>
    </row>
    <row r="15" spans="2:51" s="149" customFormat="1" ht="15.75" x14ac:dyDescent="0.25">
      <c r="B15" s="150"/>
      <c r="C15" s="206"/>
      <c r="D15" s="151" t="s">
        <v>123</v>
      </c>
      <c r="E15" s="209"/>
      <c r="F15" s="209"/>
      <c r="G15" s="152">
        <v>0.5</v>
      </c>
      <c r="H15" s="152">
        <v>0.75</v>
      </c>
      <c r="I15" s="152">
        <v>1</v>
      </c>
      <c r="J15" s="152">
        <v>1</v>
      </c>
      <c r="K15" s="152">
        <v>1</v>
      </c>
      <c r="L15" s="152">
        <v>1</v>
      </c>
      <c r="M15" s="152">
        <v>1</v>
      </c>
      <c r="N15" s="152">
        <v>1</v>
      </c>
      <c r="O15" s="152">
        <v>1</v>
      </c>
      <c r="P15" s="152">
        <v>1</v>
      </c>
      <c r="Q15" s="152">
        <v>1</v>
      </c>
      <c r="R15" s="152">
        <v>1</v>
      </c>
      <c r="S15" s="153">
        <v>1</v>
      </c>
      <c r="T15" s="153">
        <v>1</v>
      </c>
      <c r="U15" s="153">
        <v>1</v>
      </c>
      <c r="V15" s="153">
        <v>1</v>
      </c>
      <c r="W15" s="153">
        <v>1</v>
      </c>
      <c r="X15" s="153">
        <v>1</v>
      </c>
      <c r="Y15" s="153">
        <v>1</v>
      </c>
      <c r="Z15" s="153">
        <v>1</v>
      </c>
      <c r="AA15" s="153">
        <v>1</v>
      </c>
      <c r="AB15" s="153">
        <v>1</v>
      </c>
      <c r="AC15" s="153">
        <v>1</v>
      </c>
      <c r="AD15" s="153">
        <v>1</v>
      </c>
      <c r="AE15" s="153">
        <v>1</v>
      </c>
      <c r="AF15" s="153">
        <v>1</v>
      </c>
      <c r="AG15" s="153">
        <v>1</v>
      </c>
      <c r="AH15" s="153">
        <v>1</v>
      </c>
      <c r="AI15" s="153">
        <v>1</v>
      </c>
      <c r="AJ15" s="153">
        <v>1</v>
      </c>
      <c r="AK15" s="153">
        <v>1</v>
      </c>
      <c r="AL15" s="153">
        <v>1</v>
      </c>
      <c r="AM15" s="153">
        <v>1</v>
      </c>
      <c r="AN15" s="153">
        <v>1</v>
      </c>
      <c r="AO15" s="153">
        <v>1</v>
      </c>
      <c r="AP15" s="153">
        <v>1</v>
      </c>
      <c r="AQ15" s="154"/>
      <c r="AR15" s="155"/>
    </row>
    <row r="16" spans="2:51" s="149" customFormat="1" ht="15.75" x14ac:dyDescent="0.25">
      <c r="B16" s="150"/>
      <c r="C16" s="207"/>
      <c r="D16" s="151" t="s">
        <v>122</v>
      </c>
      <c r="E16" s="210"/>
      <c r="F16" s="210"/>
      <c r="G16" s="156">
        <f>VLOOKUP(G14,Служебная!$A$12:$B$23,2,FALSE)</f>
        <v>1.4</v>
      </c>
      <c r="H16" s="156">
        <f>VLOOKUP(H14,Служебная!$A$12:$B$23,2,FALSE)</f>
        <v>0.7</v>
      </c>
      <c r="I16" s="156">
        <f>VLOOKUP(I14,Служебная!$A$12:$B$23,2,FALSE)</f>
        <v>0.5</v>
      </c>
      <c r="J16" s="156">
        <f>VLOOKUP(J14,Служебная!$A$12:$B$23,2,FALSE)</f>
        <v>0.7</v>
      </c>
      <c r="K16" s="156">
        <f>VLOOKUP(K14,Служебная!$A$12:$B$23,2,FALSE)</f>
        <v>1.7</v>
      </c>
      <c r="L16" s="156">
        <f>VLOOKUP(L14,Служебная!$A$12:$B$23,2,FALSE)</f>
        <v>1.4</v>
      </c>
      <c r="M16" s="156">
        <f>VLOOKUP(M14,Служебная!$A$12:$B$23,2,FALSE)</f>
        <v>1.2</v>
      </c>
      <c r="N16" s="156">
        <f>VLOOKUP(N14,Служебная!$A$12:$B$23,2,FALSE)</f>
        <v>1.5</v>
      </c>
      <c r="O16" s="156">
        <f>VLOOKUP(O14,Служебная!$A$12:$B$23,2,FALSE)</f>
        <v>0.5</v>
      </c>
      <c r="P16" s="156">
        <f>VLOOKUP(P14,Служебная!$A$12:$B$23,2,FALSE)</f>
        <v>0.7</v>
      </c>
      <c r="Q16" s="156">
        <f>VLOOKUP(Q14,Служебная!$A$12:$B$23,2,FALSE)</f>
        <v>0.7</v>
      </c>
      <c r="R16" s="156">
        <f>VLOOKUP(R14,Служебная!$A$12:$B$23,2,FALSE)</f>
        <v>1</v>
      </c>
      <c r="S16" s="156">
        <f>VLOOKUP(S14,Служебная!$A$12:$B$23,2,FALSE)</f>
        <v>1.4</v>
      </c>
      <c r="T16" s="156">
        <f>VLOOKUP(T14,Служебная!$A$12:$B$23,2,FALSE)</f>
        <v>0.7</v>
      </c>
      <c r="U16" s="156">
        <f>VLOOKUP(U14,Служебная!$A$12:$B$23,2,FALSE)</f>
        <v>0.5</v>
      </c>
      <c r="V16" s="156">
        <f>VLOOKUP(V14,Служебная!$A$12:$B$23,2,FALSE)</f>
        <v>0.7</v>
      </c>
      <c r="W16" s="156">
        <f>VLOOKUP(W14,Служебная!$A$12:$B$23,2,FALSE)</f>
        <v>1.7</v>
      </c>
      <c r="X16" s="156">
        <f>VLOOKUP(X14,Служебная!$A$12:$B$23,2,FALSE)</f>
        <v>1.4</v>
      </c>
      <c r="Y16" s="156">
        <f>VLOOKUP(Y14,Служебная!$A$12:$B$23,2,FALSE)</f>
        <v>1.2</v>
      </c>
      <c r="Z16" s="156">
        <f>VLOOKUP(Z14,Служебная!$A$12:$B$23,2,FALSE)</f>
        <v>1.5</v>
      </c>
      <c r="AA16" s="156">
        <f>VLOOKUP(AA14,Служебная!$A$12:$B$23,2,FALSE)</f>
        <v>0.5</v>
      </c>
      <c r="AB16" s="156">
        <f>VLOOKUP(AB14,Служебная!$A$12:$B$23,2,FALSE)</f>
        <v>0.7</v>
      </c>
      <c r="AC16" s="156">
        <f>VLOOKUP(AC14,Служебная!$A$12:$B$23,2,FALSE)</f>
        <v>0.7</v>
      </c>
      <c r="AD16" s="156">
        <f>VLOOKUP(AD14,Служебная!$A$12:$B$23,2,FALSE)</f>
        <v>1</v>
      </c>
      <c r="AE16" s="156">
        <f>VLOOKUP(AE14,Служебная!$A$12:$B$23,2,FALSE)</f>
        <v>1.4</v>
      </c>
      <c r="AF16" s="156">
        <f>VLOOKUP(AF14,Служебная!$A$12:$B$23,2,FALSE)</f>
        <v>0.7</v>
      </c>
      <c r="AG16" s="156">
        <f>VLOOKUP(AG14,Служебная!$A$12:$B$23,2,FALSE)</f>
        <v>0.5</v>
      </c>
      <c r="AH16" s="156">
        <f>VLOOKUP(AH14,Служебная!$A$12:$B$23,2,FALSE)</f>
        <v>0.7</v>
      </c>
      <c r="AI16" s="156">
        <f>VLOOKUP(AI14,Служебная!$A$12:$B$23,2,FALSE)</f>
        <v>1.7</v>
      </c>
      <c r="AJ16" s="156">
        <f>VLOOKUP(AJ14,Служебная!$A$12:$B$23,2,FALSE)</f>
        <v>1.4</v>
      </c>
      <c r="AK16" s="156">
        <f>VLOOKUP(AK14,Служебная!$A$12:$B$23,2,FALSE)</f>
        <v>1.2</v>
      </c>
      <c r="AL16" s="156">
        <f>VLOOKUP(AL14,Служебная!$A$12:$B$23,2,FALSE)</f>
        <v>1.5</v>
      </c>
      <c r="AM16" s="156">
        <f>VLOOKUP(AM14,Служебная!$A$12:$B$23,2,FALSE)</f>
        <v>0.5</v>
      </c>
      <c r="AN16" s="156">
        <f>VLOOKUP(AN14,Служебная!$A$12:$B$23,2,FALSE)</f>
        <v>0.7</v>
      </c>
      <c r="AO16" s="156">
        <f>VLOOKUP(AO14,Служебная!$A$12:$B$23,2,FALSE)</f>
        <v>0.7</v>
      </c>
      <c r="AP16" s="156">
        <f>VLOOKUP(AP14,Служебная!$A$12:$B$23,2,FALSE)</f>
        <v>1</v>
      </c>
      <c r="AQ16" s="154"/>
      <c r="AR16" s="155"/>
    </row>
    <row r="17" spans="2:44" x14ac:dyDescent="0.2">
      <c r="B17" s="55"/>
      <c r="C17" s="157">
        <v>1</v>
      </c>
      <c r="D17" s="48" t="s">
        <v>217</v>
      </c>
      <c r="E17" s="158">
        <f>E9</f>
        <v>180</v>
      </c>
      <c r="F17" s="158">
        <f>Калькулятор!D23</f>
        <v>290</v>
      </c>
      <c r="G17" s="159">
        <f>IF(Калькулятор!$E$8=1,$E17*$F17*G$15*G$16*'План продаж'!$E$6,IF(Калькулятор!$E$8=2,$E17*$F17*G$15*G$16*'План продаж'!$E$6,$E17*$F17*G$15*G$16*Калькулятор!$D$16*'План продаж'!$E$6))</f>
        <v>146160</v>
      </c>
      <c r="H17" s="159">
        <f>IF(Калькулятор!$E$8=1,$E17*$F17*H$15*H$16*'План продаж'!$E$6,IF(Калькулятор!$E$8=2,$E17*$F17*H$15*H$16*'План продаж'!$E$6,$E17*$F17*H$15*H$16*Калькулятор!$D$16*'План продаж'!$E$6))</f>
        <v>109620</v>
      </c>
      <c r="I17" s="159">
        <f>IF(Калькулятор!$E$8=1,$E17*$F17*I$15*I$16*'План продаж'!$E$6,IF(Калькулятор!$E$8=2,$E17*$F17*I$15*I$16*'План продаж'!$E$6,$E17*$F17*I$15*I$16*Калькулятор!$D$16*'План продаж'!$E$6))</f>
        <v>104400</v>
      </c>
      <c r="J17" s="159">
        <f>IF(Калькулятор!$E$8=1,$E17*$F17*J$15*J$16*'План продаж'!$E$6,IF(Калькулятор!$E$8=2,$E17*$F17*J$15*J$16*'План продаж'!$E$6,$E17*$F17*J$15*J$16*Калькулятор!$D$16*'План продаж'!$E$6))</f>
        <v>146160</v>
      </c>
      <c r="K17" s="159">
        <f>IF(Калькулятор!$E$8=1,$E17*$F17*K$15*K$16*'План продаж'!$E$6,IF(Калькулятор!$E$8=2,$E17*$F17*K$15*K$16*'План продаж'!$E$6,$E17*$F17*K$15*K$16*Калькулятор!$D$16*'План продаж'!$E$6))</f>
        <v>354960</v>
      </c>
      <c r="L17" s="159">
        <f>IF(Калькулятор!$E$8=1,$E17*$F17*L$15*L$16*'План продаж'!$E$6,IF(Калькулятор!$E$8=2,$E17*$F17*L$15*L$16*'План продаж'!$E$6,$E17*$F17*L$15*L$16*Калькулятор!$D$16*'План продаж'!$E$6))</f>
        <v>292320</v>
      </c>
      <c r="M17" s="159">
        <f>IF(Калькулятор!$E$8=1,$E17*$F17*M$15*M$16*'План продаж'!$E$6,IF(Калькулятор!$E$8=2,$E17*$F17*M$15*M$16*'План продаж'!$E$6,$E17*$F17*M$15*M$16*Калькулятор!$D$16*'План продаж'!$E$6))</f>
        <v>250560</v>
      </c>
      <c r="N17" s="159">
        <f>IF(Калькулятор!$E$8=1,$E17*$F17*N$15*N$16*'План продаж'!$E$6,IF(Калькулятор!$E$8=2,$E17*$F17*N$15*N$16*'План продаж'!$E$6,$E17*$F17*N$15*N$16*Калькулятор!$D$16*'План продаж'!$E$6))</f>
        <v>313200</v>
      </c>
      <c r="O17" s="159">
        <f>IF(Калькулятор!$E$8=1,$E17*$F17*O$15*O$16*'План продаж'!$E$6,IF(Калькулятор!$E$8=2,$E17*$F17*O$15*O$16*'План продаж'!$E$6,$E17*$F17*O$15*O$16*Калькулятор!$D$16*'План продаж'!$E$6))</f>
        <v>104400</v>
      </c>
      <c r="P17" s="159">
        <f>IF(Калькулятор!$E$8=1,$E17*$F17*P$15*P$16*'План продаж'!$E$6,IF(Калькулятор!$E$8=2,$E17*$F17*P$15*P$16*'План продаж'!$E$6,$E17*$F17*P$15*P$16*Калькулятор!$D$16*'План продаж'!$E$6))</f>
        <v>146160</v>
      </c>
      <c r="Q17" s="159">
        <f>IF(Калькулятор!$E$8=1,$E17*$F17*Q$15*Q$16*'План продаж'!$E$6,IF(Калькулятор!$E$8=2,$E17*$F17*Q$15*Q$16*'План продаж'!$E$6,$E17*$F17*Q$15*Q$16*Калькулятор!$D$16*'План продаж'!$E$6))</f>
        <v>146160</v>
      </c>
      <c r="R17" s="159">
        <f>IF(Калькулятор!$E$8=1,$E17*$F17*R$15*R$16*'План продаж'!$E$6,IF(Калькулятор!$E$8=2,$E17*$F17*R$15*R$16*'План продаж'!$E$6,$E17*$F17*R$15*R$16*Калькулятор!$D$16*'План продаж'!$E$6))</f>
        <v>208800</v>
      </c>
      <c r="S17" s="159">
        <f>IF(Калькулятор!$E$8=1,$E17*$F17*S$15*S$16*'План продаж'!$E$6,IF(Калькулятор!$E$8=2,$E17*$F17*S$15*S$16*'План продаж'!$E$6,$E17*$F17*S$15*S$16*Калькулятор!$D$16*'План продаж'!$E$6))</f>
        <v>292320</v>
      </c>
      <c r="T17" s="159">
        <f>IF(Калькулятор!$E$8=1,$E17*$F17*T$15*T$16*'План продаж'!$E$6,IF(Калькулятор!$E$8=2,$E17*$F17*T$15*T$16*'План продаж'!$E$6,$E17*$F17*T$15*T$16*Калькулятор!$D$16*'План продаж'!$E$6))</f>
        <v>146160</v>
      </c>
      <c r="U17" s="159">
        <f>IF(Калькулятор!$E$8=1,$E17*$F17*U$15*U$16*'План продаж'!$E$6,IF(Калькулятор!$E$8=2,$E17*$F17*U$15*U$16*'План продаж'!$E$6,$E17*$F17*U$15*U$16*Калькулятор!$D$16*'План продаж'!$E$6))</f>
        <v>104400</v>
      </c>
      <c r="V17" s="159">
        <f>IF(Калькулятор!$E$8=1,$E17*$F17*V$15*V$16*'План продаж'!$E$6,IF(Калькулятор!$E$8=2,$E17*$F17*V$15*V$16*'План продаж'!$E$6,$E17*$F17*V$15*V$16*Калькулятор!$D$16*'План продаж'!$E$6))</f>
        <v>146160</v>
      </c>
      <c r="W17" s="159">
        <f>IF(Калькулятор!$E$8=1,$E17*$F17*W$15*W$16*'План продаж'!$E$6,IF(Калькулятор!$E$8=2,$E17*$F17*W$15*W$16*'План продаж'!$E$6,$E17*$F17*W$15*W$16*Калькулятор!$D$16*'План продаж'!$E$6))</f>
        <v>354960</v>
      </c>
      <c r="X17" s="159">
        <f>IF(Калькулятор!$E$8=1,$E17*$F17*X$15*X$16*'План продаж'!$E$6,IF(Калькулятор!$E$8=2,$E17*$F17*X$15*X$16*'План продаж'!$E$6,$E17*$F17*X$15*X$16*Калькулятор!$D$16*'План продаж'!$E$6))</f>
        <v>292320</v>
      </c>
      <c r="Y17" s="159">
        <f>IF(Калькулятор!$E$8=1,$E17*$F17*Y$15*Y$16*'План продаж'!$E$6,IF(Калькулятор!$E$8=2,$E17*$F17*Y$15*Y$16*'План продаж'!$E$6,$E17*$F17*Y$15*Y$16*Калькулятор!$D$16*'План продаж'!$E$6))</f>
        <v>250560</v>
      </c>
      <c r="Z17" s="159">
        <f>IF(Калькулятор!$E$8=1,$E17*$F17*Z$15*Z$16*'План продаж'!$E$6,IF(Калькулятор!$E$8=2,$E17*$F17*Z$15*Z$16*'План продаж'!$E$6,$E17*$F17*Z$15*Z$16*Калькулятор!$D$16*'План продаж'!$E$6))</f>
        <v>313200</v>
      </c>
      <c r="AA17" s="159">
        <f>IF(Калькулятор!$E$8=1,$E17*$F17*AA$15*AA$16*'План продаж'!$E$6,IF(Калькулятор!$E$8=2,$E17*$F17*AA$15*AA$16*'План продаж'!$E$6,$E17*$F17*AA$15*AA$16*Калькулятор!$D$16*'План продаж'!$E$6))</f>
        <v>104400</v>
      </c>
      <c r="AB17" s="159">
        <f>IF(Калькулятор!$E$8=1,$E17*$F17*AB$15*AB$16*'План продаж'!$E$6,IF(Калькулятор!$E$8=2,$E17*$F17*AB$15*AB$16*'План продаж'!$E$6,$E17*$F17*AB$15*AB$16*Калькулятор!$D$16*'План продаж'!$E$6))</f>
        <v>146160</v>
      </c>
      <c r="AC17" s="159">
        <f>IF(Калькулятор!$E$8=1,$E17*$F17*AC$15*AC$16*'План продаж'!$E$6,IF(Калькулятор!$E$8=2,$E17*$F17*AC$15*AC$16*'План продаж'!$E$6,$E17*$F17*AC$15*AC$16*Калькулятор!$D$16*'План продаж'!$E$6))</f>
        <v>146160</v>
      </c>
      <c r="AD17" s="159">
        <f>IF(Калькулятор!$E$8=1,$E17*$F17*AD$15*AD$16*'План продаж'!$E$6,IF(Калькулятор!$E$8=2,$E17*$F17*AD$15*AD$16*'План продаж'!$E$6,$E17*$F17*AD$15*AD$16*Калькулятор!$D$16*'План продаж'!$E$6))</f>
        <v>208800</v>
      </c>
      <c r="AE17" s="159">
        <f>IF(Калькулятор!$E$8=1,$E17*$F17*AE$15*AE$16*'План продаж'!$E$6,IF(Калькулятор!$E$8=2,$E17*$F17*AE$15*AE$16*'План продаж'!$E$6,$E17*$F17*AE$15*AE$16*Калькулятор!$D$16*'План продаж'!$E$6))</f>
        <v>292320</v>
      </c>
      <c r="AF17" s="159">
        <f>IF(Калькулятор!$E$8=1,$E17*$F17*AF$15*AF$16*'План продаж'!$E$6,IF(Калькулятор!$E$8=2,$E17*$F17*AF$15*AF$16*'План продаж'!$E$6,$E17*$F17*AF$15*AF$16*Калькулятор!$D$16*'План продаж'!$E$6))</f>
        <v>146160</v>
      </c>
      <c r="AG17" s="159">
        <f>IF(Калькулятор!$E$8=1,$E17*$F17*AG$15*AG$16*'План продаж'!$E$6,IF(Калькулятор!$E$8=2,$E17*$F17*AG$15*AG$16*'План продаж'!$E$6,$E17*$F17*AG$15*AG$16*Калькулятор!$D$16*'План продаж'!$E$6))</f>
        <v>104400</v>
      </c>
      <c r="AH17" s="159">
        <f>IF(Калькулятор!$E$8=1,$E17*$F17*AH$15*AH$16*'План продаж'!$E$6,IF(Калькулятор!$E$8=2,$E17*$F17*AH$15*AH$16*'План продаж'!$E$6,$E17*$F17*AH$15*AH$16*Калькулятор!$D$16*'План продаж'!$E$6))</f>
        <v>146160</v>
      </c>
      <c r="AI17" s="159">
        <f>IF(Калькулятор!$E$8=1,$E17*$F17*AI$15*AI$16*'План продаж'!$E$6,IF(Калькулятор!$E$8=2,$E17*$F17*AI$15*AI$16*'План продаж'!$E$6,$E17*$F17*AI$15*AI$16*Калькулятор!$D$16*'План продаж'!$E$6))</f>
        <v>354960</v>
      </c>
      <c r="AJ17" s="159">
        <f>IF(Калькулятор!$E$8=1,$E17*$F17*AJ$15*AJ$16*'План продаж'!$E$6,IF(Калькулятор!$E$8=2,$E17*$F17*AJ$15*AJ$16*'План продаж'!$E$6,$E17*$F17*AJ$15*AJ$16*Калькулятор!$D$16*'План продаж'!$E$6))</f>
        <v>292320</v>
      </c>
      <c r="AK17" s="159">
        <f>IF(Калькулятор!$E$8=1,$E17*$F17*AK$15*AK$16*'План продаж'!$E$6,IF(Калькулятор!$E$8=2,$E17*$F17*AK$15*AK$16*'План продаж'!$E$6,$E17*$F17*AK$15*AK$16*Калькулятор!$D$16*'План продаж'!$E$6))</f>
        <v>250560</v>
      </c>
      <c r="AL17" s="159">
        <f>IF(Калькулятор!$E$8=1,$E17*$F17*AL$15*AL$16*'План продаж'!$E$6,IF(Калькулятор!$E$8=2,$E17*$F17*AL$15*AL$16*'План продаж'!$E$6,$E17*$F17*AL$15*AL$16*Калькулятор!$D$16*'План продаж'!$E$6))</f>
        <v>313200</v>
      </c>
      <c r="AM17" s="159">
        <f>IF(Калькулятор!$E$8=1,$E17*$F17*AM$15*AM$16*'План продаж'!$E$6,IF(Калькулятор!$E$8=2,$E17*$F17*AM$15*AM$16*'План продаж'!$E$6,$E17*$F17*AM$15*AM$16*Калькулятор!$D$16*'План продаж'!$E$6))</f>
        <v>104400</v>
      </c>
      <c r="AN17" s="159">
        <f>IF(Калькулятор!$E$8=1,$E17*$F17*AN$15*AN$16*'План продаж'!$E$6,IF(Калькулятор!$E$8=2,$E17*$F17*AN$15*AN$16*'План продаж'!$E$6,$E17*$F17*AN$15*AN$16*Калькулятор!$D$16*'План продаж'!$E$6))</f>
        <v>146160</v>
      </c>
      <c r="AO17" s="159">
        <f>IF(Калькулятор!$E$8=1,$E17*$F17*AO$15*AO$16*'План продаж'!$E$6,IF(Калькулятор!$E$8=2,$E17*$F17*AO$15*AO$16*'План продаж'!$E$6,$E17*$F17*AO$15*AO$16*Калькулятор!$D$16*'План продаж'!$E$6))</f>
        <v>146160</v>
      </c>
      <c r="AP17" s="159">
        <f>IF(Калькулятор!$E$8=1,$E17*$F17*AP$15*AP$16*'План продаж'!$E$6,IF(Калькулятор!$E$8=2,$E17*$F17*AP$15*AP$16*'План продаж'!$E$6,$E17*$F17*AP$15*AP$16*Калькулятор!$D$16*'План продаж'!$E$6))</f>
        <v>208800</v>
      </c>
      <c r="AQ17" s="160"/>
      <c r="AR17" s="68"/>
    </row>
    <row r="18" spans="2:44" x14ac:dyDescent="0.2">
      <c r="B18" s="55"/>
      <c r="C18" s="157">
        <v>2</v>
      </c>
      <c r="D18" s="48" t="s">
        <v>216</v>
      </c>
      <c r="E18" s="158">
        <f t="shared" ref="E18:E19" si="2">E10</f>
        <v>105</v>
      </c>
      <c r="F18" s="158">
        <f>Калькулятор!D24</f>
        <v>320</v>
      </c>
      <c r="G18" s="159">
        <f>IF(Калькулятор!$E$8=1,$E18*$F18*G$15*G$16*'План продаж'!$E$6,IF(Калькулятор!$E$8=2,$E18*$F18*G$15*G$16*'План продаж'!$E$6,$E18*$F18*G$15*G$16*Калькулятор!$D$16*'План продаж'!$E$6))</f>
        <v>94080</v>
      </c>
      <c r="H18" s="159">
        <f>IF(Калькулятор!$E$8=1,$E18*$F18*H$15*H$16*'План продаж'!$E$6,IF(Калькулятор!$E$8=2,$E18*$F18*H$15*H$16*'План продаж'!$E$6,$E18*$F18*H$15*H$16*Калькулятор!$D$16*'План продаж'!$E$6))</f>
        <v>70560</v>
      </c>
      <c r="I18" s="159">
        <f>IF(Калькулятор!$E$8=1,$E18*$F18*I$15*I$16*'План продаж'!$E$6,IF(Калькулятор!$E$8=2,$E18*$F18*I$15*I$16*'План продаж'!$E$6,$E18*$F18*I$15*I$16*Калькулятор!$D$16*'План продаж'!$E$6))</f>
        <v>67200</v>
      </c>
      <c r="J18" s="159">
        <f>IF(Калькулятор!$E$8=1,$E18*$F18*J$15*J$16*'План продаж'!$E$6,IF(Калькулятор!$E$8=2,$E18*$F18*J$15*J$16*'План продаж'!$E$6,$E18*$F18*J$15*J$16*Калькулятор!$D$16*'План продаж'!$E$6))</f>
        <v>94080</v>
      </c>
      <c r="K18" s="159">
        <f>IF(Калькулятор!$E$8=1,$E18*$F18*K$15*K$16*'План продаж'!$E$6,IF(Калькулятор!$E$8=2,$E18*$F18*K$15*K$16*'План продаж'!$E$6,$E18*$F18*K$15*K$16*Калькулятор!$D$16*'План продаж'!$E$6))</f>
        <v>228480</v>
      </c>
      <c r="L18" s="159">
        <f>IF(Калькулятор!$E$8=1,$E18*$F18*L$15*L$16*'План продаж'!$E$6,IF(Калькулятор!$E$8=2,$E18*$F18*L$15*L$16*'План продаж'!$E$6,$E18*$F18*L$15*L$16*Калькулятор!$D$16*'План продаж'!$E$6))</f>
        <v>188160</v>
      </c>
      <c r="M18" s="159">
        <f>IF(Калькулятор!$E$8=1,$E18*$F18*M$15*M$16*'План продаж'!$E$6,IF(Калькулятор!$E$8=2,$E18*$F18*M$15*M$16*'План продаж'!$E$6,$E18*$F18*M$15*M$16*Калькулятор!$D$16*'План продаж'!$E$6))</f>
        <v>161280</v>
      </c>
      <c r="N18" s="159">
        <f>IF(Калькулятор!$E$8=1,$E18*$F18*N$15*N$16*'План продаж'!$E$6,IF(Калькулятор!$E$8=2,$E18*$F18*N$15*N$16*'План продаж'!$E$6,$E18*$F18*N$15*N$16*Калькулятор!$D$16*'План продаж'!$E$6))</f>
        <v>201600</v>
      </c>
      <c r="O18" s="159">
        <f>IF(Калькулятор!$E$8=1,$E18*$F18*O$15*O$16*'План продаж'!$E$6,IF(Калькулятор!$E$8=2,$E18*$F18*O$15*O$16*'План продаж'!$E$6,$E18*$F18*O$15*O$16*Калькулятор!$D$16*'План продаж'!$E$6))</f>
        <v>67200</v>
      </c>
      <c r="P18" s="159">
        <f>IF(Калькулятор!$E$8=1,$E18*$F18*P$15*P$16*'План продаж'!$E$6,IF(Калькулятор!$E$8=2,$E18*$F18*P$15*P$16*'План продаж'!$E$6,$E18*$F18*P$15*P$16*Калькулятор!$D$16*'План продаж'!$E$6))</f>
        <v>94080</v>
      </c>
      <c r="Q18" s="159">
        <f>IF(Калькулятор!$E$8=1,$E18*$F18*Q$15*Q$16*'План продаж'!$E$6,IF(Калькулятор!$E$8=2,$E18*$F18*Q$15*Q$16*'План продаж'!$E$6,$E18*$F18*Q$15*Q$16*Калькулятор!$D$16*'План продаж'!$E$6))</f>
        <v>94080</v>
      </c>
      <c r="R18" s="159">
        <f>IF(Калькулятор!$E$8=1,$E18*$F18*R$15*R$16*'План продаж'!$E$6,IF(Калькулятор!$E$8=2,$E18*$F18*R$15*R$16*'План продаж'!$E$6,$E18*$F18*R$15*R$16*Калькулятор!$D$16*'План продаж'!$E$6))</f>
        <v>134400</v>
      </c>
      <c r="S18" s="159">
        <f>IF(Калькулятор!$E$8=1,$E18*$F18*S$15*S$16*'План продаж'!$E$6,IF(Калькулятор!$E$8=2,$E18*$F18*S$15*S$16*'План продаж'!$E$6,$E18*$F18*S$15*S$16*Калькулятор!$D$16*'План продаж'!$E$6))</f>
        <v>188160</v>
      </c>
      <c r="T18" s="159">
        <f>IF(Калькулятор!$E$8=1,$E18*$F18*T$15*T$16*'План продаж'!$E$6,IF(Калькулятор!$E$8=2,$E18*$F18*T$15*T$16*'План продаж'!$E$6,$E18*$F18*T$15*T$16*Калькулятор!$D$16*'План продаж'!$E$6))</f>
        <v>94080</v>
      </c>
      <c r="U18" s="159">
        <f>IF(Калькулятор!$E$8=1,$E18*$F18*U$15*U$16*'План продаж'!$E$6,IF(Калькулятор!$E$8=2,$E18*$F18*U$15*U$16*'План продаж'!$E$6,$E18*$F18*U$15*U$16*Калькулятор!$D$16*'План продаж'!$E$6))</f>
        <v>67200</v>
      </c>
      <c r="V18" s="159">
        <f>IF(Калькулятор!$E$8=1,$E18*$F18*V$15*V$16*'План продаж'!$E$6,IF(Калькулятор!$E$8=2,$E18*$F18*V$15*V$16*'План продаж'!$E$6,$E18*$F18*V$15*V$16*Калькулятор!$D$16*'План продаж'!$E$6))</f>
        <v>94080</v>
      </c>
      <c r="W18" s="159">
        <f>IF(Калькулятор!$E$8=1,$E18*$F18*W$15*W$16*'План продаж'!$E$6,IF(Калькулятор!$E$8=2,$E18*$F18*W$15*W$16*'План продаж'!$E$6,$E18*$F18*W$15*W$16*Калькулятор!$D$16*'План продаж'!$E$6))</f>
        <v>228480</v>
      </c>
      <c r="X18" s="159">
        <f>IF(Калькулятор!$E$8=1,$E18*$F18*X$15*X$16*'План продаж'!$E$6,IF(Калькулятор!$E$8=2,$E18*$F18*X$15*X$16*'План продаж'!$E$6,$E18*$F18*X$15*X$16*Калькулятор!$D$16*'План продаж'!$E$6))</f>
        <v>188160</v>
      </c>
      <c r="Y18" s="159">
        <f>IF(Калькулятор!$E$8=1,$E18*$F18*Y$15*Y$16*'План продаж'!$E$6,IF(Калькулятор!$E$8=2,$E18*$F18*Y$15*Y$16*'План продаж'!$E$6,$E18*$F18*Y$15*Y$16*Калькулятор!$D$16*'План продаж'!$E$6))</f>
        <v>161280</v>
      </c>
      <c r="Z18" s="159">
        <f>IF(Калькулятор!$E$8=1,$E18*$F18*Z$15*Z$16*'План продаж'!$E$6,IF(Калькулятор!$E$8=2,$E18*$F18*Z$15*Z$16*'План продаж'!$E$6,$E18*$F18*Z$15*Z$16*Калькулятор!$D$16*'План продаж'!$E$6))</f>
        <v>201600</v>
      </c>
      <c r="AA18" s="159">
        <f>IF(Калькулятор!$E$8=1,$E18*$F18*AA$15*AA$16*'План продаж'!$E$6,IF(Калькулятор!$E$8=2,$E18*$F18*AA$15*AA$16*'План продаж'!$E$6,$E18*$F18*AA$15*AA$16*Калькулятор!$D$16*'План продаж'!$E$6))</f>
        <v>67200</v>
      </c>
      <c r="AB18" s="159">
        <f>IF(Калькулятор!$E$8=1,$E18*$F18*AB$15*AB$16*'План продаж'!$E$6,IF(Калькулятор!$E$8=2,$E18*$F18*AB$15*AB$16*'План продаж'!$E$6,$E18*$F18*AB$15*AB$16*Калькулятор!$D$16*'План продаж'!$E$6))</f>
        <v>94080</v>
      </c>
      <c r="AC18" s="159">
        <f>IF(Калькулятор!$E$8=1,$E18*$F18*AC$15*AC$16*'План продаж'!$E$6,IF(Калькулятор!$E$8=2,$E18*$F18*AC$15*AC$16*'План продаж'!$E$6,$E18*$F18*AC$15*AC$16*Калькулятор!$D$16*'План продаж'!$E$6))</f>
        <v>94080</v>
      </c>
      <c r="AD18" s="159">
        <f>IF(Калькулятор!$E$8=1,$E18*$F18*AD$15*AD$16*'План продаж'!$E$6,IF(Калькулятор!$E$8=2,$E18*$F18*AD$15*AD$16*'План продаж'!$E$6,$E18*$F18*AD$15*AD$16*Калькулятор!$D$16*'План продаж'!$E$6))</f>
        <v>134400</v>
      </c>
      <c r="AE18" s="159">
        <f>IF(Калькулятор!$E$8=1,$E18*$F18*AE$15*AE$16*'План продаж'!$E$6,IF(Калькулятор!$E$8=2,$E18*$F18*AE$15*AE$16*'План продаж'!$E$6,$E18*$F18*AE$15*AE$16*Калькулятор!$D$16*'План продаж'!$E$6))</f>
        <v>188160</v>
      </c>
      <c r="AF18" s="159">
        <f>IF(Калькулятор!$E$8=1,$E18*$F18*AF$15*AF$16*'План продаж'!$E$6,IF(Калькулятор!$E$8=2,$E18*$F18*AF$15*AF$16*'План продаж'!$E$6,$E18*$F18*AF$15*AF$16*Калькулятор!$D$16*'План продаж'!$E$6))</f>
        <v>94080</v>
      </c>
      <c r="AG18" s="159">
        <f>IF(Калькулятор!$E$8=1,$E18*$F18*AG$15*AG$16*'План продаж'!$E$6,IF(Калькулятор!$E$8=2,$E18*$F18*AG$15*AG$16*'План продаж'!$E$6,$E18*$F18*AG$15*AG$16*Калькулятор!$D$16*'План продаж'!$E$6))</f>
        <v>67200</v>
      </c>
      <c r="AH18" s="159">
        <f>IF(Калькулятор!$E$8=1,$E18*$F18*AH$15*AH$16*'План продаж'!$E$6,IF(Калькулятор!$E$8=2,$E18*$F18*AH$15*AH$16*'План продаж'!$E$6,$E18*$F18*AH$15*AH$16*Калькулятор!$D$16*'План продаж'!$E$6))</f>
        <v>94080</v>
      </c>
      <c r="AI18" s="159">
        <f>IF(Калькулятор!$E$8=1,$E18*$F18*AI$15*AI$16*'План продаж'!$E$6,IF(Калькулятор!$E$8=2,$E18*$F18*AI$15*AI$16*'План продаж'!$E$6,$E18*$F18*AI$15*AI$16*Калькулятор!$D$16*'План продаж'!$E$6))</f>
        <v>228480</v>
      </c>
      <c r="AJ18" s="159">
        <f>IF(Калькулятор!$E$8=1,$E18*$F18*AJ$15*AJ$16*'План продаж'!$E$6,IF(Калькулятор!$E$8=2,$E18*$F18*AJ$15*AJ$16*'План продаж'!$E$6,$E18*$F18*AJ$15*AJ$16*Калькулятор!$D$16*'План продаж'!$E$6))</f>
        <v>188160</v>
      </c>
      <c r="AK18" s="159">
        <f>IF(Калькулятор!$E$8=1,$E18*$F18*AK$15*AK$16*'План продаж'!$E$6,IF(Калькулятор!$E$8=2,$E18*$F18*AK$15*AK$16*'План продаж'!$E$6,$E18*$F18*AK$15*AK$16*Калькулятор!$D$16*'План продаж'!$E$6))</f>
        <v>161280</v>
      </c>
      <c r="AL18" s="159">
        <f>IF(Калькулятор!$E$8=1,$E18*$F18*AL$15*AL$16*'План продаж'!$E$6,IF(Калькулятор!$E$8=2,$E18*$F18*AL$15*AL$16*'План продаж'!$E$6,$E18*$F18*AL$15*AL$16*Калькулятор!$D$16*'План продаж'!$E$6))</f>
        <v>201600</v>
      </c>
      <c r="AM18" s="159">
        <f>IF(Калькулятор!$E$8=1,$E18*$F18*AM$15*AM$16*'План продаж'!$E$6,IF(Калькулятор!$E$8=2,$E18*$F18*AM$15*AM$16*'План продаж'!$E$6,$E18*$F18*AM$15*AM$16*Калькулятор!$D$16*'План продаж'!$E$6))</f>
        <v>67200</v>
      </c>
      <c r="AN18" s="159">
        <f>IF(Калькулятор!$E$8=1,$E18*$F18*AN$15*AN$16*'План продаж'!$E$6,IF(Калькулятор!$E$8=2,$E18*$F18*AN$15*AN$16*'План продаж'!$E$6,$E18*$F18*AN$15*AN$16*Калькулятор!$D$16*'План продаж'!$E$6))</f>
        <v>94080</v>
      </c>
      <c r="AO18" s="159">
        <f>IF(Калькулятор!$E$8=1,$E18*$F18*AO$15*AO$16*'План продаж'!$E$6,IF(Калькулятор!$E$8=2,$E18*$F18*AO$15*AO$16*'План продаж'!$E$6,$E18*$F18*AO$15*AO$16*Калькулятор!$D$16*'План продаж'!$E$6))</f>
        <v>94080</v>
      </c>
      <c r="AP18" s="159">
        <f>IF(Калькулятор!$E$8=1,$E18*$F18*AP$15*AP$16*'План продаж'!$E$6,IF(Калькулятор!$E$8=2,$E18*$F18*AP$15*AP$16*'План продаж'!$E$6,$E18*$F18*AP$15*AP$16*Калькулятор!$D$16*'План продаж'!$E$6))</f>
        <v>134400</v>
      </c>
      <c r="AQ18" s="160"/>
      <c r="AR18" s="68"/>
    </row>
    <row r="19" spans="2:44" x14ac:dyDescent="0.2">
      <c r="B19" s="55"/>
      <c r="C19" s="157">
        <v>3</v>
      </c>
      <c r="D19" s="48" t="s">
        <v>215</v>
      </c>
      <c r="E19" s="158">
        <f t="shared" si="2"/>
        <v>40</v>
      </c>
      <c r="F19" s="158">
        <f>Калькулятор!D25</f>
        <v>550</v>
      </c>
      <c r="G19" s="159">
        <f>IF(Калькулятор!$E$8=1,$E19*$F19*G$15*G$16*'План продаж'!$E$6,IF(Калькулятор!$E$8=2,$E19*$F19*G$15*G$16*'План продаж'!$E$6,$E19*$F19*G$15*G$16*Калькулятор!$D$16*'План продаж'!$E$6))</f>
        <v>61599.999999999993</v>
      </c>
      <c r="H19" s="159">
        <f>IF(Калькулятор!$E$8=1,$E19*$F19*H$15*H$16*'План продаж'!$E$6,IF(Калькулятор!$E$8=2,$E19*$F19*H$15*H$16*'План продаж'!$E$6,$E19*$F19*H$15*H$16*Калькулятор!$D$16*'План продаж'!$E$6))</f>
        <v>46200</v>
      </c>
      <c r="I19" s="159">
        <f>IF(Калькулятор!$E$8=1,$E19*$F19*I$15*I$16*'План продаж'!$E$6,IF(Калькулятор!$E$8=2,$E19*$F19*I$15*I$16*'План продаж'!$E$6,$E19*$F19*I$15*I$16*Калькулятор!$D$16*'План продаж'!$E$6))</f>
        <v>44000</v>
      </c>
      <c r="J19" s="159">
        <f>IF(Калькулятор!$E$8=1,$E19*$F19*J$15*J$16*'План продаж'!$E$6,IF(Калькулятор!$E$8=2,$E19*$F19*J$15*J$16*'План продаж'!$E$6,$E19*$F19*J$15*J$16*Калькулятор!$D$16*'План продаж'!$E$6))</f>
        <v>61599.999999999993</v>
      </c>
      <c r="K19" s="159">
        <f>IF(Калькулятор!$E$8=1,$E19*$F19*K$15*K$16*'План продаж'!$E$6,IF(Калькулятор!$E$8=2,$E19*$F19*K$15*K$16*'План продаж'!$E$6,$E19*$F19*K$15*K$16*Калькулятор!$D$16*'План продаж'!$E$6))</f>
        <v>149600</v>
      </c>
      <c r="L19" s="159">
        <f>IF(Калькулятор!$E$8=1,$E19*$F19*L$15*L$16*'План продаж'!$E$6,IF(Калькулятор!$E$8=2,$E19*$F19*L$15*L$16*'План продаж'!$E$6,$E19*$F19*L$15*L$16*Калькулятор!$D$16*'План продаж'!$E$6))</f>
        <v>123199.99999999999</v>
      </c>
      <c r="M19" s="159">
        <f>IF(Калькулятор!$E$8=1,$E19*$F19*M$15*M$16*'План продаж'!$E$6,IF(Калькулятор!$E$8=2,$E19*$F19*M$15*M$16*'План продаж'!$E$6,$E19*$F19*M$15*M$16*Калькулятор!$D$16*'План продаж'!$E$6))</f>
        <v>105600</v>
      </c>
      <c r="N19" s="159">
        <f>IF(Калькулятор!$E$8=1,$E19*$F19*N$15*N$16*'План продаж'!$E$6,IF(Калькулятор!$E$8=2,$E19*$F19*N$15*N$16*'План продаж'!$E$6,$E19*$F19*N$15*N$16*Калькулятор!$D$16*'План продаж'!$E$6))</f>
        <v>132000</v>
      </c>
      <c r="O19" s="159">
        <f>IF(Калькулятор!$E$8=1,$E19*$F19*O$15*O$16*'План продаж'!$E$6,IF(Калькулятор!$E$8=2,$E19*$F19*O$15*O$16*'План продаж'!$E$6,$E19*$F19*O$15*O$16*Калькулятор!$D$16*'План продаж'!$E$6))</f>
        <v>44000</v>
      </c>
      <c r="P19" s="159">
        <f>IF(Калькулятор!$E$8=1,$E19*$F19*P$15*P$16*'План продаж'!$E$6,IF(Калькулятор!$E$8=2,$E19*$F19*P$15*P$16*'План продаж'!$E$6,$E19*$F19*P$15*P$16*Калькулятор!$D$16*'План продаж'!$E$6))</f>
        <v>61599.999999999993</v>
      </c>
      <c r="Q19" s="159">
        <f>IF(Калькулятор!$E$8=1,$E19*$F19*Q$15*Q$16*'План продаж'!$E$6,IF(Калькулятор!$E$8=2,$E19*$F19*Q$15*Q$16*'План продаж'!$E$6,$E19*$F19*Q$15*Q$16*Калькулятор!$D$16*'План продаж'!$E$6))</f>
        <v>61599.999999999993</v>
      </c>
      <c r="R19" s="159">
        <f>IF(Калькулятор!$E$8=1,$E19*$F19*R$15*R$16*'План продаж'!$E$6,IF(Калькулятор!$E$8=2,$E19*$F19*R$15*R$16*'План продаж'!$E$6,$E19*$F19*R$15*R$16*Калькулятор!$D$16*'План продаж'!$E$6))</f>
        <v>88000</v>
      </c>
      <c r="S19" s="159">
        <f>IF(Калькулятор!$E$8=1,$E19*$F19*S$15*S$16*'План продаж'!$E$6,IF(Калькулятор!$E$8=2,$E19*$F19*S$15*S$16*'План продаж'!$E$6,$E19*$F19*S$15*S$16*Калькулятор!$D$16*'План продаж'!$E$6))</f>
        <v>123199.99999999999</v>
      </c>
      <c r="T19" s="159">
        <f>IF(Калькулятор!$E$8=1,$E19*$F19*T$15*T$16*'План продаж'!$E$6,IF(Калькулятор!$E$8=2,$E19*$F19*T$15*T$16*'План продаж'!$E$6,$E19*$F19*T$15*T$16*Калькулятор!$D$16*'План продаж'!$E$6))</f>
        <v>61599.999999999993</v>
      </c>
      <c r="U19" s="159">
        <f>IF(Калькулятор!$E$8=1,$E19*$F19*U$15*U$16*'План продаж'!$E$6,IF(Калькулятор!$E$8=2,$E19*$F19*U$15*U$16*'План продаж'!$E$6,$E19*$F19*U$15*U$16*Калькулятор!$D$16*'План продаж'!$E$6))</f>
        <v>44000</v>
      </c>
      <c r="V19" s="159">
        <f>IF(Калькулятор!$E$8=1,$E19*$F19*V$15*V$16*'План продаж'!$E$6,IF(Калькулятор!$E$8=2,$E19*$F19*V$15*V$16*'План продаж'!$E$6,$E19*$F19*V$15*V$16*Калькулятор!$D$16*'План продаж'!$E$6))</f>
        <v>61599.999999999993</v>
      </c>
      <c r="W19" s="159">
        <f>IF(Калькулятор!$E$8=1,$E19*$F19*W$15*W$16*'План продаж'!$E$6,IF(Калькулятор!$E$8=2,$E19*$F19*W$15*W$16*'План продаж'!$E$6,$E19*$F19*W$15*W$16*Калькулятор!$D$16*'План продаж'!$E$6))</f>
        <v>149600</v>
      </c>
      <c r="X19" s="159">
        <f>IF(Калькулятор!$E$8=1,$E19*$F19*X$15*X$16*'План продаж'!$E$6,IF(Калькулятор!$E$8=2,$E19*$F19*X$15*X$16*'План продаж'!$E$6,$E19*$F19*X$15*X$16*Калькулятор!$D$16*'План продаж'!$E$6))</f>
        <v>123199.99999999999</v>
      </c>
      <c r="Y19" s="159">
        <f>IF(Калькулятор!$E$8=1,$E19*$F19*Y$15*Y$16*'План продаж'!$E$6,IF(Калькулятор!$E$8=2,$E19*$F19*Y$15*Y$16*'План продаж'!$E$6,$E19*$F19*Y$15*Y$16*Калькулятор!$D$16*'План продаж'!$E$6))</f>
        <v>105600</v>
      </c>
      <c r="Z19" s="159">
        <f>IF(Калькулятор!$E$8=1,$E19*$F19*Z$15*Z$16*'План продаж'!$E$6,IF(Калькулятор!$E$8=2,$E19*$F19*Z$15*Z$16*'План продаж'!$E$6,$E19*$F19*Z$15*Z$16*Калькулятор!$D$16*'План продаж'!$E$6))</f>
        <v>132000</v>
      </c>
      <c r="AA19" s="159">
        <f>IF(Калькулятор!$E$8=1,$E19*$F19*AA$15*AA$16*'План продаж'!$E$6,IF(Калькулятор!$E$8=2,$E19*$F19*AA$15*AA$16*'План продаж'!$E$6,$E19*$F19*AA$15*AA$16*Калькулятор!$D$16*'План продаж'!$E$6))</f>
        <v>44000</v>
      </c>
      <c r="AB19" s="159">
        <f>IF(Калькулятор!$E$8=1,$E19*$F19*AB$15*AB$16*'План продаж'!$E$6,IF(Калькулятор!$E$8=2,$E19*$F19*AB$15*AB$16*'План продаж'!$E$6,$E19*$F19*AB$15*AB$16*Калькулятор!$D$16*'План продаж'!$E$6))</f>
        <v>61599.999999999993</v>
      </c>
      <c r="AC19" s="159">
        <f>IF(Калькулятор!$E$8=1,$E19*$F19*AC$15*AC$16*'План продаж'!$E$6,IF(Калькулятор!$E$8=2,$E19*$F19*AC$15*AC$16*'План продаж'!$E$6,$E19*$F19*AC$15*AC$16*Калькулятор!$D$16*'План продаж'!$E$6))</f>
        <v>61599.999999999993</v>
      </c>
      <c r="AD19" s="159">
        <f>IF(Калькулятор!$E$8=1,$E19*$F19*AD$15*AD$16*'План продаж'!$E$6,IF(Калькулятор!$E$8=2,$E19*$F19*AD$15*AD$16*'План продаж'!$E$6,$E19*$F19*AD$15*AD$16*Калькулятор!$D$16*'План продаж'!$E$6))</f>
        <v>88000</v>
      </c>
      <c r="AE19" s="159">
        <f>IF(Калькулятор!$E$8=1,$E19*$F19*AE$15*AE$16*'План продаж'!$E$6,IF(Калькулятор!$E$8=2,$E19*$F19*AE$15*AE$16*'План продаж'!$E$6,$E19*$F19*AE$15*AE$16*Калькулятор!$D$16*'План продаж'!$E$6))</f>
        <v>123199.99999999999</v>
      </c>
      <c r="AF19" s="159">
        <f>IF(Калькулятор!$E$8=1,$E19*$F19*AF$15*AF$16*'План продаж'!$E$6,IF(Калькулятор!$E$8=2,$E19*$F19*AF$15*AF$16*'План продаж'!$E$6,$E19*$F19*AF$15*AF$16*Калькулятор!$D$16*'План продаж'!$E$6))</f>
        <v>61599.999999999993</v>
      </c>
      <c r="AG19" s="159">
        <f>IF(Калькулятор!$E$8=1,$E19*$F19*AG$15*AG$16*'План продаж'!$E$6,IF(Калькулятор!$E$8=2,$E19*$F19*AG$15*AG$16*'План продаж'!$E$6,$E19*$F19*AG$15*AG$16*Калькулятор!$D$16*'План продаж'!$E$6))</f>
        <v>44000</v>
      </c>
      <c r="AH19" s="159">
        <f>IF(Калькулятор!$E$8=1,$E19*$F19*AH$15*AH$16*'План продаж'!$E$6,IF(Калькулятор!$E$8=2,$E19*$F19*AH$15*AH$16*'План продаж'!$E$6,$E19*$F19*AH$15*AH$16*Калькулятор!$D$16*'План продаж'!$E$6))</f>
        <v>61599.999999999993</v>
      </c>
      <c r="AI19" s="159">
        <f>IF(Калькулятор!$E$8=1,$E19*$F19*AI$15*AI$16*'План продаж'!$E$6,IF(Калькулятор!$E$8=2,$E19*$F19*AI$15*AI$16*'План продаж'!$E$6,$E19*$F19*AI$15*AI$16*Калькулятор!$D$16*'План продаж'!$E$6))</f>
        <v>149600</v>
      </c>
      <c r="AJ19" s="159">
        <f>IF(Калькулятор!$E$8=1,$E19*$F19*AJ$15*AJ$16*'План продаж'!$E$6,IF(Калькулятор!$E$8=2,$E19*$F19*AJ$15*AJ$16*'План продаж'!$E$6,$E19*$F19*AJ$15*AJ$16*Калькулятор!$D$16*'План продаж'!$E$6))</f>
        <v>123199.99999999999</v>
      </c>
      <c r="AK19" s="159">
        <f>IF(Калькулятор!$E$8=1,$E19*$F19*AK$15*AK$16*'План продаж'!$E$6,IF(Калькулятор!$E$8=2,$E19*$F19*AK$15*AK$16*'План продаж'!$E$6,$E19*$F19*AK$15*AK$16*Калькулятор!$D$16*'План продаж'!$E$6))</f>
        <v>105600</v>
      </c>
      <c r="AL19" s="159">
        <f>IF(Калькулятор!$E$8=1,$E19*$F19*AL$15*AL$16*'План продаж'!$E$6,IF(Калькулятор!$E$8=2,$E19*$F19*AL$15*AL$16*'План продаж'!$E$6,$E19*$F19*AL$15*AL$16*Калькулятор!$D$16*'План продаж'!$E$6))</f>
        <v>132000</v>
      </c>
      <c r="AM19" s="159">
        <f>IF(Калькулятор!$E$8=1,$E19*$F19*AM$15*AM$16*'План продаж'!$E$6,IF(Калькулятор!$E$8=2,$E19*$F19*AM$15*AM$16*'План продаж'!$E$6,$E19*$F19*AM$15*AM$16*Калькулятор!$D$16*'План продаж'!$E$6))</f>
        <v>44000</v>
      </c>
      <c r="AN19" s="159">
        <f>IF(Калькулятор!$E$8=1,$E19*$F19*AN$15*AN$16*'План продаж'!$E$6,IF(Калькулятор!$E$8=2,$E19*$F19*AN$15*AN$16*'План продаж'!$E$6,$E19*$F19*AN$15*AN$16*Калькулятор!$D$16*'План продаж'!$E$6))</f>
        <v>61599.999999999993</v>
      </c>
      <c r="AO19" s="159">
        <f>IF(Калькулятор!$E$8=1,$E19*$F19*AO$15*AO$16*'План продаж'!$E$6,IF(Калькулятор!$E$8=2,$E19*$F19*AO$15*AO$16*'План продаж'!$E$6,$E19*$F19*AO$15*AO$16*Калькулятор!$D$16*'План продаж'!$E$6))</f>
        <v>61599.999999999993</v>
      </c>
      <c r="AP19" s="159">
        <f>IF(Калькулятор!$E$8=1,$E19*$F19*AP$15*AP$16*'План продаж'!$E$6,IF(Калькулятор!$E$8=2,$E19*$F19*AP$15*AP$16*'План продаж'!$E$6,$E19*$F19*AP$15*AP$16*Калькулятор!$D$16*'План продаж'!$E$6))</f>
        <v>88000</v>
      </c>
      <c r="AQ19" s="160"/>
      <c r="AR19" s="68"/>
    </row>
    <row r="20" spans="2:44" s="167" customFormat="1" x14ac:dyDescent="0.2">
      <c r="B20" s="161"/>
      <c r="C20" s="162"/>
      <c r="D20" s="163" t="s">
        <v>234</v>
      </c>
      <c r="E20" s="164"/>
      <c r="F20" s="164"/>
      <c r="G20" s="164">
        <f t="shared" ref="G20:AP20" si="3">SUM(G17:G19)</f>
        <v>301840</v>
      </c>
      <c r="H20" s="164">
        <f t="shared" si="3"/>
        <v>226380</v>
      </c>
      <c r="I20" s="164">
        <f t="shared" si="3"/>
        <v>215600</v>
      </c>
      <c r="J20" s="164">
        <f t="shared" si="3"/>
        <v>301840</v>
      </c>
      <c r="K20" s="164">
        <f t="shared" si="3"/>
        <v>733040</v>
      </c>
      <c r="L20" s="164">
        <f t="shared" si="3"/>
        <v>603680</v>
      </c>
      <c r="M20" s="164">
        <f t="shared" si="3"/>
        <v>517440</v>
      </c>
      <c r="N20" s="164">
        <f t="shared" si="3"/>
        <v>646800</v>
      </c>
      <c r="O20" s="164">
        <f t="shared" si="3"/>
        <v>215600</v>
      </c>
      <c r="P20" s="164">
        <f t="shared" si="3"/>
        <v>301840</v>
      </c>
      <c r="Q20" s="164">
        <f t="shared" si="3"/>
        <v>301840</v>
      </c>
      <c r="R20" s="164">
        <f t="shared" si="3"/>
        <v>431200</v>
      </c>
      <c r="S20" s="164">
        <f t="shared" si="3"/>
        <v>603680</v>
      </c>
      <c r="T20" s="164">
        <f t="shared" si="3"/>
        <v>301840</v>
      </c>
      <c r="U20" s="164">
        <f t="shared" si="3"/>
        <v>215600</v>
      </c>
      <c r="V20" s="164">
        <f t="shared" si="3"/>
        <v>301840</v>
      </c>
      <c r="W20" s="164">
        <f t="shared" si="3"/>
        <v>733040</v>
      </c>
      <c r="X20" s="164">
        <f t="shared" si="3"/>
        <v>603680</v>
      </c>
      <c r="Y20" s="164">
        <f t="shared" si="3"/>
        <v>517440</v>
      </c>
      <c r="Z20" s="164">
        <f t="shared" si="3"/>
        <v>646800</v>
      </c>
      <c r="AA20" s="164">
        <f t="shared" si="3"/>
        <v>215600</v>
      </c>
      <c r="AB20" s="164">
        <f t="shared" si="3"/>
        <v>301840</v>
      </c>
      <c r="AC20" s="164">
        <f t="shared" si="3"/>
        <v>301840</v>
      </c>
      <c r="AD20" s="164">
        <f t="shared" si="3"/>
        <v>431200</v>
      </c>
      <c r="AE20" s="164">
        <f t="shared" si="3"/>
        <v>603680</v>
      </c>
      <c r="AF20" s="164">
        <f t="shared" si="3"/>
        <v>301840</v>
      </c>
      <c r="AG20" s="164">
        <f t="shared" si="3"/>
        <v>215600</v>
      </c>
      <c r="AH20" s="164">
        <f t="shared" si="3"/>
        <v>301840</v>
      </c>
      <c r="AI20" s="164">
        <f t="shared" si="3"/>
        <v>733040</v>
      </c>
      <c r="AJ20" s="164">
        <f t="shared" si="3"/>
        <v>603680</v>
      </c>
      <c r="AK20" s="164">
        <f t="shared" si="3"/>
        <v>517440</v>
      </c>
      <c r="AL20" s="164">
        <f t="shared" si="3"/>
        <v>646800</v>
      </c>
      <c r="AM20" s="164">
        <f t="shared" si="3"/>
        <v>215600</v>
      </c>
      <c r="AN20" s="164">
        <f t="shared" si="3"/>
        <v>301840</v>
      </c>
      <c r="AO20" s="164">
        <f t="shared" si="3"/>
        <v>301840</v>
      </c>
      <c r="AP20" s="164">
        <f t="shared" si="3"/>
        <v>431200</v>
      </c>
      <c r="AQ20" s="165"/>
      <c r="AR20" s="166"/>
    </row>
    <row r="21" spans="2:44" x14ac:dyDescent="0.2">
      <c r="B21" s="16"/>
      <c r="C21" s="157">
        <v>1</v>
      </c>
      <c r="D21" s="48" t="s">
        <v>217</v>
      </c>
      <c r="E21" s="168">
        <f>E9</f>
        <v>180</v>
      </c>
      <c r="F21" s="168">
        <f>Калькулятор!D19</f>
        <v>100</v>
      </c>
      <c r="G21" s="159">
        <f>IF(Калькулятор!$E$8=1,$E21*$F21*G$15*G$16*'План продаж'!$E$6,IF(Калькулятор!$E$8=2,$E21*$F21*G$15*G$16*'План продаж'!$E$6,$E21*$F21*G$15*G$16*Калькулятор!$D$16*'План продаж'!$E$6))</f>
        <v>50400</v>
      </c>
      <c r="H21" s="159">
        <f>IF(Калькулятор!$E$8=1,$E21*$F21*H$15*H$16*'План продаж'!$E$6,IF(Калькулятор!$E$8=2,$E21*$F21*H$15*H$16*'План продаж'!$E$6,$E21*$F21*H$15*H$16*Калькулятор!$D$16*'План продаж'!$E$6))</f>
        <v>37800</v>
      </c>
      <c r="I21" s="159">
        <f>IF(Калькулятор!$E$8=1,$E21*$F21*I$15*I$16*'План продаж'!$E$6,IF(Калькулятор!$E$8=2,$E21*$F21*I$15*I$16*'План продаж'!$E$6,$E21*$F21*I$15*I$16*Калькулятор!$D$16*'План продаж'!$E$6))</f>
        <v>36000</v>
      </c>
      <c r="J21" s="159">
        <f>IF(Калькулятор!$E$8=1,$E21*$F21*J$15*J$16*'План продаж'!$E$6,IF(Калькулятор!$E$8=2,$E21*$F21*J$15*J$16*'План продаж'!$E$6,$E21*$F21*J$15*J$16*Калькулятор!$D$16*'План продаж'!$E$6))</f>
        <v>50400</v>
      </c>
      <c r="K21" s="159">
        <f>IF(Калькулятор!$E$8=1,$E21*$F21*K$15*K$16*'План продаж'!$E$6,IF(Калькулятор!$E$8=2,$E21*$F21*K$15*K$16*'План продаж'!$E$6,$E21*$F21*K$15*K$16*Калькулятор!$D$16*'План продаж'!$E$6))</f>
        <v>122400</v>
      </c>
      <c r="L21" s="159">
        <f>IF(Калькулятор!$E$8=1,$E21*$F21*L$15*L$16*'План продаж'!$E$6,IF(Калькулятор!$E$8=2,$E21*$F21*L$15*L$16*'План продаж'!$E$6,$E21*$F21*L$15*L$16*Калькулятор!$D$16*'План продаж'!$E$6))</f>
        <v>100800</v>
      </c>
      <c r="M21" s="159">
        <f>IF(Калькулятор!$E$8=1,$E21*$F21*M$15*M$16*'План продаж'!$E$6,IF(Калькулятор!$E$8=2,$E21*$F21*M$15*M$16*'План продаж'!$E$6,$E21*$F21*M$15*M$16*Калькулятор!$D$16*'План продаж'!$E$6))</f>
        <v>86400</v>
      </c>
      <c r="N21" s="159">
        <f>IF(Калькулятор!$E$8=1,$E21*$F21*N$15*N$16*'План продаж'!$E$6,IF(Калькулятор!$E$8=2,$E21*$F21*N$15*N$16*'План продаж'!$E$6,$E21*$F21*N$15*N$16*Калькулятор!$D$16*'План продаж'!$E$6))</f>
        <v>108000</v>
      </c>
      <c r="O21" s="159">
        <f>IF(Калькулятор!$E$8=1,$E21*$F21*O$15*O$16*'План продаж'!$E$6,IF(Калькулятор!$E$8=2,$E21*$F21*O$15*O$16*'План продаж'!$E$6,$E21*$F21*O$15*O$16*Калькулятор!$D$16*'План продаж'!$E$6))</f>
        <v>36000</v>
      </c>
      <c r="P21" s="159">
        <f>IF(Калькулятор!$E$8=1,$E21*$F21*P$15*P$16*'План продаж'!$E$6,IF(Калькулятор!$E$8=2,$E21*$F21*P$15*P$16*'План продаж'!$E$6,$E21*$F21*P$15*P$16*Калькулятор!$D$16*'План продаж'!$E$6))</f>
        <v>50400</v>
      </c>
      <c r="Q21" s="159">
        <f>IF(Калькулятор!$E$8=1,$E21*$F21*Q$15*Q$16*'План продаж'!$E$6,IF(Калькулятор!$E$8=2,$E21*$F21*Q$15*Q$16*'План продаж'!$E$6,$E21*$F21*Q$15*Q$16*Калькулятор!$D$16*'План продаж'!$E$6))</f>
        <v>50400</v>
      </c>
      <c r="R21" s="159">
        <f>IF(Калькулятор!$E$8=1,$E21*$F21*R$15*R$16*'План продаж'!$E$6,IF(Калькулятор!$E$8=2,$E21*$F21*R$15*R$16*'План продаж'!$E$6,$E21*$F21*R$15*R$16*Калькулятор!$D$16*'План продаж'!$E$6))</f>
        <v>72000</v>
      </c>
      <c r="S21" s="159">
        <f>IF(Калькулятор!$E$8=1,$E21*$F21*S$15*S$16*'План продаж'!$E$6,IF(Калькулятор!$E$8=2,$E21*$F21*S$15*S$16*'План продаж'!$E$6,$E21*$F21*S$15*S$16*Калькулятор!$D$16*'План продаж'!$E$6))</f>
        <v>100800</v>
      </c>
      <c r="T21" s="159">
        <f>IF(Калькулятор!$E$8=1,$E21*$F21*T$15*T$16*'План продаж'!$E$6,IF(Калькулятор!$E$8=2,$E21*$F21*T$15*T$16*'План продаж'!$E$6,$E21*$F21*T$15*T$16*Калькулятор!$D$16*'План продаж'!$E$6))</f>
        <v>50400</v>
      </c>
      <c r="U21" s="159">
        <f>IF(Калькулятор!$E$8=1,$E21*$F21*U$15*U$16*'План продаж'!$E$6,IF(Калькулятор!$E$8=2,$E21*$F21*U$15*U$16*'План продаж'!$E$6,$E21*$F21*U$15*U$16*Калькулятор!$D$16*'План продаж'!$E$6))</f>
        <v>36000</v>
      </c>
      <c r="V21" s="159">
        <f>IF(Калькулятор!$E$8=1,$E21*$F21*V$15*V$16*'План продаж'!$E$6,IF(Калькулятор!$E$8=2,$E21*$F21*V$15*V$16*'План продаж'!$E$6,$E21*$F21*V$15*V$16*Калькулятор!$D$16*'План продаж'!$E$6))</f>
        <v>50400</v>
      </c>
      <c r="W21" s="159">
        <f>IF(Калькулятор!$E$8=1,$E21*$F21*W$15*W$16*'План продаж'!$E$6,IF(Калькулятор!$E$8=2,$E21*$F21*W$15*W$16*'План продаж'!$E$6,$E21*$F21*W$15*W$16*Калькулятор!$D$16*'План продаж'!$E$6))</f>
        <v>122400</v>
      </c>
      <c r="X21" s="159">
        <f>IF(Калькулятор!$E$8=1,$E21*$F21*X$15*X$16*'План продаж'!$E$6,IF(Калькулятор!$E$8=2,$E21*$F21*X$15*X$16*'План продаж'!$E$6,$E21*$F21*X$15*X$16*Калькулятор!$D$16*'План продаж'!$E$6))</f>
        <v>100800</v>
      </c>
      <c r="Y21" s="159">
        <f>IF(Калькулятор!$E$8=1,$E21*$F21*Y$15*Y$16*'План продаж'!$E$6,IF(Калькулятор!$E$8=2,$E21*$F21*Y$15*Y$16*'План продаж'!$E$6,$E21*$F21*Y$15*Y$16*Калькулятор!$D$16*'План продаж'!$E$6))</f>
        <v>86400</v>
      </c>
      <c r="Z21" s="159">
        <f>IF(Калькулятор!$E$8=1,$E21*$F21*Z$15*Z$16*'План продаж'!$E$6,IF(Калькулятор!$E$8=2,$E21*$F21*Z$15*Z$16*'План продаж'!$E$6,$E21*$F21*Z$15*Z$16*Калькулятор!$D$16*'План продаж'!$E$6))</f>
        <v>108000</v>
      </c>
      <c r="AA21" s="159">
        <f>IF(Калькулятор!$E$8=1,$E21*$F21*AA$15*AA$16*'План продаж'!$E$6,IF(Калькулятор!$E$8=2,$E21*$F21*AA$15*AA$16*'План продаж'!$E$6,$E21*$F21*AA$15*AA$16*Калькулятор!$D$16*'План продаж'!$E$6))</f>
        <v>36000</v>
      </c>
      <c r="AB21" s="159">
        <f>IF(Калькулятор!$E$8=1,$E21*$F21*AB$15*AB$16*'План продаж'!$E$6,IF(Калькулятор!$E$8=2,$E21*$F21*AB$15*AB$16*'План продаж'!$E$6,$E21*$F21*AB$15*AB$16*Калькулятор!$D$16*'План продаж'!$E$6))</f>
        <v>50400</v>
      </c>
      <c r="AC21" s="159">
        <f>IF(Калькулятор!$E$8=1,$E21*$F21*AC$15*AC$16*'План продаж'!$E$6,IF(Калькулятор!$E$8=2,$E21*$F21*AC$15*AC$16*'План продаж'!$E$6,$E21*$F21*AC$15*AC$16*Калькулятор!$D$16*'План продаж'!$E$6))</f>
        <v>50400</v>
      </c>
      <c r="AD21" s="159">
        <f>IF(Калькулятор!$E$8=1,$E21*$F21*AD$15*AD$16*'План продаж'!$E$6,IF(Калькулятор!$E$8=2,$E21*$F21*AD$15*AD$16*'План продаж'!$E$6,$E21*$F21*AD$15*AD$16*Калькулятор!$D$16*'План продаж'!$E$6))</f>
        <v>72000</v>
      </c>
      <c r="AE21" s="159">
        <f>IF(Калькулятор!$E$8=1,$E21*$F21*AE$15*AE$16*'План продаж'!$E$6,IF(Калькулятор!$E$8=2,$E21*$F21*AE$15*AE$16*'План продаж'!$E$6,$E21*$F21*AE$15*AE$16*Калькулятор!$D$16*'План продаж'!$E$6))</f>
        <v>100800</v>
      </c>
      <c r="AF21" s="159">
        <f>IF(Калькулятор!$E$8=1,$E21*$F21*AF$15*AF$16*'План продаж'!$E$6,IF(Калькулятор!$E$8=2,$E21*$F21*AF$15*AF$16*'План продаж'!$E$6,$E21*$F21*AF$15*AF$16*Калькулятор!$D$16*'План продаж'!$E$6))</f>
        <v>50400</v>
      </c>
      <c r="AG21" s="159">
        <f>IF(Калькулятор!$E$8=1,$E21*$F21*AG$15*AG$16*'План продаж'!$E$6,IF(Калькулятор!$E$8=2,$E21*$F21*AG$15*AG$16*'План продаж'!$E$6,$E21*$F21*AG$15*AG$16*Калькулятор!$D$16*'План продаж'!$E$6))</f>
        <v>36000</v>
      </c>
      <c r="AH21" s="159">
        <f>IF(Калькулятор!$E$8=1,$E21*$F21*AH$15*AH$16*'План продаж'!$E$6,IF(Калькулятор!$E$8=2,$E21*$F21*AH$15*AH$16*'План продаж'!$E$6,$E21*$F21*AH$15*AH$16*Калькулятор!$D$16*'План продаж'!$E$6))</f>
        <v>50400</v>
      </c>
      <c r="AI21" s="159">
        <f>IF(Калькулятор!$E$8=1,$E21*$F21*AI$15*AI$16*'План продаж'!$E$6,IF(Калькулятор!$E$8=2,$E21*$F21*AI$15*AI$16*'План продаж'!$E$6,$E21*$F21*AI$15*AI$16*Калькулятор!$D$16*'План продаж'!$E$6))</f>
        <v>122400</v>
      </c>
      <c r="AJ21" s="159">
        <f>IF(Калькулятор!$E$8=1,$E21*$F21*AJ$15*AJ$16*'План продаж'!$E$6,IF(Калькулятор!$E$8=2,$E21*$F21*AJ$15*AJ$16*'План продаж'!$E$6,$E21*$F21*AJ$15*AJ$16*Калькулятор!$D$16*'План продаж'!$E$6))</f>
        <v>100800</v>
      </c>
      <c r="AK21" s="159">
        <f>IF(Калькулятор!$E$8=1,$E21*$F21*AK$15*AK$16*'План продаж'!$E$6,IF(Калькулятор!$E$8=2,$E21*$F21*AK$15*AK$16*'План продаж'!$E$6,$E21*$F21*AK$15*AK$16*Калькулятор!$D$16*'План продаж'!$E$6))</f>
        <v>86400</v>
      </c>
      <c r="AL21" s="159">
        <f>IF(Калькулятор!$E$8=1,$E21*$F21*AL$15*AL$16*'План продаж'!$E$6,IF(Калькулятор!$E$8=2,$E21*$F21*AL$15*AL$16*'План продаж'!$E$6,$E21*$F21*AL$15*AL$16*Калькулятор!$D$16*'План продаж'!$E$6))</f>
        <v>108000</v>
      </c>
      <c r="AM21" s="159">
        <f>IF(Калькулятор!$E$8=1,$E21*$F21*AM$15*AM$16*'План продаж'!$E$6,IF(Калькулятор!$E$8=2,$E21*$F21*AM$15*AM$16*'План продаж'!$E$6,$E21*$F21*AM$15*AM$16*Калькулятор!$D$16*'План продаж'!$E$6))</f>
        <v>36000</v>
      </c>
      <c r="AN21" s="159">
        <f>IF(Калькулятор!$E$8=1,$E21*$F21*AN$15*AN$16*'План продаж'!$E$6,IF(Калькулятор!$E$8=2,$E21*$F21*AN$15*AN$16*'План продаж'!$E$6,$E21*$F21*AN$15*AN$16*Калькулятор!$D$16*'План продаж'!$E$6))</f>
        <v>50400</v>
      </c>
      <c r="AO21" s="159">
        <f>IF(Калькулятор!$E$8=1,$E21*$F21*AO$15*AO$16*'План продаж'!$E$6,IF(Калькулятор!$E$8=2,$E21*$F21*AO$15*AO$16*'План продаж'!$E$6,$E21*$F21*AO$15*AO$16*Калькулятор!$D$16*'План продаж'!$E$6))</f>
        <v>50400</v>
      </c>
      <c r="AP21" s="159">
        <f>IF(Калькулятор!$E$8=1,$E21*$F21*AP$15*AP$16*'План продаж'!$E$6,IF(Калькулятор!$E$8=2,$E21*$F21*AP$15*AP$16*'План продаж'!$E$6,$E21*$F21*AP$15*AP$16*Калькулятор!$D$16*'План продаж'!$E$6))</f>
        <v>72000</v>
      </c>
      <c r="AQ21" s="17"/>
    </row>
    <row r="22" spans="2:44" x14ac:dyDescent="0.2">
      <c r="B22" s="16"/>
      <c r="C22" s="157">
        <v>2</v>
      </c>
      <c r="D22" s="48" t="s">
        <v>216</v>
      </c>
      <c r="E22" s="168">
        <f t="shared" ref="E22:E23" si="4">E10</f>
        <v>105</v>
      </c>
      <c r="F22" s="168">
        <f>Калькулятор!D20</f>
        <v>110</v>
      </c>
      <c r="G22" s="159">
        <f>IF(Калькулятор!$E$8=1,$E22*$F22*G$15*G$16*'План продаж'!$E$6,IF(Калькулятор!$E$8=2,$E22*$F22*G$15*G$16*'План продаж'!$E$6,$E22*$F22*G$15*G$16*Калькулятор!$D$16*'План продаж'!$E$6))</f>
        <v>32339.999999999996</v>
      </c>
      <c r="H22" s="159">
        <f>IF(Калькулятор!$E$8=1,$E22*$F22*H$15*H$16*'План продаж'!$E$6,IF(Калькулятор!$E$8=2,$E22*$F22*H$15*H$16*'План продаж'!$E$6,$E22*$F22*H$15*H$16*Калькулятор!$D$16*'План продаж'!$E$6))</f>
        <v>24255</v>
      </c>
      <c r="I22" s="159">
        <f>IF(Калькулятор!$E$8=1,$E22*$F22*I$15*I$16*'План продаж'!$E$6,IF(Калькулятор!$E$8=2,$E22*$F22*I$15*I$16*'План продаж'!$E$6,$E22*$F22*I$15*I$16*Калькулятор!$D$16*'План продаж'!$E$6))</f>
        <v>23100</v>
      </c>
      <c r="J22" s="159">
        <f>IF(Калькулятор!$E$8=1,$E22*$F22*J$15*J$16*'План продаж'!$E$6,IF(Калькулятор!$E$8=2,$E22*$F22*J$15*J$16*'План продаж'!$E$6,$E22*$F22*J$15*J$16*Калькулятор!$D$16*'План продаж'!$E$6))</f>
        <v>32339.999999999996</v>
      </c>
      <c r="K22" s="159">
        <f>IF(Калькулятор!$E$8=1,$E22*$F22*K$15*K$16*'План продаж'!$E$6,IF(Калькулятор!$E$8=2,$E22*$F22*K$15*K$16*'План продаж'!$E$6,$E22*$F22*K$15*K$16*Калькулятор!$D$16*'План продаж'!$E$6))</f>
        <v>78540</v>
      </c>
      <c r="L22" s="159">
        <f>IF(Калькулятор!$E$8=1,$E22*$F22*L$15*L$16*'План продаж'!$E$6,IF(Калькулятор!$E$8=2,$E22*$F22*L$15*L$16*'План продаж'!$E$6,$E22*$F22*L$15*L$16*Калькулятор!$D$16*'План продаж'!$E$6))</f>
        <v>64679.999999999993</v>
      </c>
      <c r="M22" s="159">
        <f>IF(Калькулятор!$E$8=1,$E22*$F22*M$15*M$16*'План продаж'!$E$6,IF(Калькулятор!$E$8=2,$E22*$F22*M$15*M$16*'План продаж'!$E$6,$E22*$F22*M$15*M$16*Калькулятор!$D$16*'План продаж'!$E$6))</f>
        <v>55440</v>
      </c>
      <c r="N22" s="159">
        <f>IF(Калькулятор!$E$8=1,$E22*$F22*N$15*N$16*'План продаж'!$E$6,IF(Калькулятор!$E$8=2,$E22*$F22*N$15*N$16*'План продаж'!$E$6,$E22*$F22*N$15*N$16*Калькулятор!$D$16*'План продаж'!$E$6))</f>
        <v>69300</v>
      </c>
      <c r="O22" s="159">
        <f>IF(Калькулятор!$E$8=1,$E22*$F22*O$15*O$16*'План продаж'!$E$6,IF(Калькулятор!$E$8=2,$E22*$F22*O$15*O$16*'План продаж'!$E$6,$E22*$F22*O$15*O$16*Калькулятор!$D$16*'План продаж'!$E$6))</f>
        <v>23100</v>
      </c>
      <c r="P22" s="159">
        <f>IF(Калькулятор!$E$8=1,$E22*$F22*P$15*P$16*'План продаж'!$E$6,IF(Калькулятор!$E$8=2,$E22*$F22*P$15*P$16*'План продаж'!$E$6,$E22*$F22*P$15*P$16*Калькулятор!$D$16*'План продаж'!$E$6))</f>
        <v>32339.999999999996</v>
      </c>
      <c r="Q22" s="159">
        <f>IF(Калькулятор!$E$8=1,$E22*$F22*Q$15*Q$16*'План продаж'!$E$6,IF(Калькулятор!$E$8=2,$E22*$F22*Q$15*Q$16*'План продаж'!$E$6,$E22*$F22*Q$15*Q$16*Калькулятор!$D$16*'План продаж'!$E$6))</f>
        <v>32339.999999999996</v>
      </c>
      <c r="R22" s="159">
        <f>IF(Калькулятор!$E$8=1,$E22*$F22*R$15*R$16*'План продаж'!$E$6,IF(Калькулятор!$E$8=2,$E22*$F22*R$15*R$16*'План продаж'!$E$6,$E22*$F22*R$15*R$16*Калькулятор!$D$16*'План продаж'!$E$6))</f>
        <v>46200</v>
      </c>
      <c r="S22" s="159">
        <f>IF(Калькулятор!$E$8=1,$E22*$F22*S$15*S$16*'План продаж'!$E$6,IF(Калькулятор!$E$8=2,$E22*$F22*S$15*S$16*'План продаж'!$E$6,$E22*$F22*S$15*S$16*Калькулятор!$D$16*'План продаж'!$E$6))</f>
        <v>64679.999999999993</v>
      </c>
      <c r="T22" s="159">
        <f>IF(Калькулятор!$E$8=1,$E22*$F22*T$15*T$16*'План продаж'!$E$6,IF(Калькулятор!$E$8=2,$E22*$F22*T$15*T$16*'План продаж'!$E$6,$E22*$F22*T$15*T$16*Калькулятор!$D$16*'План продаж'!$E$6))</f>
        <v>32339.999999999996</v>
      </c>
      <c r="U22" s="159">
        <f>IF(Калькулятор!$E$8=1,$E22*$F22*U$15*U$16*'План продаж'!$E$6,IF(Калькулятор!$E$8=2,$E22*$F22*U$15*U$16*'План продаж'!$E$6,$E22*$F22*U$15*U$16*Калькулятор!$D$16*'План продаж'!$E$6))</f>
        <v>23100</v>
      </c>
      <c r="V22" s="159">
        <f>IF(Калькулятор!$E$8=1,$E22*$F22*V$15*V$16*'План продаж'!$E$6,IF(Калькулятор!$E$8=2,$E22*$F22*V$15*V$16*'План продаж'!$E$6,$E22*$F22*V$15*V$16*Калькулятор!$D$16*'План продаж'!$E$6))</f>
        <v>32339.999999999996</v>
      </c>
      <c r="W22" s="159">
        <f>IF(Калькулятор!$E$8=1,$E22*$F22*W$15*W$16*'План продаж'!$E$6,IF(Калькулятор!$E$8=2,$E22*$F22*W$15*W$16*'План продаж'!$E$6,$E22*$F22*W$15*W$16*Калькулятор!$D$16*'План продаж'!$E$6))</f>
        <v>78540</v>
      </c>
      <c r="X22" s="159">
        <f>IF(Калькулятор!$E$8=1,$E22*$F22*X$15*X$16*'План продаж'!$E$6,IF(Калькулятор!$E$8=2,$E22*$F22*X$15*X$16*'План продаж'!$E$6,$E22*$F22*X$15*X$16*Калькулятор!$D$16*'План продаж'!$E$6))</f>
        <v>64679.999999999993</v>
      </c>
      <c r="Y22" s="159">
        <f>IF(Калькулятор!$E$8=1,$E22*$F22*Y$15*Y$16*'План продаж'!$E$6,IF(Калькулятор!$E$8=2,$E22*$F22*Y$15*Y$16*'План продаж'!$E$6,$E22*$F22*Y$15*Y$16*Калькулятор!$D$16*'План продаж'!$E$6))</f>
        <v>55440</v>
      </c>
      <c r="Z22" s="159">
        <f>IF(Калькулятор!$E$8=1,$E22*$F22*Z$15*Z$16*'План продаж'!$E$6,IF(Калькулятор!$E$8=2,$E22*$F22*Z$15*Z$16*'План продаж'!$E$6,$E22*$F22*Z$15*Z$16*Калькулятор!$D$16*'План продаж'!$E$6))</f>
        <v>69300</v>
      </c>
      <c r="AA22" s="159">
        <f>IF(Калькулятор!$E$8=1,$E22*$F22*AA$15*AA$16*'План продаж'!$E$6,IF(Калькулятор!$E$8=2,$E22*$F22*AA$15*AA$16*'План продаж'!$E$6,$E22*$F22*AA$15*AA$16*Калькулятор!$D$16*'План продаж'!$E$6))</f>
        <v>23100</v>
      </c>
      <c r="AB22" s="159">
        <f>IF(Калькулятор!$E$8=1,$E22*$F22*AB$15*AB$16*'План продаж'!$E$6,IF(Калькулятор!$E$8=2,$E22*$F22*AB$15*AB$16*'План продаж'!$E$6,$E22*$F22*AB$15*AB$16*Калькулятор!$D$16*'План продаж'!$E$6))</f>
        <v>32339.999999999996</v>
      </c>
      <c r="AC22" s="159">
        <f>IF(Калькулятор!$E$8=1,$E22*$F22*AC$15*AC$16*'План продаж'!$E$6,IF(Калькулятор!$E$8=2,$E22*$F22*AC$15*AC$16*'План продаж'!$E$6,$E22*$F22*AC$15*AC$16*Калькулятор!$D$16*'План продаж'!$E$6))</f>
        <v>32339.999999999996</v>
      </c>
      <c r="AD22" s="159">
        <f>IF(Калькулятор!$E$8=1,$E22*$F22*AD$15*AD$16*'План продаж'!$E$6,IF(Калькулятор!$E$8=2,$E22*$F22*AD$15*AD$16*'План продаж'!$E$6,$E22*$F22*AD$15*AD$16*Калькулятор!$D$16*'План продаж'!$E$6))</f>
        <v>46200</v>
      </c>
      <c r="AE22" s="159">
        <f>IF(Калькулятор!$E$8=1,$E22*$F22*AE$15*AE$16*'План продаж'!$E$6,IF(Калькулятор!$E$8=2,$E22*$F22*AE$15*AE$16*'План продаж'!$E$6,$E22*$F22*AE$15*AE$16*Калькулятор!$D$16*'План продаж'!$E$6))</f>
        <v>64679.999999999993</v>
      </c>
      <c r="AF22" s="159">
        <f>IF(Калькулятор!$E$8=1,$E22*$F22*AF$15*AF$16*'План продаж'!$E$6,IF(Калькулятор!$E$8=2,$E22*$F22*AF$15*AF$16*'План продаж'!$E$6,$E22*$F22*AF$15*AF$16*Калькулятор!$D$16*'План продаж'!$E$6))</f>
        <v>32339.999999999996</v>
      </c>
      <c r="AG22" s="159">
        <f>IF(Калькулятор!$E$8=1,$E22*$F22*AG$15*AG$16*'План продаж'!$E$6,IF(Калькулятор!$E$8=2,$E22*$F22*AG$15*AG$16*'План продаж'!$E$6,$E22*$F22*AG$15*AG$16*Калькулятор!$D$16*'План продаж'!$E$6))</f>
        <v>23100</v>
      </c>
      <c r="AH22" s="159">
        <f>IF(Калькулятор!$E$8=1,$E22*$F22*AH$15*AH$16*'План продаж'!$E$6,IF(Калькулятор!$E$8=2,$E22*$F22*AH$15*AH$16*'План продаж'!$E$6,$E22*$F22*AH$15*AH$16*Калькулятор!$D$16*'План продаж'!$E$6))</f>
        <v>32339.999999999996</v>
      </c>
      <c r="AI22" s="159">
        <f>IF(Калькулятор!$E$8=1,$E22*$F22*AI$15*AI$16*'План продаж'!$E$6,IF(Калькулятор!$E$8=2,$E22*$F22*AI$15*AI$16*'План продаж'!$E$6,$E22*$F22*AI$15*AI$16*Калькулятор!$D$16*'План продаж'!$E$6))</f>
        <v>78540</v>
      </c>
      <c r="AJ22" s="159">
        <f>IF(Калькулятор!$E$8=1,$E22*$F22*AJ$15*AJ$16*'План продаж'!$E$6,IF(Калькулятор!$E$8=2,$E22*$F22*AJ$15*AJ$16*'План продаж'!$E$6,$E22*$F22*AJ$15*AJ$16*Калькулятор!$D$16*'План продаж'!$E$6))</f>
        <v>64679.999999999993</v>
      </c>
      <c r="AK22" s="159">
        <f>IF(Калькулятор!$E$8=1,$E22*$F22*AK$15*AK$16*'План продаж'!$E$6,IF(Калькулятор!$E$8=2,$E22*$F22*AK$15*AK$16*'План продаж'!$E$6,$E22*$F22*AK$15*AK$16*Калькулятор!$D$16*'План продаж'!$E$6))</f>
        <v>55440</v>
      </c>
      <c r="AL22" s="159">
        <f>IF(Калькулятор!$E$8=1,$E22*$F22*AL$15*AL$16*'План продаж'!$E$6,IF(Калькулятор!$E$8=2,$E22*$F22*AL$15*AL$16*'План продаж'!$E$6,$E22*$F22*AL$15*AL$16*Калькулятор!$D$16*'План продаж'!$E$6))</f>
        <v>69300</v>
      </c>
      <c r="AM22" s="159">
        <f>IF(Калькулятор!$E$8=1,$E22*$F22*AM$15*AM$16*'План продаж'!$E$6,IF(Калькулятор!$E$8=2,$E22*$F22*AM$15*AM$16*'План продаж'!$E$6,$E22*$F22*AM$15*AM$16*Калькулятор!$D$16*'План продаж'!$E$6))</f>
        <v>23100</v>
      </c>
      <c r="AN22" s="159">
        <f>IF(Калькулятор!$E$8=1,$E22*$F22*AN$15*AN$16*'План продаж'!$E$6,IF(Калькулятор!$E$8=2,$E22*$F22*AN$15*AN$16*'План продаж'!$E$6,$E22*$F22*AN$15*AN$16*Калькулятор!$D$16*'План продаж'!$E$6))</f>
        <v>32339.999999999996</v>
      </c>
      <c r="AO22" s="159">
        <f>IF(Калькулятор!$E$8=1,$E22*$F22*AO$15*AO$16*'План продаж'!$E$6,IF(Калькулятор!$E$8=2,$E22*$F22*AO$15*AO$16*'План продаж'!$E$6,$E22*$F22*AO$15*AO$16*Калькулятор!$D$16*'План продаж'!$E$6))</f>
        <v>32339.999999999996</v>
      </c>
      <c r="AP22" s="159">
        <f>IF(Калькулятор!$E$8=1,$E22*$F22*AP$15*AP$16*'План продаж'!$E$6,IF(Калькулятор!$E$8=2,$E22*$F22*AP$15*AP$16*'План продаж'!$E$6,$E22*$F22*AP$15*AP$16*Калькулятор!$D$16*'План продаж'!$E$6))</f>
        <v>46200</v>
      </c>
      <c r="AQ22" s="17"/>
    </row>
    <row r="23" spans="2:44" x14ac:dyDescent="0.2">
      <c r="B23" s="16"/>
      <c r="C23" s="157">
        <v>3</v>
      </c>
      <c r="D23" s="48" t="s">
        <v>215</v>
      </c>
      <c r="E23" s="168">
        <f t="shared" si="4"/>
        <v>40</v>
      </c>
      <c r="F23" s="168">
        <f>Калькулятор!D21</f>
        <v>190</v>
      </c>
      <c r="G23" s="159">
        <f>IF(Калькулятор!$E$8=1,$E23*$F23*G$15*G$16*'План продаж'!$E$6,IF(Калькулятор!$E$8=2,$E23*$F23*G$15*G$16*'План продаж'!$E$6,$E23*$F23*G$15*G$16*Калькулятор!$D$16*'План продаж'!$E$6))</f>
        <v>21280</v>
      </c>
      <c r="H23" s="159">
        <f>IF(Калькулятор!$E$8=1,$E23*$F23*H$15*H$16*'План продаж'!$E$6,IF(Калькулятор!$E$8=2,$E23*$F23*H$15*H$16*'План продаж'!$E$6,$E23*$F23*H$15*H$16*Калькулятор!$D$16*'План продаж'!$E$6))</f>
        <v>15959.999999999998</v>
      </c>
      <c r="I23" s="159">
        <f>IF(Калькулятор!$E$8=1,$E23*$F23*I$15*I$16*'План продаж'!$E$6,IF(Калькулятор!$E$8=2,$E23*$F23*I$15*I$16*'План продаж'!$E$6,$E23*$F23*I$15*I$16*Калькулятор!$D$16*'План продаж'!$E$6))</f>
        <v>15200</v>
      </c>
      <c r="J23" s="159">
        <f>IF(Калькулятор!$E$8=1,$E23*$F23*J$15*J$16*'План продаж'!$E$6,IF(Калькулятор!$E$8=2,$E23*$F23*J$15*J$16*'План продаж'!$E$6,$E23*$F23*J$15*J$16*Калькулятор!$D$16*'План продаж'!$E$6))</f>
        <v>21280</v>
      </c>
      <c r="K23" s="159">
        <f>IF(Калькулятор!$E$8=1,$E23*$F23*K$15*K$16*'План продаж'!$E$6,IF(Калькулятор!$E$8=2,$E23*$F23*K$15*K$16*'План продаж'!$E$6,$E23*$F23*K$15*K$16*Калькулятор!$D$16*'План продаж'!$E$6))</f>
        <v>51680</v>
      </c>
      <c r="L23" s="159">
        <f>IF(Калькулятор!$E$8=1,$E23*$F23*L$15*L$16*'План продаж'!$E$6,IF(Калькулятор!$E$8=2,$E23*$F23*L$15*L$16*'План продаж'!$E$6,$E23*$F23*L$15*L$16*Калькулятор!$D$16*'План продаж'!$E$6))</f>
        <v>42560</v>
      </c>
      <c r="M23" s="159">
        <f>IF(Калькулятор!$E$8=1,$E23*$F23*M$15*M$16*'План продаж'!$E$6,IF(Калькулятор!$E$8=2,$E23*$F23*M$15*M$16*'План продаж'!$E$6,$E23*$F23*M$15*M$16*Калькулятор!$D$16*'План продаж'!$E$6))</f>
        <v>36480</v>
      </c>
      <c r="N23" s="159">
        <f>IF(Калькулятор!$E$8=1,$E23*$F23*N$15*N$16*'План продаж'!$E$6,IF(Калькулятор!$E$8=2,$E23*$F23*N$15*N$16*'План продаж'!$E$6,$E23*$F23*N$15*N$16*Калькулятор!$D$16*'План продаж'!$E$6))</f>
        <v>45600</v>
      </c>
      <c r="O23" s="159">
        <f>IF(Калькулятор!$E$8=1,$E23*$F23*O$15*O$16*'План продаж'!$E$6,IF(Калькулятор!$E$8=2,$E23*$F23*O$15*O$16*'План продаж'!$E$6,$E23*$F23*O$15*O$16*Калькулятор!$D$16*'План продаж'!$E$6))</f>
        <v>15200</v>
      </c>
      <c r="P23" s="159">
        <f>IF(Калькулятор!$E$8=1,$E23*$F23*P$15*P$16*'План продаж'!$E$6,IF(Калькулятор!$E$8=2,$E23*$F23*P$15*P$16*'План продаж'!$E$6,$E23*$F23*P$15*P$16*Калькулятор!$D$16*'План продаж'!$E$6))</f>
        <v>21280</v>
      </c>
      <c r="Q23" s="159">
        <f>IF(Калькулятор!$E$8=1,$E23*$F23*Q$15*Q$16*'План продаж'!$E$6,IF(Калькулятор!$E$8=2,$E23*$F23*Q$15*Q$16*'План продаж'!$E$6,$E23*$F23*Q$15*Q$16*Калькулятор!$D$16*'План продаж'!$E$6))</f>
        <v>21280</v>
      </c>
      <c r="R23" s="159">
        <f>IF(Калькулятор!$E$8=1,$E23*$F23*R$15*R$16*'План продаж'!$E$6,IF(Калькулятор!$E$8=2,$E23*$F23*R$15*R$16*'План продаж'!$E$6,$E23*$F23*R$15*R$16*Калькулятор!$D$16*'План продаж'!$E$6))</f>
        <v>30400</v>
      </c>
      <c r="S23" s="159">
        <f>IF(Калькулятор!$E$8=1,$E23*$F23*S$15*S$16*'План продаж'!$E$6,IF(Калькулятор!$E$8=2,$E23*$F23*S$15*S$16*'План продаж'!$E$6,$E23*$F23*S$15*S$16*Калькулятор!$D$16*'План продаж'!$E$6))</f>
        <v>42560</v>
      </c>
      <c r="T23" s="159">
        <f>IF(Калькулятор!$E$8=1,$E23*$F23*T$15*T$16*'План продаж'!$E$6,IF(Калькулятор!$E$8=2,$E23*$F23*T$15*T$16*'План продаж'!$E$6,$E23*$F23*T$15*T$16*Калькулятор!$D$16*'План продаж'!$E$6))</f>
        <v>21280</v>
      </c>
      <c r="U23" s="159">
        <f>IF(Калькулятор!$E$8=1,$E23*$F23*U$15*U$16*'План продаж'!$E$6,IF(Калькулятор!$E$8=2,$E23*$F23*U$15*U$16*'План продаж'!$E$6,$E23*$F23*U$15*U$16*Калькулятор!$D$16*'План продаж'!$E$6))</f>
        <v>15200</v>
      </c>
      <c r="V23" s="159">
        <f>IF(Калькулятор!$E$8=1,$E23*$F23*V$15*V$16*'План продаж'!$E$6,IF(Калькулятор!$E$8=2,$E23*$F23*V$15*V$16*'План продаж'!$E$6,$E23*$F23*V$15*V$16*Калькулятор!$D$16*'План продаж'!$E$6))</f>
        <v>21280</v>
      </c>
      <c r="W23" s="159">
        <f>IF(Калькулятор!$E$8=1,$E23*$F23*W$15*W$16*'План продаж'!$E$6,IF(Калькулятор!$E$8=2,$E23*$F23*W$15*W$16*'План продаж'!$E$6,$E23*$F23*W$15*W$16*Калькулятор!$D$16*'План продаж'!$E$6))</f>
        <v>51680</v>
      </c>
      <c r="X23" s="159">
        <f>IF(Калькулятор!$E$8=1,$E23*$F23*X$15*X$16*'План продаж'!$E$6,IF(Калькулятор!$E$8=2,$E23*$F23*X$15*X$16*'План продаж'!$E$6,$E23*$F23*X$15*X$16*Калькулятор!$D$16*'План продаж'!$E$6))</f>
        <v>42560</v>
      </c>
      <c r="Y23" s="159">
        <f>IF(Калькулятор!$E$8=1,$E23*$F23*Y$15*Y$16*'План продаж'!$E$6,IF(Калькулятор!$E$8=2,$E23*$F23*Y$15*Y$16*'План продаж'!$E$6,$E23*$F23*Y$15*Y$16*Калькулятор!$D$16*'План продаж'!$E$6))</f>
        <v>36480</v>
      </c>
      <c r="Z23" s="159">
        <f>IF(Калькулятор!$E$8=1,$E23*$F23*Z$15*Z$16*'План продаж'!$E$6,IF(Калькулятор!$E$8=2,$E23*$F23*Z$15*Z$16*'План продаж'!$E$6,$E23*$F23*Z$15*Z$16*Калькулятор!$D$16*'План продаж'!$E$6))</f>
        <v>45600</v>
      </c>
      <c r="AA23" s="159">
        <f>IF(Калькулятор!$E$8=1,$E23*$F23*AA$15*AA$16*'План продаж'!$E$6,IF(Калькулятор!$E$8=2,$E23*$F23*AA$15*AA$16*'План продаж'!$E$6,$E23*$F23*AA$15*AA$16*Калькулятор!$D$16*'План продаж'!$E$6))</f>
        <v>15200</v>
      </c>
      <c r="AB23" s="159">
        <f>IF(Калькулятор!$E$8=1,$E23*$F23*AB$15*AB$16*'План продаж'!$E$6,IF(Калькулятор!$E$8=2,$E23*$F23*AB$15*AB$16*'План продаж'!$E$6,$E23*$F23*AB$15*AB$16*Калькулятор!$D$16*'План продаж'!$E$6))</f>
        <v>21280</v>
      </c>
      <c r="AC23" s="159">
        <f>IF(Калькулятор!$E$8=1,$E23*$F23*AC$15*AC$16*'План продаж'!$E$6,IF(Калькулятор!$E$8=2,$E23*$F23*AC$15*AC$16*'План продаж'!$E$6,$E23*$F23*AC$15*AC$16*Калькулятор!$D$16*'План продаж'!$E$6))</f>
        <v>21280</v>
      </c>
      <c r="AD23" s="159">
        <f>IF(Калькулятор!$E$8=1,$E23*$F23*AD$15*AD$16*'План продаж'!$E$6,IF(Калькулятор!$E$8=2,$E23*$F23*AD$15*AD$16*'План продаж'!$E$6,$E23*$F23*AD$15*AD$16*Калькулятор!$D$16*'План продаж'!$E$6))</f>
        <v>30400</v>
      </c>
      <c r="AE23" s="159">
        <f>IF(Калькулятор!$E$8=1,$E23*$F23*AE$15*AE$16*'План продаж'!$E$6,IF(Калькулятор!$E$8=2,$E23*$F23*AE$15*AE$16*'План продаж'!$E$6,$E23*$F23*AE$15*AE$16*Калькулятор!$D$16*'План продаж'!$E$6))</f>
        <v>42560</v>
      </c>
      <c r="AF23" s="159">
        <f>IF(Калькулятор!$E$8=1,$E23*$F23*AF$15*AF$16*'План продаж'!$E$6,IF(Калькулятор!$E$8=2,$E23*$F23*AF$15*AF$16*'План продаж'!$E$6,$E23*$F23*AF$15*AF$16*Калькулятор!$D$16*'План продаж'!$E$6))</f>
        <v>21280</v>
      </c>
      <c r="AG23" s="159">
        <f>IF(Калькулятор!$E$8=1,$E23*$F23*AG$15*AG$16*'План продаж'!$E$6,IF(Калькулятор!$E$8=2,$E23*$F23*AG$15*AG$16*'План продаж'!$E$6,$E23*$F23*AG$15*AG$16*Калькулятор!$D$16*'План продаж'!$E$6))</f>
        <v>15200</v>
      </c>
      <c r="AH23" s="159">
        <f>IF(Калькулятор!$E$8=1,$E23*$F23*AH$15*AH$16*'План продаж'!$E$6,IF(Калькулятор!$E$8=2,$E23*$F23*AH$15*AH$16*'План продаж'!$E$6,$E23*$F23*AH$15*AH$16*Калькулятор!$D$16*'План продаж'!$E$6))</f>
        <v>21280</v>
      </c>
      <c r="AI23" s="159">
        <f>IF(Калькулятор!$E$8=1,$E23*$F23*AI$15*AI$16*'План продаж'!$E$6,IF(Калькулятор!$E$8=2,$E23*$F23*AI$15*AI$16*'План продаж'!$E$6,$E23*$F23*AI$15*AI$16*Калькулятор!$D$16*'План продаж'!$E$6))</f>
        <v>51680</v>
      </c>
      <c r="AJ23" s="159">
        <f>IF(Калькулятор!$E$8=1,$E23*$F23*AJ$15*AJ$16*'План продаж'!$E$6,IF(Калькулятор!$E$8=2,$E23*$F23*AJ$15*AJ$16*'План продаж'!$E$6,$E23*$F23*AJ$15*AJ$16*Калькулятор!$D$16*'План продаж'!$E$6))</f>
        <v>42560</v>
      </c>
      <c r="AK23" s="159">
        <f>IF(Калькулятор!$E$8=1,$E23*$F23*AK$15*AK$16*'План продаж'!$E$6,IF(Калькулятор!$E$8=2,$E23*$F23*AK$15*AK$16*'План продаж'!$E$6,$E23*$F23*AK$15*AK$16*Калькулятор!$D$16*'План продаж'!$E$6))</f>
        <v>36480</v>
      </c>
      <c r="AL23" s="159">
        <f>IF(Калькулятор!$E$8=1,$E23*$F23*AL$15*AL$16*'План продаж'!$E$6,IF(Калькулятор!$E$8=2,$E23*$F23*AL$15*AL$16*'План продаж'!$E$6,$E23*$F23*AL$15*AL$16*Калькулятор!$D$16*'План продаж'!$E$6))</f>
        <v>45600</v>
      </c>
      <c r="AM23" s="159">
        <f>IF(Калькулятор!$E$8=1,$E23*$F23*AM$15*AM$16*'План продаж'!$E$6,IF(Калькулятор!$E$8=2,$E23*$F23*AM$15*AM$16*'План продаж'!$E$6,$E23*$F23*AM$15*AM$16*Калькулятор!$D$16*'План продаж'!$E$6))</f>
        <v>15200</v>
      </c>
      <c r="AN23" s="159">
        <f>IF(Калькулятор!$E$8=1,$E23*$F23*AN$15*AN$16*'План продаж'!$E$6,IF(Калькулятор!$E$8=2,$E23*$F23*AN$15*AN$16*'План продаж'!$E$6,$E23*$F23*AN$15*AN$16*Калькулятор!$D$16*'План продаж'!$E$6))</f>
        <v>21280</v>
      </c>
      <c r="AO23" s="159">
        <f>IF(Калькулятор!$E$8=1,$E23*$F23*AO$15*AO$16*'План продаж'!$E$6,IF(Калькулятор!$E$8=2,$E23*$F23*AO$15*AO$16*'План продаж'!$E$6,$E23*$F23*AO$15*AO$16*Калькулятор!$D$16*'План продаж'!$E$6))</f>
        <v>21280</v>
      </c>
      <c r="AP23" s="159">
        <f>IF(Калькулятор!$E$8=1,$E23*$F23*AP$15*AP$16*'План продаж'!$E$6,IF(Калькулятор!$E$8=2,$E23*$F23*AP$15*AP$16*'План продаж'!$E$6,$E23*$F23*AP$15*AP$16*Калькулятор!$D$16*'План продаж'!$E$6))</f>
        <v>30400</v>
      </c>
      <c r="AQ23" s="17"/>
    </row>
    <row r="24" spans="2:44" s="167" customFormat="1" x14ac:dyDescent="0.2">
      <c r="B24" s="161"/>
      <c r="C24" s="162"/>
      <c r="D24" s="163" t="s">
        <v>235</v>
      </c>
      <c r="E24" s="164"/>
      <c r="F24" s="164"/>
      <c r="G24" s="164">
        <f t="shared" ref="G24:AP24" si="5">SUM(G21:G23)</f>
        <v>104020</v>
      </c>
      <c r="H24" s="164">
        <f t="shared" si="5"/>
        <v>78015</v>
      </c>
      <c r="I24" s="164">
        <f t="shared" si="5"/>
        <v>74300</v>
      </c>
      <c r="J24" s="164">
        <f t="shared" si="5"/>
        <v>104020</v>
      </c>
      <c r="K24" s="164">
        <f t="shared" si="5"/>
        <v>252620</v>
      </c>
      <c r="L24" s="164">
        <f t="shared" si="5"/>
        <v>208040</v>
      </c>
      <c r="M24" s="164">
        <f t="shared" si="5"/>
        <v>178320</v>
      </c>
      <c r="N24" s="164">
        <f t="shared" si="5"/>
        <v>222900</v>
      </c>
      <c r="O24" s="164">
        <f t="shared" si="5"/>
        <v>74300</v>
      </c>
      <c r="P24" s="164">
        <f t="shared" si="5"/>
        <v>104020</v>
      </c>
      <c r="Q24" s="164">
        <f t="shared" si="5"/>
        <v>104020</v>
      </c>
      <c r="R24" s="164">
        <f t="shared" si="5"/>
        <v>148600</v>
      </c>
      <c r="S24" s="164">
        <f t="shared" si="5"/>
        <v>208040</v>
      </c>
      <c r="T24" s="164">
        <f t="shared" si="5"/>
        <v>104020</v>
      </c>
      <c r="U24" s="164">
        <f t="shared" si="5"/>
        <v>74300</v>
      </c>
      <c r="V24" s="164">
        <f t="shared" si="5"/>
        <v>104020</v>
      </c>
      <c r="W24" s="164">
        <f t="shared" si="5"/>
        <v>252620</v>
      </c>
      <c r="X24" s="164">
        <f t="shared" si="5"/>
        <v>208040</v>
      </c>
      <c r="Y24" s="164">
        <f t="shared" si="5"/>
        <v>178320</v>
      </c>
      <c r="Z24" s="164">
        <f t="shared" si="5"/>
        <v>222900</v>
      </c>
      <c r="AA24" s="164">
        <f t="shared" si="5"/>
        <v>74300</v>
      </c>
      <c r="AB24" s="164">
        <f t="shared" si="5"/>
        <v>104020</v>
      </c>
      <c r="AC24" s="164">
        <f t="shared" si="5"/>
        <v>104020</v>
      </c>
      <c r="AD24" s="164">
        <f t="shared" si="5"/>
        <v>148600</v>
      </c>
      <c r="AE24" s="164">
        <f t="shared" si="5"/>
        <v>208040</v>
      </c>
      <c r="AF24" s="164">
        <f t="shared" si="5"/>
        <v>104020</v>
      </c>
      <c r="AG24" s="164">
        <f t="shared" si="5"/>
        <v>74300</v>
      </c>
      <c r="AH24" s="164">
        <f t="shared" si="5"/>
        <v>104020</v>
      </c>
      <c r="AI24" s="164">
        <f t="shared" si="5"/>
        <v>252620</v>
      </c>
      <c r="AJ24" s="164">
        <f t="shared" si="5"/>
        <v>208040</v>
      </c>
      <c r="AK24" s="164">
        <f t="shared" si="5"/>
        <v>178320</v>
      </c>
      <c r="AL24" s="164">
        <f t="shared" si="5"/>
        <v>222900</v>
      </c>
      <c r="AM24" s="164">
        <f t="shared" si="5"/>
        <v>74300</v>
      </c>
      <c r="AN24" s="164">
        <f t="shared" si="5"/>
        <v>104020</v>
      </c>
      <c r="AO24" s="164">
        <f t="shared" si="5"/>
        <v>104020</v>
      </c>
      <c r="AP24" s="164">
        <f t="shared" si="5"/>
        <v>148600</v>
      </c>
      <c r="AQ24" s="165"/>
      <c r="AR24" s="166"/>
    </row>
    <row r="25" spans="2:44" ht="13.5" thickBot="1" x14ac:dyDescent="0.25">
      <c r="B25" s="169"/>
      <c r="C25" s="170"/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  <c r="AA25" s="170"/>
      <c r="AB25" s="170"/>
      <c r="AC25" s="170"/>
      <c r="AD25" s="170"/>
      <c r="AE25" s="170"/>
      <c r="AF25" s="170"/>
      <c r="AG25" s="170"/>
      <c r="AH25" s="170"/>
      <c r="AI25" s="170"/>
      <c r="AJ25" s="170"/>
      <c r="AK25" s="170"/>
      <c r="AL25" s="170"/>
      <c r="AM25" s="170"/>
      <c r="AN25" s="170"/>
      <c r="AO25" s="170"/>
      <c r="AP25" s="170"/>
      <c r="AQ25" s="171"/>
      <c r="AR25" s="76"/>
    </row>
    <row r="26" spans="2:44" x14ac:dyDescent="0.2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76"/>
    </row>
    <row r="27" spans="2:44" x14ac:dyDescent="0.2">
      <c r="B27" s="5"/>
      <c r="C27" s="5"/>
      <c r="D27" s="28" t="s">
        <v>3</v>
      </c>
      <c r="E27" s="172" t="s">
        <v>2</v>
      </c>
      <c r="G27" s="144"/>
      <c r="H27" s="5"/>
      <c r="I27" s="5"/>
      <c r="J27" s="5"/>
      <c r="K27" s="5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</row>
    <row r="28" spans="2:44" x14ac:dyDescent="0.2">
      <c r="G28" s="144"/>
    </row>
    <row r="29" spans="2:44" x14ac:dyDescent="0.2">
      <c r="G29" s="144"/>
    </row>
  </sheetData>
  <mergeCells count="7">
    <mergeCell ref="H7:K7"/>
    <mergeCell ref="H6:K6"/>
    <mergeCell ref="H5:K5"/>
    <mergeCell ref="C13:C16"/>
    <mergeCell ref="E13:E16"/>
    <mergeCell ref="D13:D14"/>
    <mergeCell ref="F13:F16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zoomScale="90" zoomScaleNormal="90" workbookViewId="0">
      <selection activeCell="L2" sqref="L2"/>
    </sheetView>
  </sheetViews>
  <sheetFormatPr defaultColWidth="15.140625" defaultRowHeight="12.75" x14ac:dyDescent="0.2"/>
  <cols>
    <col min="1" max="2" width="3.7109375" style="18" customWidth="1"/>
    <col min="3" max="3" width="4.7109375" style="18" customWidth="1"/>
    <col min="4" max="4" width="50.7109375" style="18" customWidth="1"/>
    <col min="5" max="8" width="11.7109375" style="18" customWidth="1"/>
    <col min="9" max="9" width="50.7109375" style="18" customWidth="1"/>
    <col min="10" max="11" width="3.7109375" style="18" customWidth="1"/>
    <col min="12" max="16384" width="15.140625" style="18"/>
  </cols>
  <sheetData>
    <row r="1" spans="2:11" ht="13.5" thickBot="1" x14ac:dyDescent="0.25"/>
    <row r="2" spans="2:11" x14ac:dyDescent="0.2">
      <c r="B2" s="81"/>
      <c r="C2" s="82"/>
      <c r="D2" s="82"/>
      <c r="E2" s="82"/>
      <c r="F2" s="82"/>
      <c r="G2" s="82"/>
      <c r="H2" s="82"/>
      <c r="I2" s="82"/>
      <c r="J2" s="83"/>
    </row>
    <row r="3" spans="2:11" ht="18.75" x14ac:dyDescent="0.3">
      <c r="B3" s="136"/>
      <c r="C3" s="137" t="s">
        <v>202</v>
      </c>
      <c r="D3" s="137"/>
      <c r="E3" s="138"/>
      <c r="F3" s="138"/>
      <c r="G3" s="138"/>
      <c r="H3" s="138"/>
      <c r="I3" s="138"/>
      <c r="J3" s="139"/>
    </row>
    <row r="4" spans="2:11" x14ac:dyDescent="0.2">
      <c r="B4" s="16"/>
      <c r="C4" s="47"/>
      <c r="D4" s="47"/>
      <c r="E4" s="47"/>
      <c r="F4" s="47"/>
      <c r="G4" s="47"/>
      <c r="H4" s="47"/>
      <c r="I4" s="47"/>
      <c r="J4" s="17"/>
    </row>
    <row r="5" spans="2:11" ht="31.5" x14ac:dyDescent="0.2">
      <c r="B5" s="16"/>
      <c r="C5" s="26" t="s">
        <v>47</v>
      </c>
      <c r="D5" s="26" t="s">
        <v>12</v>
      </c>
      <c r="E5" s="26" t="s">
        <v>9</v>
      </c>
      <c r="F5" s="26" t="s">
        <v>134</v>
      </c>
      <c r="G5" s="26" t="s">
        <v>135</v>
      </c>
      <c r="H5" s="26" t="s">
        <v>13</v>
      </c>
      <c r="I5" s="26" t="s">
        <v>14</v>
      </c>
      <c r="J5" s="17"/>
    </row>
    <row r="6" spans="2:11" x14ac:dyDescent="0.2">
      <c r="B6" s="16"/>
      <c r="C6" s="114">
        <v>1</v>
      </c>
      <c r="D6" s="173" t="s">
        <v>15</v>
      </c>
      <c r="E6" s="88">
        <v>1</v>
      </c>
      <c r="F6" s="88">
        <v>0</v>
      </c>
      <c r="G6" s="174">
        <f>E6*F6</f>
        <v>0</v>
      </c>
      <c r="H6" s="175"/>
      <c r="I6" s="117" t="s">
        <v>130</v>
      </c>
      <c r="J6" s="17"/>
      <c r="K6" s="11"/>
    </row>
    <row r="7" spans="2:11" x14ac:dyDescent="0.2">
      <c r="B7" s="16"/>
      <c r="C7" s="114">
        <v>2</v>
      </c>
      <c r="D7" s="173" t="s">
        <v>102</v>
      </c>
      <c r="E7" s="176">
        <v>1</v>
      </c>
      <c r="F7" s="176">
        <v>12130</v>
      </c>
      <c r="G7" s="174">
        <f>E7*F7</f>
        <v>12130</v>
      </c>
      <c r="H7" s="177">
        <v>0.06</v>
      </c>
      <c r="I7" s="117" t="s">
        <v>121</v>
      </c>
      <c r="J7" s="17"/>
      <c r="K7" s="11"/>
    </row>
    <row r="8" spans="2:11" s="149" customFormat="1" ht="15.75" x14ac:dyDescent="0.25">
      <c r="B8" s="178"/>
      <c r="C8" s="26"/>
      <c r="D8" s="179" t="s">
        <v>1</v>
      </c>
      <c r="E8" s="180">
        <f>SUM(E7:E7)</f>
        <v>1</v>
      </c>
      <c r="F8" s="180"/>
      <c r="G8" s="180">
        <f>SUM(G6:G7)</f>
        <v>12130</v>
      </c>
      <c r="H8" s="180"/>
      <c r="I8" s="180"/>
      <c r="J8" s="181"/>
      <c r="K8" s="182"/>
    </row>
    <row r="9" spans="2:11" ht="13.5" thickBot="1" x14ac:dyDescent="0.25">
      <c r="B9" s="21"/>
      <c r="C9" s="22"/>
      <c r="D9" s="22"/>
      <c r="E9" s="22"/>
      <c r="F9" s="22"/>
      <c r="G9" s="22"/>
      <c r="H9" s="22"/>
      <c r="I9" s="22"/>
      <c r="J9" s="23"/>
      <c r="K9" s="47"/>
    </row>
    <row r="10" spans="2:11" ht="13.5" thickBot="1" x14ac:dyDescent="0.25"/>
    <row r="11" spans="2:11" x14ac:dyDescent="0.2">
      <c r="B11" s="81"/>
      <c r="C11" s="82"/>
      <c r="D11" s="82"/>
      <c r="E11" s="82"/>
      <c r="F11" s="82"/>
      <c r="G11" s="82"/>
      <c r="H11" s="82"/>
      <c r="I11" s="82"/>
      <c r="J11" s="83"/>
    </row>
    <row r="12" spans="2:11" ht="18.75" x14ac:dyDescent="0.3">
      <c r="B12" s="136"/>
      <c r="C12" s="137" t="s">
        <v>203</v>
      </c>
      <c r="D12" s="137"/>
      <c r="E12" s="138"/>
      <c r="F12" s="138"/>
      <c r="G12" s="138"/>
      <c r="H12" s="138"/>
      <c r="I12" s="138"/>
      <c r="J12" s="139"/>
    </row>
    <row r="13" spans="2:11" x14ac:dyDescent="0.2">
      <c r="B13" s="16"/>
      <c r="C13" s="47"/>
      <c r="D13" s="47"/>
      <c r="E13" s="47"/>
      <c r="F13" s="47"/>
      <c r="G13" s="47"/>
      <c r="H13" s="47"/>
      <c r="I13" s="47"/>
      <c r="J13" s="17"/>
    </row>
    <row r="14" spans="2:11" ht="31.5" x14ac:dyDescent="0.2">
      <c r="B14" s="16"/>
      <c r="C14" s="26" t="s">
        <v>47</v>
      </c>
      <c r="D14" s="26" t="s">
        <v>12</v>
      </c>
      <c r="E14" s="26" t="s">
        <v>9</v>
      </c>
      <c r="F14" s="26" t="s">
        <v>134</v>
      </c>
      <c r="G14" s="26" t="s">
        <v>135</v>
      </c>
      <c r="H14" s="26" t="s">
        <v>13</v>
      </c>
      <c r="I14" s="26" t="s">
        <v>14</v>
      </c>
      <c r="J14" s="17"/>
    </row>
    <row r="15" spans="2:11" x14ac:dyDescent="0.2">
      <c r="B15" s="16"/>
      <c r="C15" s="114">
        <v>1</v>
      </c>
      <c r="D15" s="173" t="s">
        <v>15</v>
      </c>
      <c r="E15" s="88">
        <v>1</v>
      </c>
      <c r="F15" s="88">
        <v>0</v>
      </c>
      <c r="G15" s="174">
        <f>E15*F15</f>
        <v>0</v>
      </c>
      <c r="H15" s="175"/>
      <c r="I15" s="117" t="s">
        <v>130</v>
      </c>
      <c r="J15" s="17"/>
      <c r="K15" s="11"/>
    </row>
    <row r="16" spans="2:11" x14ac:dyDescent="0.2">
      <c r="B16" s="16"/>
      <c r="C16" s="114">
        <v>2</v>
      </c>
      <c r="D16" s="173" t="s">
        <v>102</v>
      </c>
      <c r="E16" s="176">
        <v>1</v>
      </c>
      <c r="F16" s="176">
        <v>12130</v>
      </c>
      <c r="G16" s="174">
        <f>E16*F16</f>
        <v>12130</v>
      </c>
      <c r="H16" s="177">
        <v>0.06</v>
      </c>
      <c r="I16" s="117" t="s">
        <v>121</v>
      </c>
      <c r="J16" s="17"/>
      <c r="K16" s="11"/>
    </row>
    <row r="17" spans="2:11" x14ac:dyDescent="0.2">
      <c r="B17" s="16"/>
      <c r="C17" s="114">
        <v>3</v>
      </c>
      <c r="D17" s="173" t="s">
        <v>204</v>
      </c>
      <c r="E17" s="176">
        <v>1</v>
      </c>
      <c r="F17" s="176">
        <v>12130</v>
      </c>
      <c r="G17" s="174">
        <f>E17*F17</f>
        <v>12130</v>
      </c>
      <c r="H17" s="177">
        <v>0.06</v>
      </c>
      <c r="I17" s="117" t="s">
        <v>121</v>
      </c>
      <c r="J17" s="17"/>
      <c r="K17" s="11"/>
    </row>
    <row r="18" spans="2:11" s="149" customFormat="1" ht="15.75" x14ac:dyDescent="0.25">
      <c r="B18" s="178"/>
      <c r="C18" s="26"/>
      <c r="D18" s="179" t="s">
        <v>1</v>
      </c>
      <c r="E18" s="180">
        <f>SUM(E16:E17)</f>
        <v>2</v>
      </c>
      <c r="F18" s="180"/>
      <c r="G18" s="180">
        <f>SUM(G15:G17)</f>
        <v>24260</v>
      </c>
      <c r="H18" s="180"/>
      <c r="I18" s="180"/>
      <c r="J18" s="181"/>
      <c r="K18" s="182"/>
    </row>
    <row r="19" spans="2:11" ht="13.5" thickBot="1" x14ac:dyDescent="0.25">
      <c r="B19" s="21"/>
      <c r="C19" s="22"/>
      <c r="D19" s="22"/>
      <c r="E19" s="22"/>
      <c r="F19" s="22"/>
      <c r="G19" s="22"/>
      <c r="H19" s="22"/>
      <c r="I19" s="22"/>
      <c r="J19" s="23"/>
      <c r="K19" s="47"/>
    </row>
    <row r="20" spans="2:11" ht="13.5" thickBot="1" x14ac:dyDescent="0.25"/>
    <row r="21" spans="2:11" x14ac:dyDescent="0.2">
      <c r="B21" s="81"/>
      <c r="C21" s="82"/>
      <c r="D21" s="82"/>
      <c r="E21" s="82"/>
      <c r="F21" s="82"/>
      <c r="G21" s="82"/>
      <c r="H21" s="82"/>
      <c r="I21" s="82"/>
      <c r="J21" s="83"/>
    </row>
    <row r="22" spans="2:11" ht="18.75" x14ac:dyDescent="0.3">
      <c r="B22" s="136"/>
      <c r="C22" s="137" t="s">
        <v>205</v>
      </c>
      <c r="D22" s="137"/>
      <c r="E22" s="138"/>
      <c r="F22" s="138"/>
      <c r="G22" s="138"/>
      <c r="H22" s="138"/>
      <c r="I22" s="138"/>
      <c r="J22" s="139"/>
    </row>
    <row r="23" spans="2:11" x14ac:dyDescent="0.2">
      <c r="B23" s="16"/>
      <c r="C23" s="47"/>
      <c r="D23" s="47"/>
      <c r="E23" s="47"/>
      <c r="F23" s="47"/>
      <c r="G23" s="47"/>
      <c r="H23" s="47"/>
      <c r="I23" s="47"/>
      <c r="J23" s="17"/>
    </row>
    <row r="24" spans="2:11" ht="31.5" x14ac:dyDescent="0.2">
      <c r="B24" s="16"/>
      <c r="C24" s="26" t="s">
        <v>47</v>
      </c>
      <c r="D24" s="26" t="s">
        <v>12</v>
      </c>
      <c r="E24" s="26" t="s">
        <v>9</v>
      </c>
      <c r="F24" s="26" t="s">
        <v>134</v>
      </c>
      <c r="G24" s="26" t="s">
        <v>135</v>
      </c>
      <c r="H24" s="26" t="s">
        <v>13</v>
      </c>
      <c r="I24" s="26" t="s">
        <v>14</v>
      </c>
      <c r="J24" s="17"/>
    </row>
    <row r="25" spans="2:11" x14ac:dyDescent="0.2">
      <c r="B25" s="16"/>
      <c r="C25" s="114">
        <v>1</v>
      </c>
      <c r="D25" s="173" t="s">
        <v>15</v>
      </c>
      <c r="E25" s="88">
        <v>1</v>
      </c>
      <c r="F25" s="88">
        <v>0</v>
      </c>
      <c r="G25" s="174">
        <f>E25*F25</f>
        <v>0</v>
      </c>
      <c r="H25" s="175"/>
      <c r="I25" s="117" t="s">
        <v>130</v>
      </c>
      <c r="J25" s="17"/>
      <c r="K25" s="11"/>
    </row>
    <row r="26" spans="2:11" x14ac:dyDescent="0.2">
      <c r="B26" s="16"/>
      <c r="C26" s="114">
        <v>2</v>
      </c>
      <c r="D26" s="173" t="s">
        <v>102</v>
      </c>
      <c r="E26" s="176">
        <v>2</v>
      </c>
      <c r="F26" s="176">
        <v>12130</v>
      </c>
      <c r="G26" s="174">
        <f>E26*F26</f>
        <v>24260</v>
      </c>
      <c r="H26" s="177">
        <v>0.06</v>
      </c>
      <c r="I26" s="117" t="s">
        <v>121</v>
      </c>
      <c r="J26" s="17"/>
      <c r="K26" s="11"/>
    </row>
    <row r="27" spans="2:11" x14ac:dyDescent="0.2">
      <c r="B27" s="16"/>
      <c r="C27" s="114">
        <v>3</v>
      </c>
      <c r="D27" s="173" t="s">
        <v>204</v>
      </c>
      <c r="E27" s="88">
        <f>Калькулятор!D16</f>
        <v>2</v>
      </c>
      <c r="F27" s="176">
        <v>12130</v>
      </c>
      <c r="G27" s="174">
        <f>E27*F27</f>
        <v>24260</v>
      </c>
      <c r="H27" s="177">
        <v>0.06</v>
      </c>
      <c r="I27" s="117" t="s">
        <v>121</v>
      </c>
      <c r="J27" s="17"/>
      <c r="K27" s="11"/>
    </row>
    <row r="28" spans="2:11" s="149" customFormat="1" ht="15.75" x14ac:dyDescent="0.25">
      <c r="B28" s="178"/>
      <c r="C28" s="26"/>
      <c r="D28" s="179" t="s">
        <v>1</v>
      </c>
      <c r="E28" s="180">
        <f>SUM(E26:E27)</f>
        <v>4</v>
      </c>
      <c r="F28" s="180"/>
      <c r="G28" s="180">
        <f>SUM(G25:G27)</f>
        <v>48520</v>
      </c>
      <c r="H28" s="180"/>
      <c r="I28" s="180"/>
      <c r="J28" s="181"/>
      <c r="K28" s="182"/>
    </row>
    <row r="29" spans="2:11" ht="13.5" thickBot="1" x14ac:dyDescent="0.25">
      <c r="B29" s="21"/>
      <c r="C29" s="22"/>
      <c r="D29" s="22"/>
      <c r="E29" s="22"/>
      <c r="F29" s="22"/>
      <c r="G29" s="22"/>
      <c r="H29" s="22"/>
      <c r="I29" s="22"/>
      <c r="J29" s="23"/>
      <c r="K29" s="47"/>
    </row>
    <row r="31" spans="2:11" x14ac:dyDescent="0.2">
      <c r="D31" s="28" t="s">
        <v>3</v>
      </c>
      <c r="E31" s="172" t="s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9"/>
  <sheetViews>
    <sheetView zoomScale="90" zoomScaleNormal="90" workbookViewId="0">
      <selection activeCell="K2" sqref="K2"/>
    </sheetView>
  </sheetViews>
  <sheetFormatPr defaultColWidth="15.140625" defaultRowHeight="12.75" x14ac:dyDescent="0.2"/>
  <cols>
    <col min="1" max="2" width="3.7109375" style="18" customWidth="1"/>
    <col min="3" max="3" width="4.7109375" style="18" customWidth="1"/>
    <col min="4" max="4" width="50.7109375" style="18" customWidth="1"/>
    <col min="5" max="7" width="11.7109375" style="18" customWidth="1"/>
    <col min="8" max="8" width="50.7109375" style="18" customWidth="1"/>
    <col min="9" max="10" width="3.7109375" style="18" customWidth="1"/>
    <col min="11" max="16384" width="15.140625" style="18"/>
  </cols>
  <sheetData>
    <row r="1" spans="2:10" ht="13.5" thickBot="1" x14ac:dyDescent="0.25"/>
    <row r="2" spans="2:10" x14ac:dyDescent="0.2">
      <c r="B2" s="81"/>
      <c r="C2" s="82"/>
      <c r="D2" s="82"/>
      <c r="E2" s="82"/>
      <c r="F2" s="82"/>
      <c r="G2" s="82"/>
      <c r="H2" s="82"/>
      <c r="I2" s="83"/>
    </row>
    <row r="3" spans="2:10" ht="18.75" x14ac:dyDescent="0.3">
      <c r="B3" s="136"/>
      <c r="C3" s="137" t="s">
        <v>209</v>
      </c>
      <c r="D3" s="137"/>
      <c r="E3" s="138"/>
      <c r="F3" s="138"/>
      <c r="G3" s="138"/>
      <c r="H3" s="138"/>
      <c r="I3" s="139"/>
    </row>
    <row r="4" spans="2:10" x14ac:dyDescent="0.2">
      <c r="B4" s="16"/>
      <c r="C4" s="47"/>
      <c r="D4" s="47"/>
      <c r="E4" s="47"/>
      <c r="F4" s="47"/>
      <c r="G4" s="47"/>
      <c r="H4" s="47"/>
      <c r="I4" s="17"/>
    </row>
    <row r="5" spans="2:10" ht="47.25" x14ac:dyDescent="0.2">
      <c r="B5" s="16"/>
      <c r="C5" s="26" t="s">
        <v>47</v>
      </c>
      <c r="D5" s="26" t="s">
        <v>44</v>
      </c>
      <c r="E5" s="26" t="s">
        <v>9</v>
      </c>
      <c r="F5" s="26" t="s">
        <v>136</v>
      </c>
      <c r="G5" s="26" t="s">
        <v>10</v>
      </c>
      <c r="H5" s="26" t="s">
        <v>45</v>
      </c>
      <c r="I5" s="17"/>
    </row>
    <row r="6" spans="2:10" x14ac:dyDescent="0.2">
      <c r="B6" s="16"/>
      <c r="C6" s="183"/>
      <c r="D6" s="184" t="s">
        <v>206</v>
      </c>
      <c r="E6" s="185"/>
      <c r="F6" s="185"/>
      <c r="G6" s="185">
        <f>SUM(G7:G11)</f>
        <v>9000</v>
      </c>
      <c r="H6" s="186"/>
      <c r="I6" s="17"/>
      <c r="J6" s="11"/>
    </row>
    <row r="7" spans="2:10" x14ac:dyDescent="0.2">
      <c r="B7" s="16"/>
      <c r="C7" s="187">
        <v>1</v>
      </c>
      <c r="D7" s="173" t="s">
        <v>116</v>
      </c>
      <c r="E7" s="176">
        <v>1</v>
      </c>
      <c r="F7" s="176">
        <v>5000</v>
      </c>
      <c r="G7" s="88">
        <f t="shared" ref="G7:G11" si="0">E7*F7</f>
        <v>5000</v>
      </c>
      <c r="H7" s="88" t="s">
        <v>36</v>
      </c>
      <c r="I7" s="17"/>
      <c r="J7" s="11"/>
    </row>
    <row r="8" spans="2:10" x14ac:dyDescent="0.2">
      <c r="B8" s="16"/>
      <c r="C8" s="187">
        <v>2</v>
      </c>
      <c r="D8" s="173" t="s">
        <v>194</v>
      </c>
      <c r="E8" s="176">
        <v>1</v>
      </c>
      <c r="F8" s="176">
        <v>3000</v>
      </c>
      <c r="G8" s="88">
        <f t="shared" si="0"/>
        <v>3000</v>
      </c>
      <c r="H8" s="88" t="s">
        <v>36</v>
      </c>
      <c r="I8" s="17"/>
      <c r="J8" s="11"/>
    </row>
    <row r="9" spans="2:10" x14ac:dyDescent="0.2">
      <c r="B9" s="16"/>
      <c r="C9" s="187">
        <v>3</v>
      </c>
      <c r="D9" s="173" t="s">
        <v>207</v>
      </c>
      <c r="E9" s="176">
        <v>1</v>
      </c>
      <c r="F9" s="176">
        <v>1000</v>
      </c>
      <c r="G9" s="88">
        <f t="shared" si="0"/>
        <v>1000</v>
      </c>
      <c r="H9" s="88" t="s">
        <v>36</v>
      </c>
      <c r="I9" s="17"/>
      <c r="J9" s="11"/>
    </row>
    <row r="10" spans="2:10" x14ac:dyDescent="0.2">
      <c r="B10" s="16"/>
      <c r="C10" s="187">
        <v>4</v>
      </c>
      <c r="D10" s="188" t="s">
        <v>222</v>
      </c>
      <c r="E10" s="176"/>
      <c r="F10" s="176"/>
      <c r="G10" s="88"/>
      <c r="H10" s="88" t="s">
        <v>36</v>
      </c>
      <c r="I10" s="17"/>
      <c r="J10" s="11"/>
    </row>
    <row r="11" spans="2:10" x14ac:dyDescent="0.2">
      <c r="B11" s="16"/>
      <c r="C11" s="187">
        <v>5</v>
      </c>
      <c r="D11" s="173" t="s">
        <v>211</v>
      </c>
      <c r="E11" s="176">
        <v>1</v>
      </c>
      <c r="F11" s="176">
        <v>0</v>
      </c>
      <c r="G11" s="88">
        <f t="shared" si="0"/>
        <v>0</v>
      </c>
      <c r="H11" s="88" t="s">
        <v>36</v>
      </c>
      <c r="I11" s="17"/>
      <c r="J11" s="11"/>
    </row>
    <row r="12" spans="2:10" ht="13.5" thickBot="1" x14ac:dyDescent="0.25">
      <c r="B12" s="21"/>
      <c r="C12" s="22"/>
      <c r="D12" s="22"/>
      <c r="E12" s="22"/>
      <c r="F12" s="22"/>
      <c r="G12" s="22"/>
      <c r="H12" s="22"/>
      <c r="I12" s="23"/>
      <c r="J12" s="47"/>
    </row>
    <row r="13" spans="2:10" ht="13.5" thickBot="1" x14ac:dyDescent="0.25"/>
    <row r="14" spans="2:10" x14ac:dyDescent="0.2">
      <c r="B14" s="81"/>
      <c r="C14" s="82"/>
      <c r="D14" s="82"/>
      <c r="E14" s="82"/>
      <c r="F14" s="82"/>
      <c r="G14" s="82"/>
      <c r="H14" s="82"/>
      <c r="I14" s="83"/>
    </row>
    <row r="15" spans="2:10" ht="18.75" x14ac:dyDescent="0.3">
      <c r="B15" s="136"/>
      <c r="C15" s="137" t="s">
        <v>210</v>
      </c>
      <c r="D15" s="137"/>
      <c r="E15" s="138"/>
      <c r="F15" s="138"/>
      <c r="G15" s="138"/>
      <c r="H15" s="138"/>
      <c r="I15" s="139"/>
    </row>
    <row r="16" spans="2:10" x14ac:dyDescent="0.2">
      <c r="B16" s="16"/>
      <c r="C16" s="47"/>
      <c r="D16" s="47"/>
      <c r="E16" s="47"/>
      <c r="F16" s="47"/>
      <c r="G16" s="47"/>
      <c r="H16" s="47"/>
      <c r="I16" s="17"/>
    </row>
    <row r="17" spans="2:10" ht="47.25" x14ac:dyDescent="0.2">
      <c r="B17" s="16"/>
      <c r="C17" s="26" t="s">
        <v>47</v>
      </c>
      <c r="D17" s="26" t="s">
        <v>44</v>
      </c>
      <c r="E17" s="26" t="s">
        <v>9</v>
      </c>
      <c r="F17" s="26" t="s">
        <v>136</v>
      </c>
      <c r="G17" s="26" t="s">
        <v>10</v>
      </c>
      <c r="H17" s="26" t="s">
        <v>45</v>
      </c>
      <c r="I17" s="17"/>
    </row>
    <row r="18" spans="2:10" x14ac:dyDescent="0.2">
      <c r="B18" s="16"/>
      <c r="C18" s="183"/>
      <c r="D18" s="184" t="s">
        <v>206</v>
      </c>
      <c r="E18" s="185"/>
      <c r="F18" s="185"/>
      <c r="G18" s="185">
        <f>SUM(G19:G23)</f>
        <v>9000</v>
      </c>
      <c r="H18" s="186"/>
      <c r="I18" s="17"/>
      <c r="J18" s="11"/>
    </row>
    <row r="19" spans="2:10" x14ac:dyDescent="0.2">
      <c r="B19" s="16"/>
      <c r="C19" s="187">
        <v>1</v>
      </c>
      <c r="D19" s="173" t="s">
        <v>116</v>
      </c>
      <c r="E19" s="176">
        <v>1</v>
      </c>
      <c r="F19" s="176">
        <v>5000</v>
      </c>
      <c r="G19" s="88">
        <f t="shared" ref="G19:G23" si="1">E19*F19</f>
        <v>5000</v>
      </c>
      <c r="H19" s="88" t="s">
        <v>36</v>
      </c>
      <c r="I19" s="17"/>
      <c r="J19" s="11"/>
    </row>
    <row r="20" spans="2:10" x14ac:dyDescent="0.2">
      <c r="B20" s="16"/>
      <c r="C20" s="187">
        <v>2</v>
      </c>
      <c r="D20" s="173" t="s">
        <v>194</v>
      </c>
      <c r="E20" s="176">
        <v>1</v>
      </c>
      <c r="F20" s="176">
        <v>3000</v>
      </c>
      <c r="G20" s="88">
        <f t="shared" si="1"/>
        <v>3000</v>
      </c>
      <c r="H20" s="88" t="s">
        <v>36</v>
      </c>
      <c r="I20" s="17"/>
      <c r="J20" s="11"/>
    </row>
    <row r="21" spans="2:10" x14ac:dyDescent="0.2">
      <c r="B21" s="16"/>
      <c r="C21" s="187">
        <v>3</v>
      </c>
      <c r="D21" s="173" t="s">
        <v>207</v>
      </c>
      <c r="E21" s="176">
        <v>1</v>
      </c>
      <c r="F21" s="176">
        <v>1000</v>
      </c>
      <c r="G21" s="88">
        <f t="shared" si="1"/>
        <v>1000</v>
      </c>
      <c r="H21" s="88" t="s">
        <v>36</v>
      </c>
      <c r="I21" s="17"/>
      <c r="J21" s="11"/>
    </row>
    <row r="22" spans="2:10" x14ac:dyDescent="0.2">
      <c r="B22" s="16"/>
      <c r="C22" s="187">
        <v>4</v>
      </c>
      <c r="D22" s="188" t="s">
        <v>222</v>
      </c>
      <c r="E22" s="176"/>
      <c r="F22" s="176"/>
      <c r="G22" s="88"/>
      <c r="H22" s="88" t="s">
        <v>36</v>
      </c>
      <c r="I22" s="17"/>
      <c r="J22" s="11"/>
    </row>
    <row r="23" spans="2:10" x14ac:dyDescent="0.2">
      <c r="B23" s="16"/>
      <c r="C23" s="187">
        <v>5</v>
      </c>
      <c r="D23" s="173" t="s">
        <v>211</v>
      </c>
      <c r="E23" s="176">
        <v>1</v>
      </c>
      <c r="F23" s="176">
        <v>0</v>
      </c>
      <c r="G23" s="88">
        <f t="shared" si="1"/>
        <v>0</v>
      </c>
      <c r="H23" s="88" t="s">
        <v>36</v>
      </c>
      <c r="I23" s="17"/>
      <c r="J23" s="11"/>
    </row>
    <row r="24" spans="2:10" ht="13.5" thickBot="1" x14ac:dyDescent="0.25">
      <c r="B24" s="21"/>
      <c r="C24" s="22"/>
      <c r="D24" s="22"/>
      <c r="E24" s="22"/>
      <c r="F24" s="22"/>
      <c r="G24" s="22"/>
      <c r="H24" s="22"/>
      <c r="I24" s="23"/>
      <c r="J24" s="47"/>
    </row>
    <row r="25" spans="2:10" ht="13.5" thickBot="1" x14ac:dyDescent="0.25"/>
    <row r="26" spans="2:10" x14ac:dyDescent="0.2">
      <c r="B26" s="81"/>
      <c r="C26" s="82"/>
      <c r="D26" s="82"/>
      <c r="E26" s="82"/>
      <c r="F26" s="82"/>
      <c r="G26" s="82"/>
      <c r="H26" s="82"/>
      <c r="I26" s="83"/>
    </row>
    <row r="27" spans="2:10" ht="18.75" x14ac:dyDescent="0.3">
      <c r="B27" s="136"/>
      <c r="C27" s="137" t="s">
        <v>208</v>
      </c>
      <c r="D27" s="137"/>
      <c r="E27" s="138"/>
      <c r="F27" s="138"/>
      <c r="G27" s="138"/>
      <c r="H27" s="138"/>
      <c r="I27" s="139"/>
    </row>
    <row r="28" spans="2:10" x14ac:dyDescent="0.2">
      <c r="B28" s="16"/>
      <c r="C28" s="47"/>
      <c r="D28" s="47"/>
      <c r="E28" s="47"/>
      <c r="F28" s="47"/>
      <c r="G28" s="47"/>
      <c r="H28" s="47"/>
      <c r="I28" s="17"/>
    </row>
    <row r="29" spans="2:10" ht="47.25" x14ac:dyDescent="0.2">
      <c r="B29" s="16"/>
      <c r="C29" s="26" t="s">
        <v>47</v>
      </c>
      <c r="D29" s="26" t="s">
        <v>44</v>
      </c>
      <c r="E29" s="26" t="s">
        <v>9</v>
      </c>
      <c r="F29" s="26" t="s">
        <v>136</v>
      </c>
      <c r="G29" s="26" t="s">
        <v>10</v>
      </c>
      <c r="H29" s="26" t="s">
        <v>45</v>
      </c>
      <c r="I29" s="17"/>
    </row>
    <row r="30" spans="2:10" x14ac:dyDescent="0.2">
      <c r="B30" s="16"/>
      <c r="C30" s="183"/>
      <c r="D30" s="184" t="s">
        <v>206</v>
      </c>
      <c r="E30" s="185"/>
      <c r="F30" s="185"/>
      <c r="G30" s="185">
        <f>SUM(G31:G36)</f>
        <v>17000</v>
      </c>
      <c r="H30" s="186"/>
      <c r="I30" s="17"/>
      <c r="J30" s="11"/>
    </row>
    <row r="31" spans="2:10" x14ac:dyDescent="0.2">
      <c r="B31" s="16"/>
      <c r="C31" s="187">
        <v>1</v>
      </c>
      <c r="D31" s="173" t="s">
        <v>116</v>
      </c>
      <c r="E31" s="176">
        <v>1</v>
      </c>
      <c r="F31" s="176">
        <v>5000</v>
      </c>
      <c r="G31" s="88">
        <f t="shared" ref="G31:G34" si="2">E31*F31</f>
        <v>5000</v>
      </c>
      <c r="H31" s="88" t="s">
        <v>36</v>
      </c>
      <c r="I31" s="17"/>
      <c r="J31" s="11"/>
    </row>
    <row r="32" spans="2:10" x14ac:dyDescent="0.2">
      <c r="B32" s="16"/>
      <c r="C32" s="187">
        <v>2</v>
      </c>
      <c r="D32" s="173" t="s">
        <v>194</v>
      </c>
      <c r="E32" s="176">
        <v>1</v>
      </c>
      <c r="F32" s="176">
        <v>3000</v>
      </c>
      <c r="G32" s="88">
        <f t="shared" si="2"/>
        <v>3000</v>
      </c>
      <c r="H32" s="88" t="s">
        <v>36</v>
      </c>
      <c r="I32" s="17"/>
      <c r="J32" s="11"/>
    </row>
    <row r="33" spans="2:10" x14ac:dyDescent="0.2">
      <c r="B33" s="16"/>
      <c r="C33" s="187">
        <v>3</v>
      </c>
      <c r="D33" s="173" t="s">
        <v>207</v>
      </c>
      <c r="E33" s="176">
        <v>2</v>
      </c>
      <c r="F33" s="176">
        <v>1000</v>
      </c>
      <c r="G33" s="88">
        <f t="shared" si="2"/>
        <v>2000</v>
      </c>
      <c r="H33" s="88" t="s">
        <v>36</v>
      </c>
      <c r="I33" s="17"/>
      <c r="J33" s="11"/>
    </row>
    <row r="34" spans="2:10" x14ac:dyDescent="0.2">
      <c r="B34" s="16"/>
      <c r="C34" s="187">
        <v>4</v>
      </c>
      <c r="D34" s="173" t="s">
        <v>126</v>
      </c>
      <c r="E34" s="176">
        <f>Калькулятор!D9</f>
        <v>10</v>
      </c>
      <c r="F34" s="176">
        <f>Калькулятор!D10</f>
        <v>700</v>
      </c>
      <c r="G34" s="88">
        <f t="shared" si="2"/>
        <v>7000</v>
      </c>
      <c r="H34" s="88" t="s">
        <v>36</v>
      </c>
      <c r="I34" s="17"/>
      <c r="J34" s="11"/>
    </row>
    <row r="35" spans="2:10" x14ac:dyDescent="0.2">
      <c r="B35" s="16"/>
      <c r="C35" s="187">
        <v>5</v>
      </c>
      <c r="D35" s="188" t="s">
        <v>222</v>
      </c>
      <c r="E35" s="176"/>
      <c r="F35" s="176"/>
      <c r="G35" s="88"/>
      <c r="H35" s="88" t="s">
        <v>36</v>
      </c>
      <c r="I35" s="17"/>
      <c r="J35" s="11"/>
    </row>
    <row r="36" spans="2:10" x14ac:dyDescent="0.2">
      <c r="B36" s="16"/>
      <c r="C36" s="187">
        <v>6</v>
      </c>
      <c r="D36" s="173" t="s">
        <v>211</v>
      </c>
      <c r="E36" s="176">
        <v>1</v>
      </c>
      <c r="F36" s="176">
        <v>0</v>
      </c>
      <c r="G36" s="88">
        <f t="shared" ref="G36" si="3">E36*F36</f>
        <v>0</v>
      </c>
      <c r="H36" s="88" t="s">
        <v>36</v>
      </c>
      <c r="I36" s="17"/>
      <c r="J36" s="11"/>
    </row>
    <row r="37" spans="2:10" ht="13.5" thickBot="1" x14ac:dyDescent="0.25">
      <c r="B37" s="21"/>
      <c r="C37" s="22"/>
      <c r="D37" s="22"/>
      <c r="E37" s="22"/>
      <c r="F37" s="22"/>
      <c r="G37" s="22"/>
      <c r="H37" s="22"/>
      <c r="I37" s="23"/>
      <c r="J37" s="47"/>
    </row>
    <row r="39" spans="2:10" x14ac:dyDescent="0.2">
      <c r="D39" s="28" t="s">
        <v>3</v>
      </c>
      <c r="E39" s="101" t="s">
        <v>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7"/>
  <sheetViews>
    <sheetView zoomScale="90" zoomScaleNormal="90" workbookViewId="0">
      <selection activeCell="AU2" sqref="AU2"/>
    </sheetView>
  </sheetViews>
  <sheetFormatPr defaultColWidth="15.140625" defaultRowHeight="12.75" x14ac:dyDescent="0.2"/>
  <cols>
    <col min="1" max="2" width="3.7109375" style="18" customWidth="1"/>
    <col min="3" max="3" width="4.7109375" style="18" customWidth="1"/>
    <col min="4" max="4" width="50.7109375" style="18" customWidth="1"/>
    <col min="5" max="44" width="11.7109375" style="18" customWidth="1"/>
    <col min="45" max="46" width="3.7109375" style="18" customWidth="1"/>
    <col min="47" max="16384" width="15.140625" style="18"/>
  </cols>
  <sheetData>
    <row r="1" spans="2:45" ht="13.5" thickBot="1" x14ac:dyDescent="0.25"/>
    <row r="2" spans="2:45" x14ac:dyDescent="0.2">
      <c r="B2" s="81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3"/>
    </row>
    <row r="3" spans="2:45" ht="18.75" x14ac:dyDescent="0.3">
      <c r="B3" s="136"/>
      <c r="C3" s="137" t="s">
        <v>30</v>
      </c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9"/>
    </row>
    <row r="4" spans="2:45" x14ac:dyDescent="0.2">
      <c r="B4" s="16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17"/>
    </row>
    <row r="5" spans="2:45" s="149" customFormat="1" ht="15.75" x14ac:dyDescent="0.25">
      <c r="B5" s="178"/>
      <c r="C5" s="212" t="s">
        <v>47</v>
      </c>
      <c r="D5" s="212" t="s">
        <v>52</v>
      </c>
      <c r="E5" s="26" t="s">
        <v>96</v>
      </c>
      <c r="F5" s="26" t="s">
        <v>53</v>
      </c>
      <c r="G5" s="26" t="s">
        <v>54</v>
      </c>
      <c r="H5" s="26" t="s">
        <v>55</v>
      </c>
      <c r="I5" s="26" t="s">
        <v>56</v>
      </c>
      <c r="J5" s="26" t="s">
        <v>57</v>
      </c>
      <c r="K5" s="26" t="s">
        <v>58</v>
      </c>
      <c r="L5" s="26" t="s">
        <v>59</v>
      </c>
      <c r="M5" s="26" t="s">
        <v>60</v>
      </c>
      <c r="N5" s="26" t="s">
        <v>61</v>
      </c>
      <c r="O5" s="26" t="s">
        <v>62</v>
      </c>
      <c r="P5" s="26" t="s">
        <v>63</v>
      </c>
      <c r="Q5" s="26" t="s">
        <v>64</v>
      </c>
      <c r="R5" s="26" t="s">
        <v>65</v>
      </c>
      <c r="S5" s="26" t="s">
        <v>66</v>
      </c>
      <c r="T5" s="26" t="s">
        <v>67</v>
      </c>
      <c r="U5" s="26" t="s">
        <v>68</v>
      </c>
      <c r="V5" s="26" t="s">
        <v>69</v>
      </c>
      <c r="W5" s="26" t="s">
        <v>70</v>
      </c>
      <c r="X5" s="26" t="s">
        <v>71</v>
      </c>
      <c r="Y5" s="26" t="s">
        <v>72</v>
      </c>
      <c r="Z5" s="26" t="s">
        <v>73</v>
      </c>
      <c r="AA5" s="26" t="s">
        <v>74</v>
      </c>
      <c r="AB5" s="26" t="s">
        <v>75</v>
      </c>
      <c r="AC5" s="26" t="s">
        <v>76</v>
      </c>
      <c r="AD5" s="26" t="s">
        <v>77</v>
      </c>
      <c r="AE5" s="26" t="s">
        <v>78</v>
      </c>
      <c r="AF5" s="26" t="s">
        <v>79</v>
      </c>
      <c r="AG5" s="26" t="s">
        <v>80</v>
      </c>
      <c r="AH5" s="26" t="s">
        <v>81</v>
      </c>
      <c r="AI5" s="26" t="s">
        <v>82</v>
      </c>
      <c r="AJ5" s="26" t="s">
        <v>83</v>
      </c>
      <c r="AK5" s="26" t="s">
        <v>84</v>
      </c>
      <c r="AL5" s="26" t="s">
        <v>85</v>
      </c>
      <c r="AM5" s="26" t="s">
        <v>86</v>
      </c>
      <c r="AN5" s="26" t="s">
        <v>87</v>
      </c>
      <c r="AO5" s="26" t="s">
        <v>88</v>
      </c>
      <c r="AP5" s="211" t="s">
        <v>89</v>
      </c>
      <c r="AQ5" s="211" t="s">
        <v>90</v>
      </c>
      <c r="AR5" s="211" t="s">
        <v>91</v>
      </c>
      <c r="AS5" s="181"/>
    </row>
    <row r="6" spans="2:45" ht="12.75" customHeight="1" x14ac:dyDescent="0.2">
      <c r="B6" s="16"/>
      <c r="C6" s="213"/>
      <c r="D6" s="213"/>
      <c r="E6" s="189"/>
      <c r="F6" s="190" t="str">
        <f>TEXT(EDATE(1,(Калькулятор!$E$11))-1,"ММММ")</f>
        <v>Май</v>
      </c>
      <c r="G6" s="190" t="str">
        <f>TEXT(EDATE(1,(Калькулятор!$E$11+1))-1,"ММММ")</f>
        <v>Июнь</v>
      </c>
      <c r="H6" s="190" t="str">
        <f>TEXT(EDATE(1,(Калькулятор!$E$11+2))-1,"ММММ")</f>
        <v>Июль</v>
      </c>
      <c r="I6" s="190" t="str">
        <f>TEXT(EDATE(1,(Калькулятор!$E$11+3))-1,"ММММ")</f>
        <v>Август</v>
      </c>
      <c r="J6" s="190" t="str">
        <f>TEXT(EDATE(1,(Калькулятор!$E$11+4))-1,"ММММ")</f>
        <v>Сентябрь</v>
      </c>
      <c r="K6" s="190" t="str">
        <f>TEXT(EDATE(1,(Калькулятор!$E$11+5))-1,"ММММ")</f>
        <v>Октябрь</v>
      </c>
      <c r="L6" s="190" t="str">
        <f>TEXT(EDATE(1,(Калькулятор!$E$11+6))-1,"ММММ")</f>
        <v>Ноябрь</v>
      </c>
      <c r="M6" s="190" t="str">
        <f>TEXT(EDATE(1,(Калькулятор!$E$11+7))-1,"ММММ")</f>
        <v>Декабрь</v>
      </c>
      <c r="N6" s="190" t="str">
        <f>TEXT(EDATE(1,(Калькулятор!$E$11+8))-1,"ММММ")</f>
        <v>Январь</v>
      </c>
      <c r="O6" s="190" t="str">
        <f>TEXT(EDATE(1,(Калькулятор!$E$11+9))-1,"ММММ")</f>
        <v>Февраль</v>
      </c>
      <c r="P6" s="190" t="str">
        <f>TEXT(EDATE(1,(Калькулятор!$E$11+10))-1,"ММММ")</f>
        <v>Март</v>
      </c>
      <c r="Q6" s="190" t="str">
        <f>TEXT(EDATE(1,(Калькулятор!$E$11+11))-1,"ММММ")</f>
        <v>Апрель</v>
      </c>
      <c r="R6" s="190" t="str">
        <f>F6</f>
        <v>Май</v>
      </c>
      <c r="S6" s="190" t="str">
        <f t="shared" ref="S6:AO6" si="0">G6</f>
        <v>Июнь</v>
      </c>
      <c r="T6" s="190" t="str">
        <f t="shared" si="0"/>
        <v>Июль</v>
      </c>
      <c r="U6" s="190" t="str">
        <f t="shared" si="0"/>
        <v>Август</v>
      </c>
      <c r="V6" s="190" t="str">
        <f t="shared" si="0"/>
        <v>Сентябрь</v>
      </c>
      <c r="W6" s="190" t="str">
        <f t="shared" si="0"/>
        <v>Октябрь</v>
      </c>
      <c r="X6" s="190" t="str">
        <f t="shared" si="0"/>
        <v>Ноябрь</v>
      </c>
      <c r="Y6" s="190" t="str">
        <f t="shared" si="0"/>
        <v>Декабрь</v>
      </c>
      <c r="Z6" s="190" t="str">
        <f t="shared" si="0"/>
        <v>Январь</v>
      </c>
      <c r="AA6" s="190" t="str">
        <f t="shared" si="0"/>
        <v>Февраль</v>
      </c>
      <c r="AB6" s="190" t="str">
        <f t="shared" si="0"/>
        <v>Март</v>
      </c>
      <c r="AC6" s="190" t="str">
        <f t="shared" si="0"/>
        <v>Апрель</v>
      </c>
      <c r="AD6" s="190" t="str">
        <f t="shared" si="0"/>
        <v>Май</v>
      </c>
      <c r="AE6" s="190" t="str">
        <f t="shared" si="0"/>
        <v>Июнь</v>
      </c>
      <c r="AF6" s="190" t="str">
        <f t="shared" si="0"/>
        <v>Июль</v>
      </c>
      <c r="AG6" s="190" t="str">
        <f t="shared" si="0"/>
        <v>Август</v>
      </c>
      <c r="AH6" s="190" t="str">
        <f t="shared" si="0"/>
        <v>Сентябрь</v>
      </c>
      <c r="AI6" s="190" t="str">
        <f t="shared" si="0"/>
        <v>Октябрь</v>
      </c>
      <c r="AJ6" s="190" t="str">
        <f t="shared" si="0"/>
        <v>Ноябрь</v>
      </c>
      <c r="AK6" s="190" t="str">
        <f t="shared" si="0"/>
        <v>Декабрь</v>
      </c>
      <c r="AL6" s="190" t="str">
        <f t="shared" si="0"/>
        <v>Январь</v>
      </c>
      <c r="AM6" s="190" t="str">
        <f t="shared" si="0"/>
        <v>Февраль</v>
      </c>
      <c r="AN6" s="190" t="str">
        <f t="shared" si="0"/>
        <v>Март</v>
      </c>
      <c r="AO6" s="190" t="str">
        <f t="shared" si="0"/>
        <v>Апрель</v>
      </c>
      <c r="AP6" s="211"/>
      <c r="AQ6" s="211"/>
      <c r="AR6" s="211"/>
      <c r="AS6" s="17"/>
    </row>
    <row r="7" spans="2:45" x14ac:dyDescent="0.2">
      <c r="B7" s="16"/>
      <c r="C7" s="32">
        <v>1</v>
      </c>
      <c r="D7" s="33" t="s">
        <v>105</v>
      </c>
      <c r="E7" s="33"/>
      <c r="F7" s="34">
        <f>SUM(F8:F10)</f>
        <v>301840</v>
      </c>
      <c r="G7" s="34">
        <f t="shared" ref="G7:AO7" si="1">SUM(G8:G10)</f>
        <v>226380</v>
      </c>
      <c r="H7" s="34">
        <f t="shared" si="1"/>
        <v>215600</v>
      </c>
      <c r="I7" s="34">
        <f t="shared" si="1"/>
        <v>301840</v>
      </c>
      <c r="J7" s="34">
        <f t="shared" si="1"/>
        <v>733040</v>
      </c>
      <c r="K7" s="34">
        <f t="shared" si="1"/>
        <v>603680</v>
      </c>
      <c r="L7" s="34">
        <f t="shared" si="1"/>
        <v>517440</v>
      </c>
      <c r="M7" s="34">
        <f t="shared" si="1"/>
        <v>646800</v>
      </c>
      <c r="N7" s="34">
        <f t="shared" si="1"/>
        <v>215600</v>
      </c>
      <c r="O7" s="34">
        <f t="shared" si="1"/>
        <v>301840</v>
      </c>
      <c r="P7" s="34">
        <f t="shared" si="1"/>
        <v>301840</v>
      </c>
      <c r="Q7" s="34">
        <f t="shared" si="1"/>
        <v>431200</v>
      </c>
      <c r="R7" s="34">
        <f t="shared" si="1"/>
        <v>603680</v>
      </c>
      <c r="S7" s="34">
        <f t="shared" si="1"/>
        <v>301840</v>
      </c>
      <c r="T7" s="34">
        <f t="shared" si="1"/>
        <v>215600</v>
      </c>
      <c r="U7" s="34">
        <f t="shared" si="1"/>
        <v>301840</v>
      </c>
      <c r="V7" s="34">
        <f t="shared" si="1"/>
        <v>733040</v>
      </c>
      <c r="W7" s="34">
        <f t="shared" si="1"/>
        <v>603680</v>
      </c>
      <c r="X7" s="34">
        <f t="shared" si="1"/>
        <v>517440</v>
      </c>
      <c r="Y7" s="34">
        <f t="shared" si="1"/>
        <v>646800</v>
      </c>
      <c r="Z7" s="34">
        <f t="shared" si="1"/>
        <v>215600</v>
      </c>
      <c r="AA7" s="34">
        <f t="shared" si="1"/>
        <v>301840</v>
      </c>
      <c r="AB7" s="34">
        <f t="shared" si="1"/>
        <v>301840</v>
      </c>
      <c r="AC7" s="34">
        <f t="shared" si="1"/>
        <v>431200</v>
      </c>
      <c r="AD7" s="34">
        <f t="shared" si="1"/>
        <v>603680</v>
      </c>
      <c r="AE7" s="34">
        <f t="shared" si="1"/>
        <v>301840</v>
      </c>
      <c r="AF7" s="34">
        <f t="shared" si="1"/>
        <v>215600</v>
      </c>
      <c r="AG7" s="34">
        <f t="shared" si="1"/>
        <v>301840</v>
      </c>
      <c r="AH7" s="34">
        <f t="shared" si="1"/>
        <v>733040</v>
      </c>
      <c r="AI7" s="34">
        <f t="shared" si="1"/>
        <v>603680</v>
      </c>
      <c r="AJ7" s="34">
        <f t="shared" si="1"/>
        <v>517440</v>
      </c>
      <c r="AK7" s="34">
        <f t="shared" si="1"/>
        <v>646800</v>
      </c>
      <c r="AL7" s="34">
        <f t="shared" si="1"/>
        <v>215600</v>
      </c>
      <c r="AM7" s="34">
        <f t="shared" si="1"/>
        <v>301840</v>
      </c>
      <c r="AN7" s="34">
        <f t="shared" si="1"/>
        <v>301840</v>
      </c>
      <c r="AO7" s="34">
        <f t="shared" si="1"/>
        <v>431200</v>
      </c>
      <c r="AP7" s="34">
        <f t="shared" ref="AP7" si="2">SUM(F7:Q7)</f>
        <v>4797100</v>
      </c>
      <c r="AQ7" s="34">
        <f t="shared" ref="AQ7" si="3">SUM(R7:AC7)</f>
        <v>5174400</v>
      </c>
      <c r="AR7" s="34">
        <f t="shared" ref="AR7" si="4">SUM(AD7:AO7)</f>
        <v>5174400</v>
      </c>
      <c r="AS7" s="17"/>
    </row>
    <row r="8" spans="2:45" x14ac:dyDescent="0.2">
      <c r="B8" s="16"/>
      <c r="C8" s="25" t="s">
        <v>106</v>
      </c>
      <c r="D8" s="19" t="str">
        <f>'План продаж'!D17</f>
        <v>Фотография 15х21 см</v>
      </c>
      <c r="E8" s="19"/>
      <c r="F8" s="20">
        <f>'План продаж'!G17</f>
        <v>146160</v>
      </c>
      <c r="G8" s="20">
        <f>'План продаж'!H17</f>
        <v>109620</v>
      </c>
      <c r="H8" s="20">
        <f>'План продаж'!I17</f>
        <v>104400</v>
      </c>
      <c r="I8" s="20">
        <f>'План продаж'!J17</f>
        <v>146160</v>
      </c>
      <c r="J8" s="20">
        <f>'План продаж'!K17</f>
        <v>354960</v>
      </c>
      <c r="K8" s="20">
        <f>'План продаж'!L17</f>
        <v>292320</v>
      </c>
      <c r="L8" s="20">
        <f>'План продаж'!M17</f>
        <v>250560</v>
      </c>
      <c r="M8" s="20">
        <f>'План продаж'!N17</f>
        <v>313200</v>
      </c>
      <c r="N8" s="20">
        <f>'План продаж'!O17</f>
        <v>104400</v>
      </c>
      <c r="O8" s="20">
        <f>'План продаж'!P17</f>
        <v>146160</v>
      </c>
      <c r="P8" s="20">
        <f>'План продаж'!Q17</f>
        <v>146160</v>
      </c>
      <c r="Q8" s="20">
        <f>'План продаж'!R17</f>
        <v>208800</v>
      </c>
      <c r="R8" s="20">
        <f>'План продаж'!S17</f>
        <v>292320</v>
      </c>
      <c r="S8" s="20">
        <f>'План продаж'!T17</f>
        <v>146160</v>
      </c>
      <c r="T8" s="20">
        <f>'План продаж'!U17</f>
        <v>104400</v>
      </c>
      <c r="U8" s="20">
        <f>'План продаж'!V17</f>
        <v>146160</v>
      </c>
      <c r="V8" s="20">
        <f>'План продаж'!W17</f>
        <v>354960</v>
      </c>
      <c r="W8" s="20">
        <f>'План продаж'!X17</f>
        <v>292320</v>
      </c>
      <c r="X8" s="20">
        <f>'План продаж'!Y17</f>
        <v>250560</v>
      </c>
      <c r="Y8" s="20">
        <f>'План продаж'!Z17</f>
        <v>313200</v>
      </c>
      <c r="Z8" s="20">
        <f>'План продаж'!AA17</f>
        <v>104400</v>
      </c>
      <c r="AA8" s="20">
        <f>'План продаж'!AB17</f>
        <v>146160</v>
      </c>
      <c r="AB8" s="20">
        <f>'План продаж'!AC17</f>
        <v>146160</v>
      </c>
      <c r="AC8" s="20">
        <f>'План продаж'!AD17</f>
        <v>208800</v>
      </c>
      <c r="AD8" s="20">
        <f>'План продаж'!AE17</f>
        <v>292320</v>
      </c>
      <c r="AE8" s="20">
        <f>'План продаж'!AF17</f>
        <v>146160</v>
      </c>
      <c r="AF8" s="20">
        <f>'План продаж'!AG17</f>
        <v>104400</v>
      </c>
      <c r="AG8" s="20">
        <f>'План продаж'!AH17</f>
        <v>146160</v>
      </c>
      <c r="AH8" s="20">
        <f>'План продаж'!AI17</f>
        <v>354960</v>
      </c>
      <c r="AI8" s="20">
        <f>'План продаж'!AJ17</f>
        <v>292320</v>
      </c>
      <c r="AJ8" s="20">
        <f>'План продаж'!AK17</f>
        <v>250560</v>
      </c>
      <c r="AK8" s="20">
        <f>'План продаж'!AL17</f>
        <v>313200</v>
      </c>
      <c r="AL8" s="20">
        <f>'План продаж'!AM17</f>
        <v>104400</v>
      </c>
      <c r="AM8" s="20">
        <f>'План продаж'!AN17</f>
        <v>146160</v>
      </c>
      <c r="AN8" s="20">
        <f>'План продаж'!AO17</f>
        <v>146160</v>
      </c>
      <c r="AO8" s="20">
        <f>'План продаж'!AP17</f>
        <v>208800</v>
      </c>
      <c r="AP8" s="20">
        <f t="shared" ref="AP8:AP12" si="5">SUM(F8:Q8)</f>
        <v>2322900</v>
      </c>
      <c r="AQ8" s="20">
        <f t="shared" ref="AQ8:AQ12" si="6">SUM(R8:AC8)</f>
        <v>2505600</v>
      </c>
      <c r="AR8" s="20">
        <f t="shared" ref="AR8:AR12" si="7">SUM(AD8:AO8)</f>
        <v>2505600</v>
      </c>
      <c r="AS8" s="17"/>
    </row>
    <row r="9" spans="2:45" x14ac:dyDescent="0.2">
      <c r="B9" s="16"/>
      <c r="C9" s="25" t="s">
        <v>107</v>
      </c>
      <c r="D9" s="19" t="str">
        <f>'План продаж'!D18</f>
        <v>Фотография 20х30 см</v>
      </c>
      <c r="E9" s="19"/>
      <c r="F9" s="20">
        <f>'План продаж'!G18</f>
        <v>94080</v>
      </c>
      <c r="G9" s="20">
        <f>'План продаж'!H18</f>
        <v>70560</v>
      </c>
      <c r="H9" s="20">
        <f>'План продаж'!I18</f>
        <v>67200</v>
      </c>
      <c r="I9" s="20">
        <f>'План продаж'!J18</f>
        <v>94080</v>
      </c>
      <c r="J9" s="20">
        <f>'План продаж'!K18</f>
        <v>228480</v>
      </c>
      <c r="K9" s="20">
        <f>'План продаж'!L18</f>
        <v>188160</v>
      </c>
      <c r="L9" s="20">
        <f>'План продаж'!M18</f>
        <v>161280</v>
      </c>
      <c r="M9" s="20">
        <f>'План продаж'!N18</f>
        <v>201600</v>
      </c>
      <c r="N9" s="20">
        <f>'План продаж'!O18</f>
        <v>67200</v>
      </c>
      <c r="O9" s="20">
        <f>'План продаж'!P18</f>
        <v>94080</v>
      </c>
      <c r="P9" s="20">
        <f>'План продаж'!Q18</f>
        <v>94080</v>
      </c>
      <c r="Q9" s="20">
        <f>'План продаж'!R18</f>
        <v>134400</v>
      </c>
      <c r="R9" s="20">
        <f>'План продаж'!S18</f>
        <v>188160</v>
      </c>
      <c r="S9" s="20">
        <f>'План продаж'!T18</f>
        <v>94080</v>
      </c>
      <c r="T9" s="20">
        <f>'План продаж'!U18</f>
        <v>67200</v>
      </c>
      <c r="U9" s="20">
        <f>'План продаж'!V18</f>
        <v>94080</v>
      </c>
      <c r="V9" s="20">
        <f>'План продаж'!W18</f>
        <v>228480</v>
      </c>
      <c r="W9" s="20">
        <f>'План продаж'!X18</f>
        <v>188160</v>
      </c>
      <c r="X9" s="20">
        <f>'План продаж'!Y18</f>
        <v>161280</v>
      </c>
      <c r="Y9" s="20">
        <f>'План продаж'!Z18</f>
        <v>201600</v>
      </c>
      <c r="Z9" s="20">
        <f>'План продаж'!AA18</f>
        <v>67200</v>
      </c>
      <c r="AA9" s="20">
        <f>'План продаж'!AB18</f>
        <v>94080</v>
      </c>
      <c r="AB9" s="20">
        <f>'План продаж'!AC18</f>
        <v>94080</v>
      </c>
      <c r="AC9" s="20">
        <f>'План продаж'!AD18</f>
        <v>134400</v>
      </c>
      <c r="AD9" s="20">
        <f>'План продаж'!AE18</f>
        <v>188160</v>
      </c>
      <c r="AE9" s="20">
        <f>'План продаж'!AF18</f>
        <v>94080</v>
      </c>
      <c r="AF9" s="20">
        <f>'План продаж'!AG18</f>
        <v>67200</v>
      </c>
      <c r="AG9" s="20">
        <f>'План продаж'!AH18</f>
        <v>94080</v>
      </c>
      <c r="AH9" s="20">
        <f>'План продаж'!AI18</f>
        <v>228480</v>
      </c>
      <c r="AI9" s="20">
        <f>'План продаж'!AJ18</f>
        <v>188160</v>
      </c>
      <c r="AJ9" s="20">
        <f>'План продаж'!AK18</f>
        <v>161280</v>
      </c>
      <c r="AK9" s="20">
        <f>'План продаж'!AL18</f>
        <v>201600</v>
      </c>
      <c r="AL9" s="20">
        <f>'План продаж'!AM18</f>
        <v>67200</v>
      </c>
      <c r="AM9" s="20">
        <f>'План продаж'!AN18</f>
        <v>94080</v>
      </c>
      <c r="AN9" s="20">
        <f>'План продаж'!AO18</f>
        <v>94080</v>
      </c>
      <c r="AO9" s="20">
        <f>'План продаж'!AP18</f>
        <v>134400</v>
      </c>
      <c r="AP9" s="20">
        <f t="shared" ref="AP9:AP10" si="8">SUM(F9:Q9)</f>
        <v>1495200</v>
      </c>
      <c r="AQ9" s="20">
        <f t="shared" ref="AQ9:AQ10" si="9">SUM(R9:AC9)</f>
        <v>1612800</v>
      </c>
      <c r="AR9" s="20">
        <f t="shared" ref="AR9:AR10" si="10">SUM(AD9:AO9)</f>
        <v>1612800</v>
      </c>
      <c r="AS9" s="17"/>
    </row>
    <row r="10" spans="2:45" x14ac:dyDescent="0.2">
      <c r="B10" s="16"/>
      <c r="C10" s="25" t="s">
        <v>233</v>
      </c>
      <c r="D10" s="19" t="str">
        <f>'План продаж'!D19</f>
        <v>Дополнительная реальность 20х30 см и 10х15 (карманное фото)</v>
      </c>
      <c r="E10" s="19"/>
      <c r="F10" s="20">
        <f>'План продаж'!G19</f>
        <v>61599.999999999993</v>
      </c>
      <c r="G10" s="20">
        <f>'План продаж'!H19</f>
        <v>46200</v>
      </c>
      <c r="H10" s="20">
        <f>'План продаж'!I19</f>
        <v>44000</v>
      </c>
      <c r="I10" s="20">
        <f>'План продаж'!J19</f>
        <v>61599.999999999993</v>
      </c>
      <c r="J10" s="20">
        <f>'План продаж'!K19</f>
        <v>149600</v>
      </c>
      <c r="K10" s="20">
        <f>'План продаж'!L19</f>
        <v>123199.99999999999</v>
      </c>
      <c r="L10" s="20">
        <f>'План продаж'!M19</f>
        <v>105600</v>
      </c>
      <c r="M10" s="20">
        <f>'План продаж'!N19</f>
        <v>132000</v>
      </c>
      <c r="N10" s="20">
        <f>'План продаж'!O19</f>
        <v>44000</v>
      </c>
      <c r="O10" s="20">
        <f>'План продаж'!P19</f>
        <v>61599.999999999993</v>
      </c>
      <c r="P10" s="20">
        <f>'План продаж'!Q19</f>
        <v>61599.999999999993</v>
      </c>
      <c r="Q10" s="20">
        <f>'План продаж'!R19</f>
        <v>88000</v>
      </c>
      <c r="R10" s="20">
        <f>'План продаж'!S19</f>
        <v>123199.99999999999</v>
      </c>
      <c r="S10" s="20">
        <f>'План продаж'!T19</f>
        <v>61599.999999999993</v>
      </c>
      <c r="T10" s="20">
        <f>'План продаж'!U19</f>
        <v>44000</v>
      </c>
      <c r="U10" s="20">
        <f>'План продаж'!V19</f>
        <v>61599.999999999993</v>
      </c>
      <c r="V10" s="20">
        <f>'План продаж'!W19</f>
        <v>149600</v>
      </c>
      <c r="W10" s="20">
        <f>'План продаж'!X19</f>
        <v>123199.99999999999</v>
      </c>
      <c r="X10" s="20">
        <f>'План продаж'!Y19</f>
        <v>105600</v>
      </c>
      <c r="Y10" s="20">
        <f>'План продаж'!Z19</f>
        <v>132000</v>
      </c>
      <c r="Z10" s="20">
        <f>'План продаж'!AA19</f>
        <v>44000</v>
      </c>
      <c r="AA10" s="20">
        <f>'План продаж'!AB19</f>
        <v>61599.999999999993</v>
      </c>
      <c r="AB10" s="20">
        <f>'План продаж'!AC19</f>
        <v>61599.999999999993</v>
      </c>
      <c r="AC10" s="20">
        <f>'План продаж'!AD19</f>
        <v>88000</v>
      </c>
      <c r="AD10" s="20">
        <f>'План продаж'!AE19</f>
        <v>123199.99999999999</v>
      </c>
      <c r="AE10" s="20">
        <f>'План продаж'!AF19</f>
        <v>61599.999999999993</v>
      </c>
      <c r="AF10" s="20">
        <f>'План продаж'!AG19</f>
        <v>44000</v>
      </c>
      <c r="AG10" s="20">
        <f>'План продаж'!AH19</f>
        <v>61599.999999999993</v>
      </c>
      <c r="AH10" s="20">
        <f>'План продаж'!AI19</f>
        <v>149600</v>
      </c>
      <c r="AI10" s="20">
        <f>'План продаж'!AJ19</f>
        <v>123199.99999999999</v>
      </c>
      <c r="AJ10" s="20">
        <f>'План продаж'!AK19</f>
        <v>105600</v>
      </c>
      <c r="AK10" s="20">
        <f>'План продаж'!AL19</f>
        <v>132000</v>
      </c>
      <c r="AL10" s="20">
        <f>'План продаж'!AM19</f>
        <v>44000</v>
      </c>
      <c r="AM10" s="20">
        <f>'План продаж'!AN19</f>
        <v>61599.999999999993</v>
      </c>
      <c r="AN10" s="20">
        <f>'План продаж'!AO19</f>
        <v>61599.999999999993</v>
      </c>
      <c r="AO10" s="20">
        <f>'План продаж'!AP19</f>
        <v>88000</v>
      </c>
      <c r="AP10" s="20">
        <f t="shared" si="8"/>
        <v>979000</v>
      </c>
      <c r="AQ10" s="20">
        <f t="shared" si="9"/>
        <v>1056000</v>
      </c>
      <c r="AR10" s="20">
        <f t="shared" si="10"/>
        <v>1056000</v>
      </c>
      <c r="AS10" s="17"/>
    </row>
    <row r="11" spans="2:45" x14ac:dyDescent="0.2">
      <c r="B11" s="16"/>
      <c r="C11" s="32">
        <v>2</v>
      </c>
      <c r="D11" s="33" t="s">
        <v>124</v>
      </c>
      <c r="E11" s="33"/>
      <c r="F11" s="34">
        <f t="shared" ref="F11:AO11" si="11">SUM(F12:F19)</f>
        <v>233808.52</v>
      </c>
      <c r="G11" s="34">
        <f t="shared" si="11"/>
        <v>201917.63999999998</v>
      </c>
      <c r="H11" s="34">
        <f t="shared" si="11"/>
        <v>197361.8</v>
      </c>
      <c r="I11" s="34">
        <f t="shared" si="11"/>
        <v>233808.52</v>
      </c>
      <c r="J11" s="34">
        <f t="shared" si="11"/>
        <v>416042.12</v>
      </c>
      <c r="K11" s="34">
        <f t="shared" si="11"/>
        <v>361372.04</v>
      </c>
      <c r="L11" s="34">
        <f t="shared" si="11"/>
        <v>324925.32</v>
      </c>
      <c r="M11" s="34">
        <f t="shared" si="11"/>
        <v>379595.4</v>
      </c>
      <c r="N11" s="34">
        <f t="shared" si="11"/>
        <v>197361.8</v>
      </c>
      <c r="O11" s="34">
        <f t="shared" si="11"/>
        <v>233808.52</v>
      </c>
      <c r="P11" s="34">
        <f t="shared" si="11"/>
        <v>233808.52</v>
      </c>
      <c r="Q11" s="34">
        <f t="shared" si="11"/>
        <v>288478.59999999998</v>
      </c>
      <c r="R11" s="34">
        <f t="shared" si="11"/>
        <v>361372.04</v>
      </c>
      <c r="S11" s="34">
        <f t="shared" si="11"/>
        <v>233808.52</v>
      </c>
      <c r="T11" s="34">
        <f t="shared" si="11"/>
        <v>197361.8</v>
      </c>
      <c r="U11" s="34">
        <f t="shared" si="11"/>
        <v>233808.52</v>
      </c>
      <c r="V11" s="34">
        <f t="shared" si="11"/>
        <v>416042.12</v>
      </c>
      <c r="W11" s="34">
        <f t="shared" si="11"/>
        <v>361372.04</v>
      </c>
      <c r="X11" s="34">
        <f t="shared" si="11"/>
        <v>324925.32</v>
      </c>
      <c r="Y11" s="34">
        <f t="shared" si="11"/>
        <v>379595.4</v>
      </c>
      <c r="Z11" s="34">
        <f t="shared" si="11"/>
        <v>197361.8</v>
      </c>
      <c r="AA11" s="34">
        <f t="shared" si="11"/>
        <v>233808.52</v>
      </c>
      <c r="AB11" s="34">
        <f t="shared" si="11"/>
        <v>233808.52</v>
      </c>
      <c r="AC11" s="34">
        <f t="shared" si="11"/>
        <v>288478.59999999998</v>
      </c>
      <c r="AD11" s="34">
        <f t="shared" si="11"/>
        <v>361372.04</v>
      </c>
      <c r="AE11" s="34">
        <f t="shared" si="11"/>
        <v>233808.52</v>
      </c>
      <c r="AF11" s="34">
        <f t="shared" si="11"/>
        <v>197361.8</v>
      </c>
      <c r="AG11" s="34">
        <f t="shared" si="11"/>
        <v>233808.52</v>
      </c>
      <c r="AH11" s="34">
        <f t="shared" si="11"/>
        <v>416042.12</v>
      </c>
      <c r="AI11" s="34">
        <f t="shared" si="11"/>
        <v>361372.04</v>
      </c>
      <c r="AJ11" s="34">
        <f t="shared" si="11"/>
        <v>324925.32</v>
      </c>
      <c r="AK11" s="34">
        <f t="shared" si="11"/>
        <v>379595.4</v>
      </c>
      <c r="AL11" s="34">
        <f t="shared" si="11"/>
        <v>197361.8</v>
      </c>
      <c r="AM11" s="34">
        <f t="shared" si="11"/>
        <v>233808.52</v>
      </c>
      <c r="AN11" s="34">
        <f t="shared" si="11"/>
        <v>233808.52</v>
      </c>
      <c r="AO11" s="34">
        <f t="shared" si="11"/>
        <v>288478.59999999998</v>
      </c>
      <c r="AP11" s="34">
        <f t="shared" si="5"/>
        <v>3302288.8000000003</v>
      </c>
      <c r="AQ11" s="34">
        <f t="shared" si="6"/>
        <v>3461743.1999999997</v>
      </c>
      <c r="AR11" s="34">
        <f t="shared" si="7"/>
        <v>3461743.1999999997</v>
      </c>
      <c r="AS11" s="17"/>
    </row>
    <row r="12" spans="2:45" x14ac:dyDescent="0.2">
      <c r="B12" s="16"/>
      <c r="C12" s="25" t="s">
        <v>108</v>
      </c>
      <c r="D12" s="19" t="str">
        <f>'План продаж'!D17</f>
        <v>Фотография 15х21 см</v>
      </c>
      <c r="E12" s="19"/>
      <c r="F12" s="20">
        <f>'План продаж'!G21</f>
        <v>50400</v>
      </c>
      <c r="G12" s="20">
        <f>'План продаж'!H21</f>
        <v>37800</v>
      </c>
      <c r="H12" s="20">
        <f>'План продаж'!I21</f>
        <v>36000</v>
      </c>
      <c r="I12" s="20">
        <f>'План продаж'!J21</f>
        <v>50400</v>
      </c>
      <c r="J12" s="20">
        <f>'План продаж'!K21</f>
        <v>122400</v>
      </c>
      <c r="K12" s="20">
        <f>'План продаж'!L21</f>
        <v>100800</v>
      </c>
      <c r="L12" s="20">
        <f>'План продаж'!M21</f>
        <v>86400</v>
      </c>
      <c r="M12" s="20">
        <f>'План продаж'!N21</f>
        <v>108000</v>
      </c>
      <c r="N12" s="20">
        <f>'План продаж'!O21</f>
        <v>36000</v>
      </c>
      <c r="O12" s="20">
        <f>'План продаж'!P21</f>
        <v>50400</v>
      </c>
      <c r="P12" s="20">
        <f>'План продаж'!Q21</f>
        <v>50400</v>
      </c>
      <c r="Q12" s="20">
        <f>'План продаж'!R21</f>
        <v>72000</v>
      </c>
      <c r="R12" s="20">
        <f>'План продаж'!S21</f>
        <v>100800</v>
      </c>
      <c r="S12" s="20">
        <f>'План продаж'!T21</f>
        <v>50400</v>
      </c>
      <c r="T12" s="20">
        <f>'План продаж'!U21</f>
        <v>36000</v>
      </c>
      <c r="U12" s="20">
        <f>'План продаж'!V21</f>
        <v>50400</v>
      </c>
      <c r="V12" s="20">
        <f>'План продаж'!W21</f>
        <v>122400</v>
      </c>
      <c r="W12" s="20">
        <f>'План продаж'!X21</f>
        <v>100800</v>
      </c>
      <c r="X12" s="20">
        <f>'План продаж'!Y21</f>
        <v>86400</v>
      </c>
      <c r="Y12" s="20">
        <f>'План продаж'!Z21</f>
        <v>108000</v>
      </c>
      <c r="Z12" s="20">
        <f>'План продаж'!AA21</f>
        <v>36000</v>
      </c>
      <c r="AA12" s="20">
        <f>'План продаж'!AB21</f>
        <v>50400</v>
      </c>
      <c r="AB12" s="20">
        <f>'План продаж'!AC21</f>
        <v>50400</v>
      </c>
      <c r="AC12" s="20">
        <f>'План продаж'!AD21</f>
        <v>72000</v>
      </c>
      <c r="AD12" s="20">
        <f>'План продаж'!AE21</f>
        <v>100800</v>
      </c>
      <c r="AE12" s="20">
        <f>'План продаж'!AF21</f>
        <v>50400</v>
      </c>
      <c r="AF12" s="20">
        <f>'План продаж'!AG21</f>
        <v>36000</v>
      </c>
      <c r="AG12" s="20">
        <f>'План продаж'!AH21</f>
        <v>50400</v>
      </c>
      <c r="AH12" s="20">
        <f>'План продаж'!AI21</f>
        <v>122400</v>
      </c>
      <c r="AI12" s="20">
        <f>'План продаж'!AJ21</f>
        <v>100800</v>
      </c>
      <c r="AJ12" s="20">
        <f>'План продаж'!AK21</f>
        <v>86400</v>
      </c>
      <c r="AK12" s="20">
        <f>'План продаж'!AL21</f>
        <v>108000</v>
      </c>
      <c r="AL12" s="20">
        <f>'План продаж'!AM21</f>
        <v>36000</v>
      </c>
      <c r="AM12" s="20">
        <f>'План продаж'!AN21</f>
        <v>50400</v>
      </c>
      <c r="AN12" s="20">
        <f>'План продаж'!AO21</f>
        <v>50400</v>
      </c>
      <c r="AO12" s="20">
        <f>'План продаж'!AP21</f>
        <v>72000</v>
      </c>
      <c r="AP12" s="20">
        <f t="shared" si="5"/>
        <v>801000</v>
      </c>
      <c r="AQ12" s="20">
        <f t="shared" si="6"/>
        <v>864000</v>
      </c>
      <c r="AR12" s="20">
        <f t="shared" si="7"/>
        <v>864000</v>
      </c>
      <c r="AS12" s="17"/>
    </row>
    <row r="13" spans="2:45" x14ac:dyDescent="0.2">
      <c r="B13" s="16"/>
      <c r="C13" s="25" t="s">
        <v>236</v>
      </c>
      <c r="D13" s="19" t="str">
        <f>'План продаж'!D18</f>
        <v>Фотография 20х30 см</v>
      </c>
      <c r="E13" s="19"/>
      <c r="F13" s="20">
        <f>'План продаж'!G22</f>
        <v>32339.999999999996</v>
      </c>
      <c r="G13" s="20">
        <f>'План продаж'!H22</f>
        <v>24255</v>
      </c>
      <c r="H13" s="20">
        <f>'План продаж'!I22</f>
        <v>23100</v>
      </c>
      <c r="I13" s="20">
        <f>'План продаж'!J22</f>
        <v>32339.999999999996</v>
      </c>
      <c r="J13" s="20">
        <f>'План продаж'!K22</f>
        <v>78540</v>
      </c>
      <c r="K13" s="20">
        <f>'План продаж'!L22</f>
        <v>64679.999999999993</v>
      </c>
      <c r="L13" s="20">
        <f>'План продаж'!M22</f>
        <v>55440</v>
      </c>
      <c r="M13" s="20">
        <f>'План продаж'!N22</f>
        <v>69300</v>
      </c>
      <c r="N13" s="20">
        <f>'План продаж'!O22</f>
        <v>23100</v>
      </c>
      <c r="O13" s="20">
        <f>'План продаж'!P22</f>
        <v>32339.999999999996</v>
      </c>
      <c r="P13" s="20">
        <f>'План продаж'!Q22</f>
        <v>32339.999999999996</v>
      </c>
      <c r="Q13" s="20">
        <f>'План продаж'!R22</f>
        <v>46200</v>
      </c>
      <c r="R13" s="20">
        <f>'План продаж'!S22</f>
        <v>64679.999999999993</v>
      </c>
      <c r="S13" s="20">
        <f>'План продаж'!T22</f>
        <v>32339.999999999996</v>
      </c>
      <c r="T13" s="20">
        <f>'План продаж'!U22</f>
        <v>23100</v>
      </c>
      <c r="U13" s="20">
        <f>'План продаж'!V22</f>
        <v>32339.999999999996</v>
      </c>
      <c r="V13" s="20">
        <f>'План продаж'!W22</f>
        <v>78540</v>
      </c>
      <c r="W13" s="20">
        <f>'План продаж'!X22</f>
        <v>64679.999999999993</v>
      </c>
      <c r="X13" s="20">
        <f>'План продаж'!Y22</f>
        <v>55440</v>
      </c>
      <c r="Y13" s="20">
        <f>'План продаж'!Z22</f>
        <v>69300</v>
      </c>
      <c r="Z13" s="20">
        <f>'План продаж'!AA22</f>
        <v>23100</v>
      </c>
      <c r="AA13" s="20">
        <f>'План продаж'!AB22</f>
        <v>32339.999999999996</v>
      </c>
      <c r="AB13" s="20">
        <f>'План продаж'!AC22</f>
        <v>32339.999999999996</v>
      </c>
      <c r="AC13" s="20">
        <f>'План продаж'!AD22</f>
        <v>46200</v>
      </c>
      <c r="AD13" s="20">
        <f>'План продаж'!AE22</f>
        <v>64679.999999999993</v>
      </c>
      <c r="AE13" s="20">
        <f>'План продаж'!AF22</f>
        <v>32339.999999999996</v>
      </c>
      <c r="AF13" s="20">
        <f>'План продаж'!AG22</f>
        <v>23100</v>
      </c>
      <c r="AG13" s="20">
        <f>'План продаж'!AH22</f>
        <v>32339.999999999996</v>
      </c>
      <c r="AH13" s="20">
        <f>'План продаж'!AI22</f>
        <v>78540</v>
      </c>
      <c r="AI13" s="20">
        <f>'План продаж'!AJ22</f>
        <v>64679.999999999993</v>
      </c>
      <c r="AJ13" s="20">
        <f>'План продаж'!AK22</f>
        <v>55440</v>
      </c>
      <c r="AK13" s="20">
        <f>'План продаж'!AL22</f>
        <v>69300</v>
      </c>
      <c r="AL13" s="20">
        <f>'План продаж'!AM22</f>
        <v>23100</v>
      </c>
      <c r="AM13" s="20">
        <f>'План продаж'!AN22</f>
        <v>32339.999999999996</v>
      </c>
      <c r="AN13" s="20">
        <f>'План продаж'!AO22</f>
        <v>32339.999999999996</v>
      </c>
      <c r="AO13" s="20">
        <f>'План продаж'!AP22</f>
        <v>46200</v>
      </c>
      <c r="AP13" s="20">
        <f t="shared" ref="AP13:AP14" si="12">SUM(F13:Q13)</f>
        <v>513975</v>
      </c>
      <c r="AQ13" s="20">
        <f t="shared" ref="AQ13:AQ14" si="13">SUM(R13:AC13)</f>
        <v>554400</v>
      </c>
      <c r="AR13" s="20">
        <f t="shared" ref="AR13:AR14" si="14">SUM(AD13:AO13)</f>
        <v>554400</v>
      </c>
      <c r="AS13" s="17"/>
    </row>
    <row r="14" spans="2:45" x14ac:dyDescent="0.2">
      <c r="B14" s="16"/>
      <c r="C14" s="25" t="s">
        <v>109</v>
      </c>
      <c r="D14" s="19" t="str">
        <f>'План продаж'!D19</f>
        <v>Дополнительная реальность 20х30 см и 10х15 (карманное фото)</v>
      </c>
      <c r="E14" s="19"/>
      <c r="F14" s="20">
        <f>'План продаж'!G23</f>
        <v>21280</v>
      </c>
      <c r="G14" s="20">
        <f>'План продаж'!H23</f>
        <v>15959.999999999998</v>
      </c>
      <c r="H14" s="20">
        <f>'План продаж'!I23</f>
        <v>15200</v>
      </c>
      <c r="I14" s="20">
        <f>'План продаж'!J23</f>
        <v>21280</v>
      </c>
      <c r="J14" s="20">
        <f>'План продаж'!K23</f>
        <v>51680</v>
      </c>
      <c r="K14" s="20">
        <f>'План продаж'!L23</f>
        <v>42560</v>
      </c>
      <c r="L14" s="20">
        <f>'План продаж'!M23</f>
        <v>36480</v>
      </c>
      <c r="M14" s="20">
        <f>'План продаж'!N23</f>
        <v>45600</v>
      </c>
      <c r="N14" s="20">
        <f>'План продаж'!O23</f>
        <v>15200</v>
      </c>
      <c r="O14" s="20">
        <f>'План продаж'!P23</f>
        <v>21280</v>
      </c>
      <c r="P14" s="20">
        <f>'План продаж'!Q23</f>
        <v>21280</v>
      </c>
      <c r="Q14" s="20">
        <f>'План продаж'!R23</f>
        <v>30400</v>
      </c>
      <c r="R14" s="20">
        <f>'План продаж'!S23</f>
        <v>42560</v>
      </c>
      <c r="S14" s="20">
        <f>'План продаж'!T23</f>
        <v>21280</v>
      </c>
      <c r="T14" s="20">
        <f>'План продаж'!U23</f>
        <v>15200</v>
      </c>
      <c r="U14" s="20">
        <f>'План продаж'!V23</f>
        <v>21280</v>
      </c>
      <c r="V14" s="20">
        <f>'План продаж'!W23</f>
        <v>51680</v>
      </c>
      <c r="W14" s="20">
        <f>'План продаж'!X23</f>
        <v>42560</v>
      </c>
      <c r="X14" s="20">
        <f>'План продаж'!Y23</f>
        <v>36480</v>
      </c>
      <c r="Y14" s="20">
        <f>'План продаж'!Z23</f>
        <v>45600</v>
      </c>
      <c r="Z14" s="20">
        <f>'План продаж'!AA23</f>
        <v>15200</v>
      </c>
      <c r="AA14" s="20">
        <f>'План продаж'!AB23</f>
        <v>21280</v>
      </c>
      <c r="AB14" s="20">
        <f>'План продаж'!AC23</f>
        <v>21280</v>
      </c>
      <c r="AC14" s="20">
        <f>'План продаж'!AD23</f>
        <v>30400</v>
      </c>
      <c r="AD14" s="20">
        <f>'План продаж'!AE23</f>
        <v>42560</v>
      </c>
      <c r="AE14" s="20">
        <f>'План продаж'!AF23</f>
        <v>21280</v>
      </c>
      <c r="AF14" s="20">
        <f>'План продаж'!AG23</f>
        <v>15200</v>
      </c>
      <c r="AG14" s="20">
        <f>'План продаж'!AH23</f>
        <v>21280</v>
      </c>
      <c r="AH14" s="20">
        <f>'План продаж'!AI23</f>
        <v>51680</v>
      </c>
      <c r="AI14" s="20">
        <f>'План продаж'!AJ23</f>
        <v>42560</v>
      </c>
      <c r="AJ14" s="20">
        <f>'План продаж'!AK23</f>
        <v>36480</v>
      </c>
      <c r="AK14" s="20">
        <f>'План продаж'!AL23</f>
        <v>45600</v>
      </c>
      <c r="AL14" s="20">
        <f>'План продаж'!AM23</f>
        <v>15200</v>
      </c>
      <c r="AM14" s="20">
        <f>'План продаж'!AN23</f>
        <v>21280</v>
      </c>
      <c r="AN14" s="20">
        <f>'План продаж'!AO23</f>
        <v>21280</v>
      </c>
      <c r="AO14" s="20">
        <f>'План продаж'!AP23</f>
        <v>30400</v>
      </c>
      <c r="AP14" s="20">
        <f t="shared" si="12"/>
        <v>338200</v>
      </c>
      <c r="AQ14" s="20">
        <f t="shared" si="13"/>
        <v>364800</v>
      </c>
      <c r="AR14" s="20">
        <f t="shared" si="14"/>
        <v>364800</v>
      </c>
      <c r="AS14" s="17"/>
    </row>
    <row r="15" spans="2:45" x14ac:dyDescent="0.2">
      <c r="B15" s="16"/>
      <c r="C15" s="25" t="s">
        <v>110</v>
      </c>
      <c r="D15" s="19" t="s">
        <v>237</v>
      </c>
      <c r="E15" s="19"/>
      <c r="F15" s="20">
        <f>IF(Калькулятор!$E$8=1,Калькулятор!$D$17*'План продаж'!$E$6,0)</f>
        <v>81476</v>
      </c>
      <c r="G15" s="20">
        <f>IF(Калькулятор!$E$8=1,Калькулятор!$D$17*'План продаж'!$E$6,0)</f>
        <v>81476</v>
      </c>
      <c r="H15" s="20">
        <f>IF(Калькулятор!$E$8=1,Калькулятор!$D$17*'План продаж'!$E$6,0)</f>
        <v>81476</v>
      </c>
      <c r="I15" s="20">
        <f>IF(Калькулятор!$E$8=1,Калькулятор!$D$17*'План продаж'!$E$6,0)</f>
        <v>81476</v>
      </c>
      <c r="J15" s="20">
        <f>IF(Калькулятор!$E$8=1,Калькулятор!$D$17*'План продаж'!$E$6,0)</f>
        <v>81476</v>
      </c>
      <c r="K15" s="20">
        <f>IF(Калькулятор!$E$8=1,Калькулятор!$D$17*'План продаж'!$E$6,0)</f>
        <v>81476</v>
      </c>
      <c r="L15" s="20">
        <f>IF(Калькулятор!$E$8=1,Калькулятор!$D$17*'План продаж'!$E$6,0)</f>
        <v>81476</v>
      </c>
      <c r="M15" s="20">
        <f>IF(Калькулятор!$E$8=1,Калькулятор!$D$17*'План продаж'!$E$6,0)</f>
        <v>81476</v>
      </c>
      <c r="N15" s="20">
        <f>IF(Калькулятор!$E$8=1,Калькулятор!$D$17*'План продаж'!$E$6,0)</f>
        <v>81476</v>
      </c>
      <c r="O15" s="20">
        <f>IF(Калькулятор!$E$8=1,Калькулятор!$D$17*'План продаж'!$E$6,0)</f>
        <v>81476</v>
      </c>
      <c r="P15" s="20">
        <f>IF(Калькулятор!$E$8=1,Калькулятор!$D$17*'План продаж'!$E$6,0)</f>
        <v>81476</v>
      </c>
      <c r="Q15" s="20">
        <f>IF(Калькулятор!$E$8=1,Калькулятор!$D$17*'План продаж'!$E$6,0)</f>
        <v>81476</v>
      </c>
      <c r="R15" s="20">
        <f>IF(Калькулятор!$E$8=1,Калькулятор!$D$17*'План продаж'!$E$6,0)</f>
        <v>81476</v>
      </c>
      <c r="S15" s="20">
        <f>IF(Калькулятор!$E$8=1,Калькулятор!$D$17*'План продаж'!$E$6,0)</f>
        <v>81476</v>
      </c>
      <c r="T15" s="20">
        <f>IF(Калькулятор!$E$8=1,Калькулятор!$D$17*'План продаж'!$E$6,0)</f>
        <v>81476</v>
      </c>
      <c r="U15" s="20">
        <f>IF(Калькулятор!$E$8=1,Калькулятор!$D$17*'План продаж'!$E$6,0)</f>
        <v>81476</v>
      </c>
      <c r="V15" s="20">
        <f>IF(Калькулятор!$E$8=1,Калькулятор!$D$17*'План продаж'!$E$6,0)</f>
        <v>81476</v>
      </c>
      <c r="W15" s="20">
        <f>IF(Калькулятор!$E$8=1,Калькулятор!$D$17*'План продаж'!$E$6,0)</f>
        <v>81476</v>
      </c>
      <c r="X15" s="20">
        <f>IF(Калькулятор!$E$8=1,Калькулятор!$D$17*'План продаж'!$E$6,0)</f>
        <v>81476</v>
      </c>
      <c r="Y15" s="20">
        <f>IF(Калькулятор!$E$8=1,Калькулятор!$D$17*'План продаж'!$E$6,0)</f>
        <v>81476</v>
      </c>
      <c r="Z15" s="20">
        <f>IF(Калькулятор!$E$8=1,Калькулятор!$D$17*'План продаж'!$E$6,0)</f>
        <v>81476</v>
      </c>
      <c r="AA15" s="20">
        <f>IF(Калькулятор!$E$8=1,Калькулятор!$D$17*'План продаж'!$E$6,0)</f>
        <v>81476</v>
      </c>
      <c r="AB15" s="20">
        <f>IF(Калькулятор!$E$8=1,Калькулятор!$D$17*'План продаж'!$E$6,0)</f>
        <v>81476</v>
      </c>
      <c r="AC15" s="20">
        <f>IF(Калькулятор!$E$8=1,Калькулятор!$D$17*'План продаж'!$E$6,0)</f>
        <v>81476</v>
      </c>
      <c r="AD15" s="20">
        <f>IF(Калькулятор!$E$8=1,Калькулятор!$D$17*'План продаж'!$E$6,0)</f>
        <v>81476</v>
      </c>
      <c r="AE15" s="20">
        <f>IF(Калькулятор!$E$8=1,Калькулятор!$D$17*'План продаж'!$E$6,0)</f>
        <v>81476</v>
      </c>
      <c r="AF15" s="20">
        <f>IF(Калькулятор!$E$8=1,Калькулятор!$D$17*'План продаж'!$E$6,0)</f>
        <v>81476</v>
      </c>
      <c r="AG15" s="20">
        <f>IF(Калькулятор!$E$8=1,Калькулятор!$D$17*'План продаж'!$E$6,0)</f>
        <v>81476</v>
      </c>
      <c r="AH15" s="20">
        <f>IF(Калькулятор!$E$8=1,Калькулятор!$D$17*'План продаж'!$E$6,0)</f>
        <v>81476</v>
      </c>
      <c r="AI15" s="20">
        <f>IF(Калькулятор!$E$8=1,Калькулятор!$D$17*'План продаж'!$E$6,0)</f>
        <v>81476</v>
      </c>
      <c r="AJ15" s="20">
        <f>IF(Калькулятор!$E$8=1,Калькулятор!$D$17*'План продаж'!$E$6,0)</f>
        <v>81476</v>
      </c>
      <c r="AK15" s="20">
        <f>IF(Калькулятор!$E$8=1,Калькулятор!$D$17*'План продаж'!$E$6,0)</f>
        <v>81476</v>
      </c>
      <c r="AL15" s="20">
        <f>IF(Калькулятор!$E$8=1,Калькулятор!$D$17*'План продаж'!$E$6,0)</f>
        <v>81476</v>
      </c>
      <c r="AM15" s="20">
        <f>IF(Калькулятор!$E$8=1,Калькулятор!$D$17*'План продаж'!$E$6,0)</f>
        <v>81476</v>
      </c>
      <c r="AN15" s="20">
        <f>IF(Калькулятор!$E$8=1,Калькулятор!$D$17*'План продаж'!$E$6,0)</f>
        <v>81476</v>
      </c>
      <c r="AO15" s="20">
        <f>IF(Калькулятор!$E$8=1,Калькулятор!$D$17*'План продаж'!$E$6,0)</f>
        <v>81476</v>
      </c>
      <c r="AP15" s="20">
        <f t="shared" ref="AP15" si="15">SUM(F15:Q15)</f>
        <v>977712</v>
      </c>
      <c r="AQ15" s="20">
        <f t="shared" ref="AQ15" si="16">SUM(R15:AC15)</f>
        <v>977712</v>
      </c>
      <c r="AR15" s="20">
        <f t="shared" ref="AR15" si="17">SUM(AD15:AO15)</f>
        <v>977712</v>
      </c>
      <c r="AS15" s="17"/>
    </row>
    <row r="16" spans="2:45" x14ac:dyDescent="0.2">
      <c r="B16" s="16"/>
      <c r="C16" s="25" t="s">
        <v>111</v>
      </c>
      <c r="D16" s="19" t="s">
        <v>127</v>
      </c>
      <c r="E16" s="19"/>
      <c r="F16" s="20">
        <f>IF(Калькулятор!$E$8=1,Персонал!$G$8,IF(Калькулятор!$E$8=2,Персонал!$G$18,Персонал!$G$28))</f>
        <v>12130</v>
      </c>
      <c r="G16" s="20">
        <f>IF(Калькулятор!$E$8=1,Персонал!$G$8,IF(Калькулятор!$E$8=2,Персонал!$G$18,Персонал!$G$28))</f>
        <v>12130</v>
      </c>
      <c r="H16" s="20">
        <f>IF(Калькулятор!$E$8=1,Персонал!$G$8,IF(Калькулятор!$E$8=2,Персонал!$G$18,Персонал!$G$28))</f>
        <v>12130</v>
      </c>
      <c r="I16" s="20">
        <f>IF(Калькулятор!$E$8=1,Персонал!$G$8,IF(Калькулятор!$E$8=2,Персонал!$G$18,Персонал!$G$28))</f>
        <v>12130</v>
      </c>
      <c r="J16" s="20">
        <f>IF(Калькулятор!$E$8=1,Персонал!$G$8,IF(Калькулятор!$E$8=2,Персонал!$G$18,Персонал!$G$28))</f>
        <v>12130</v>
      </c>
      <c r="K16" s="20">
        <f>IF(Калькулятор!$E$8=1,Персонал!$G$8,IF(Калькулятор!$E$8=2,Персонал!$G$18,Персонал!$G$28))</f>
        <v>12130</v>
      </c>
      <c r="L16" s="20">
        <f>IF(Калькулятор!$E$8=1,Персонал!$G$8,IF(Калькулятор!$E$8=2,Персонал!$G$18,Персонал!$G$28))</f>
        <v>12130</v>
      </c>
      <c r="M16" s="20">
        <f>IF(Калькулятор!$E$8=1,Персонал!$G$8,IF(Калькулятор!$E$8=2,Персонал!$G$18,Персонал!$G$28))</f>
        <v>12130</v>
      </c>
      <c r="N16" s="20">
        <f>IF(Калькулятор!$E$8=1,Персонал!$G$8,IF(Калькулятор!$E$8=2,Персонал!$G$18,Персонал!$G$28))</f>
        <v>12130</v>
      </c>
      <c r="O16" s="20">
        <f>IF(Калькулятор!$E$8=1,Персонал!$G$8,IF(Калькулятор!$E$8=2,Персонал!$G$18,Персонал!$G$28))</f>
        <v>12130</v>
      </c>
      <c r="P16" s="20">
        <f>IF(Калькулятор!$E$8=1,Персонал!$G$8,IF(Калькулятор!$E$8=2,Персонал!$G$18,Персонал!$G$28))</f>
        <v>12130</v>
      </c>
      <c r="Q16" s="20">
        <f>IF(Калькулятор!$E$8=1,Персонал!$G$8,IF(Калькулятор!$E$8=2,Персонал!$G$18,Персонал!$G$28))</f>
        <v>12130</v>
      </c>
      <c r="R16" s="20">
        <f>IF(Калькулятор!$E$8=1,Персонал!$G$8,IF(Калькулятор!$E$8=2,Персонал!$G$18,Персонал!$G$28))</f>
        <v>12130</v>
      </c>
      <c r="S16" s="20">
        <f>IF(Калькулятор!$E$8=1,Персонал!$G$8,IF(Калькулятор!$E$8=2,Персонал!$G$18,Персонал!$G$28))</f>
        <v>12130</v>
      </c>
      <c r="T16" s="20">
        <f>IF(Калькулятор!$E$8=1,Персонал!$G$8,IF(Калькулятор!$E$8=2,Персонал!$G$18,Персонал!$G$28))</f>
        <v>12130</v>
      </c>
      <c r="U16" s="20">
        <f>IF(Калькулятор!$E$8=1,Персонал!$G$8,IF(Калькулятор!$E$8=2,Персонал!$G$18,Персонал!$G$28))</f>
        <v>12130</v>
      </c>
      <c r="V16" s="20">
        <f>IF(Калькулятор!$E$8=1,Персонал!$G$8,IF(Калькулятор!$E$8=2,Персонал!$G$18,Персонал!$G$28))</f>
        <v>12130</v>
      </c>
      <c r="W16" s="20">
        <f>IF(Калькулятор!$E$8=1,Персонал!$G$8,IF(Калькулятор!$E$8=2,Персонал!$G$18,Персонал!$G$28))</f>
        <v>12130</v>
      </c>
      <c r="X16" s="20">
        <f>IF(Калькулятор!$E$8=1,Персонал!$G$8,IF(Калькулятор!$E$8=2,Персонал!$G$18,Персонал!$G$28))</f>
        <v>12130</v>
      </c>
      <c r="Y16" s="20">
        <f>IF(Калькулятор!$E$8=1,Персонал!$G$8,IF(Калькулятор!$E$8=2,Персонал!$G$18,Персонал!$G$28))</f>
        <v>12130</v>
      </c>
      <c r="Z16" s="20">
        <f>IF(Калькулятор!$E$8=1,Персонал!$G$8,IF(Калькулятор!$E$8=2,Персонал!$G$18,Персонал!$G$28))</f>
        <v>12130</v>
      </c>
      <c r="AA16" s="20">
        <f>IF(Калькулятор!$E$8=1,Персонал!$G$8,IF(Калькулятор!$E$8=2,Персонал!$G$18,Персонал!$G$28))</f>
        <v>12130</v>
      </c>
      <c r="AB16" s="20">
        <f>IF(Калькулятор!$E$8=1,Персонал!$G$8,IF(Калькулятор!$E$8=2,Персонал!$G$18,Персонал!$G$28))</f>
        <v>12130</v>
      </c>
      <c r="AC16" s="20">
        <f>IF(Калькулятор!$E$8=1,Персонал!$G$8,IF(Калькулятор!$E$8=2,Персонал!$G$18,Персонал!$G$28))</f>
        <v>12130</v>
      </c>
      <c r="AD16" s="20">
        <f>IF(Калькулятор!$E$8=1,Персонал!$G$8,IF(Калькулятор!$E$8=2,Персонал!$G$18,Персонал!$G$28))</f>
        <v>12130</v>
      </c>
      <c r="AE16" s="20">
        <f>IF(Калькулятор!$E$8=1,Персонал!$G$8,IF(Калькулятор!$E$8=2,Персонал!$G$18,Персонал!$G$28))</f>
        <v>12130</v>
      </c>
      <c r="AF16" s="20">
        <f>IF(Калькулятор!$E$8=1,Персонал!$G$8,IF(Калькулятор!$E$8=2,Персонал!$G$18,Персонал!$G$28))</f>
        <v>12130</v>
      </c>
      <c r="AG16" s="20">
        <f>IF(Калькулятор!$E$8=1,Персонал!$G$8,IF(Калькулятор!$E$8=2,Персонал!$G$18,Персонал!$G$28))</f>
        <v>12130</v>
      </c>
      <c r="AH16" s="20">
        <f>IF(Калькулятор!$E$8=1,Персонал!$G$8,IF(Калькулятор!$E$8=2,Персонал!$G$18,Персонал!$G$28))</f>
        <v>12130</v>
      </c>
      <c r="AI16" s="20">
        <f>IF(Калькулятор!$E$8=1,Персонал!$G$8,IF(Калькулятор!$E$8=2,Персонал!$G$18,Персонал!$G$28))</f>
        <v>12130</v>
      </c>
      <c r="AJ16" s="20">
        <f>IF(Калькулятор!$E$8=1,Персонал!$G$8,IF(Калькулятор!$E$8=2,Персонал!$G$18,Персонал!$G$28))</f>
        <v>12130</v>
      </c>
      <c r="AK16" s="20">
        <f>IF(Калькулятор!$E$8=1,Персонал!$G$8,IF(Калькулятор!$E$8=2,Персонал!$G$18,Персонал!$G$28))</f>
        <v>12130</v>
      </c>
      <c r="AL16" s="20">
        <f>IF(Калькулятор!$E$8=1,Персонал!$G$8,IF(Калькулятор!$E$8=2,Персонал!$G$18,Персонал!$G$28))</f>
        <v>12130</v>
      </c>
      <c r="AM16" s="20">
        <f>IF(Калькулятор!$E$8=1,Персонал!$G$8,IF(Калькулятор!$E$8=2,Персонал!$G$18,Персонал!$G$28))</f>
        <v>12130</v>
      </c>
      <c r="AN16" s="20">
        <f>IF(Калькулятор!$E$8=1,Персонал!$G$8,IF(Калькулятор!$E$8=2,Персонал!$G$18,Персонал!$G$28))</f>
        <v>12130</v>
      </c>
      <c r="AO16" s="20">
        <f>IF(Калькулятор!$E$8=1,Персонал!$G$8,IF(Калькулятор!$E$8=2,Персонал!$G$18,Персонал!$G$28))</f>
        <v>12130</v>
      </c>
      <c r="AP16" s="20">
        <f t="shared" ref="AP16" si="18">SUM(F16:Q16)</f>
        <v>145560</v>
      </c>
      <c r="AQ16" s="20">
        <f t="shared" ref="AQ16" si="19">SUM(R16:AC16)</f>
        <v>145560</v>
      </c>
      <c r="AR16" s="20">
        <f t="shared" ref="AR16" si="20">SUM(AD16:AO16)</f>
        <v>145560</v>
      </c>
      <c r="AS16" s="17"/>
    </row>
    <row r="17" spans="2:45" x14ac:dyDescent="0.2">
      <c r="B17" s="16"/>
      <c r="C17" s="25" t="s">
        <v>112</v>
      </c>
      <c r="D17" s="19" t="s">
        <v>128</v>
      </c>
      <c r="E17" s="19"/>
      <c r="F17" s="20">
        <f>IF(Калькулятор!$E$8=1,'План продаж'!G20*Персонал!$H$7,IF(Калькулятор!$E$8=2,'План продаж'!G20*(Персонал!$H$16+Персонал!$H$17),'План продаж'!G20*(Персонал!$H$26+Персонал!$H$27)))</f>
        <v>18110.399999999998</v>
      </c>
      <c r="G17" s="20">
        <f>IF(Калькулятор!$E$8=1,'План продаж'!H20*Персонал!$H$7,IF(Калькулятор!$E$8=2,'План продаж'!H20*(Персонал!$H$16+Персонал!$H$17),'План продаж'!H20*(Персонал!$H$26+Персонал!$H$27)))</f>
        <v>13582.8</v>
      </c>
      <c r="H17" s="20">
        <f>IF(Калькулятор!$E$8=1,'План продаж'!I20*Персонал!$H$7,IF(Калькулятор!$E$8=2,'План продаж'!I20*(Персонал!$H$16+Персонал!$H$17),'План продаж'!I20*(Персонал!$H$26+Персонал!$H$27)))</f>
        <v>12936</v>
      </c>
      <c r="I17" s="20">
        <f>IF(Калькулятор!$E$8=1,'План продаж'!J20*Персонал!$H$7,IF(Калькулятор!$E$8=2,'План продаж'!J20*(Персонал!$H$16+Персонал!$H$17),'План продаж'!J20*(Персонал!$H$26+Персонал!$H$27)))</f>
        <v>18110.399999999998</v>
      </c>
      <c r="J17" s="20">
        <f>IF(Калькулятор!$E$8=1,'План продаж'!K20*Персонал!$H$7,IF(Калькулятор!$E$8=2,'План продаж'!K20*(Персонал!$H$16+Персонал!$H$17),'План продаж'!K20*(Персонал!$H$26+Персонал!$H$27)))</f>
        <v>43982.400000000001</v>
      </c>
      <c r="K17" s="20">
        <f>IF(Калькулятор!$E$8=1,'План продаж'!L20*Персонал!$H$7,IF(Калькулятор!$E$8=2,'План продаж'!L20*(Персонал!$H$16+Персонал!$H$17),'План продаж'!L20*(Персонал!$H$26+Персонал!$H$27)))</f>
        <v>36220.799999999996</v>
      </c>
      <c r="L17" s="20">
        <f>IF(Калькулятор!$E$8=1,'План продаж'!M20*Персонал!$H$7,IF(Калькулятор!$E$8=2,'План продаж'!M20*(Персонал!$H$16+Персонал!$H$17),'План продаж'!M20*(Персонал!$H$26+Персонал!$H$27)))</f>
        <v>31046.399999999998</v>
      </c>
      <c r="M17" s="20">
        <f>IF(Калькулятор!$E$8=1,'План продаж'!N20*Персонал!$H$7,IF(Калькулятор!$E$8=2,'План продаж'!N20*(Персонал!$H$16+Персонал!$H$17),'План продаж'!N20*(Персонал!$H$26+Персонал!$H$27)))</f>
        <v>38808</v>
      </c>
      <c r="N17" s="20">
        <f>IF(Калькулятор!$E$8=1,'План продаж'!O20*Персонал!$H$7,IF(Калькулятор!$E$8=2,'План продаж'!O20*(Персонал!$H$16+Персонал!$H$17),'План продаж'!O20*(Персонал!$H$26+Персонал!$H$27)))</f>
        <v>12936</v>
      </c>
      <c r="O17" s="20">
        <f>IF(Калькулятор!$E$8=1,'План продаж'!P20*Персонал!$H$7,IF(Калькулятор!$E$8=2,'План продаж'!P20*(Персонал!$H$16+Персонал!$H$17),'План продаж'!P20*(Персонал!$H$26+Персонал!$H$27)))</f>
        <v>18110.399999999998</v>
      </c>
      <c r="P17" s="20">
        <f>IF(Калькулятор!$E$8=1,'План продаж'!Q20*Персонал!$H$7,IF(Калькулятор!$E$8=2,'План продаж'!Q20*(Персонал!$H$16+Персонал!$H$17),'План продаж'!Q20*(Персонал!$H$26+Персонал!$H$27)))</f>
        <v>18110.399999999998</v>
      </c>
      <c r="Q17" s="20">
        <f>IF(Калькулятор!$E$8=1,'План продаж'!R20*Персонал!$H$7,IF(Калькулятор!$E$8=2,'План продаж'!R20*(Персонал!$H$16+Персонал!$H$17),'План продаж'!R20*(Персонал!$H$26+Персонал!$H$27)))</f>
        <v>25872</v>
      </c>
      <c r="R17" s="20">
        <f>IF(Калькулятор!$E$8=1,'План продаж'!S20*Персонал!$H$7,IF(Калькулятор!$E$8=2,'План продаж'!S20*(Персонал!$H$16+Персонал!$H$17),'План продаж'!S20*(Персонал!$H$26+Персонал!$H$27)))</f>
        <v>36220.799999999996</v>
      </c>
      <c r="S17" s="20">
        <f>IF(Калькулятор!$E$8=1,'План продаж'!T20*Персонал!$H$7,IF(Калькулятор!$E$8=2,'План продаж'!T20*(Персонал!$H$16+Персонал!$H$17),'План продаж'!T20*(Персонал!$H$26+Персонал!$H$27)))</f>
        <v>18110.399999999998</v>
      </c>
      <c r="T17" s="20">
        <f>IF(Калькулятор!$E$8=1,'План продаж'!U20*Персонал!$H$7,IF(Калькулятор!$E$8=2,'План продаж'!U20*(Персонал!$H$16+Персонал!$H$17),'План продаж'!U20*(Персонал!$H$26+Персонал!$H$27)))</f>
        <v>12936</v>
      </c>
      <c r="U17" s="20">
        <f>IF(Калькулятор!$E$8=1,'План продаж'!V20*Персонал!$H$7,IF(Калькулятор!$E$8=2,'План продаж'!V20*(Персонал!$H$16+Персонал!$H$17),'План продаж'!V20*(Персонал!$H$26+Персонал!$H$27)))</f>
        <v>18110.399999999998</v>
      </c>
      <c r="V17" s="20">
        <f>IF(Калькулятор!$E$8=1,'План продаж'!W20*Персонал!$H$7,IF(Калькулятор!$E$8=2,'План продаж'!W20*(Персонал!$H$16+Персонал!$H$17),'План продаж'!W20*(Персонал!$H$26+Персонал!$H$27)))</f>
        <v>43982.400000000001</v>
      </c>
      <c r="W17" s="20">
        <f>IF(Калькулятор!$E$8=1,'План продаж'!X20*Персонал!$H$7,IF(Калькулятор!$E$8=2,'План продаж'!X20*(Персонал!$H$16+Персонал!$H$17),'План продаж'!X20*(Персонал!$H$26+Персонал!$H$27)))</f>
        <v>36220.799999999996</v>
      </c>
      <c r="X17" s="20">
        <f>IF(Калькулятор!$E$8=1,'План продаж'!Y20*Персонал!$H$7,IF(Калькулятор!$E$8=2,'План продаж'!Y20*(Персонал!$H$16+Персонал!$H$17),'План продаж'!Y20*(Персонал!$H$26+Персонал!$H$27)))</f>
        <v>31046.399999999998</v>
      </c>
      <c r="Y17" s="20">
        <f>IF(Калькулятор!$E$8=1,'План продаж'!Z20*Персонал!$H$7,IF(Калькулятор!$E$8=2,'План продаж'!Z20*(Персонал!$H$16+Персонал!$H$17),'План продаж'!Z20*(Персонал!$H$26+Персонал!$H$27)))</f>
        <v>38808</v>
      </c>
      <c r="Z17" s="20">
        <f>IF(Калькулятор!$E$8=1,'План продаж'!AA20*Персонал!$H$7,IF(Калькулятор!$E$8=2,'План продаж'!AA20*(Персонал!$H$16+Персонал!$H$17),'План продаж'!AA20*(Персонал!$H$26+Персонал!$H$27)))</f>
        <v>12936</v>
      </c>
      <c r="AA17" s="20">
        <f>IF(Калькулятор!$E$8=1,'План продаж'!AB20*Персонал!$H$7,IF(Калькулятор!$E$8=2,'План продаж'!AB20*(Персонал!$H$16+Персонал!$H$17),'План продаж'!AB20*(Персонал!$H$26+Персонал!$H$27)))</f>
        <v>18110.399999999998</v>
      </c>
      <c r="AB17" s="20">
        <f>IF(Калькулятор!$E$8=1,'План продаж'!AC20*Персонал!$H$7,IF(Калькулятор!$E$8=2,'План продаж'!AC20*(Персонал!$H$16+Персонал!$H$17),'План продаж'!AC20*(Персонал!$H$26+Персонал!$H$27)))</f>
        <v>18110.399999999998</v>
      </c>
      <c r="AC17" s="20">
        <f>IF(Калькулятор!$E$8=1,'План продаж'!AD20*Персонал!$H$7,IF(Калькулятор!$E$8=2,'План продаж'!AD20*(Персонал!$H$16+Персонал!$H$17),'План продаж'!AD20*(Персонал!$H$26+Персонал!$H$27)))</f>
        <v>25872</v>
      </c>
      <c r="AD17" s="20">
        <f>IF(Калькулятор!$E$8=1,'План продаж'!AE20*Персонал!$H$7,IF(Калькулятор!$E$8=2,'План продаж'!AE20*(Персонал!$H$16+Персонал!$H$17),'План продаж'!AE20*(Персонал!$H$26+Персонал!$H$27)))</f>
        <v>36220.799999999996</v>
      </c>
      <c r="AE17" s="20">
        <f>IF(Калькулятор!$E$8=1,'План продаж'!AF20*Персонал!$H$7,IF(Калькулятор!$E$8=2,'План продаж'!AF20*(Персонал!$H$16+Персонал!$H$17),'План продаж'!AF20*(Персонал!$H$26+Персонал!$H$27)))</f>
        <v>18110.399999999998</v>
      </c>
      <c r="AF17" s="20">
        <f>IF(Калькулятор!$E$8=1,'План продаж'!AG20*Персонал!$H$7,IF(Калькулятор!$E$8=2,'План продаж'!AG20*(Персонал!$H$16+Персонал!$H$17),'План продаж'!AG20*(Персонал!$H$26+Персонал!$H$27)))</f>
        <v>12936</v>
      </c>
      <c r="AG17" s="20">
        <f>IF(Калькулятор!$E$8=1,'План продаж'!AH20*Персонал!$H$7,IF(Калькулятор!$E$8=2,'План продаж'!AH20*(Персонал!$H$16+Персонал!$H$17),'План продаж'!AH20*(Персонал!$H$26+Персонал!$H$27)))</f>
        <v>18110.399999999998</v>
      </c>
      <c r="AH17" s="20">
        <f>IF(Калькулятор!$E$8=1,'План продаж'!AI20*Персонал!$H$7,IF(Калькулятор!$E$8=2,'План продаж'!AI20*(Персонал!$H$16+Персонал!$H$17),'План продаж'!AI20*(Персонал!$H$26+Персонал!$H$27)))</f>
        <v>43982.400000000001</v>
      </c>
      <c r="AI17" s="20">
        <f>IF(Калькулятор!$E$8=1,'План продаж'!AJ20*Персонал!$H$7,IF(Калькулятор!$E$8=2,'План продаж'!AJ20*(Персонал!$H$16+Персонал!$H$17),'План продаж'!AJ20*(Персонал!$H$26+Персонал!$H$27)))</f>
        <v>36220.799999999996</v>
      </c>
      <c r="AJ17" s="20">
        <f>IF(Калькулятор!$E$8=1,'План продаж'!AK20*Персонал!$H$7,IF(Калькулятор!$E$8=2,'План продаж'!AK20*(Персонал!$H$16+Персонал!$H$17),'План продаж'!AK20*(Персонал!$H$26+Персонал!$H$27)))</f>
        <v>31046.399999999998</v>
      </c>
      <c r="AK17" s="20">
        <f>IF(Калькулятор!$E$8=1,'План продаж'!AL20*Персонал!$H$7,IF(Калькулятор!$E$8=2,'План продаж'!AL20*(Персонал!$H$16+Персонал!$H$17),'План продаж'!AL20*(Персонал!$H$26+Персонал!$H$27)))</f>
        <v>38808</v>
      </c>
      <c r="AL17" s="20">
        <f>IF(Калькулятор!$E$8=1,'План продаж'!AM20*Персонал!$H$7,IF(Калькулятор!$E$8=2,'План продаж'!AM20*(Персонал!$H$16+Персонал!$H$17),'План продаж'!AM20*(Персонал!$H$26+Персонал!$H$27)))</f>
        <v>12936</v>
      </c>
      <c r="AM17" s="20">
        <f>IF(Калькулятор!$E$8=1,'План продаж'!AN20*Персонал!$H$7,IF(Калькулятор!$E$8=2,'План продаж'!AN20*(Персонал!$H$16+Персонал!$H$17),'План продаж'!AN20*(Персонал!$H$26+Персонал!$H$27)))</f>
        <v>18110.399999999998</v>
      </c>
      <c r="AN17" s="20">
        <f>IF(Калькулятор!$E$8=1,'План продаж'!AO20*Персонал!$H$7,IF(Калькулятор!$E$8=2,'План продаж'!AO20*(Персонал!$H$16+Персонал!$H$17),'План продаж'!AO20*(Персонал!$H$26+Персонал!$H$27)))</f>
        <v>18110.399999999998</v>
      </c>
      <c r="AO17" s="20">
        <f>IF(Калькулятор!$E$8=1,'План продаж'!AP20*Персонал!$H$7,IF(Калькулятор!$E$8=2,'План продаж'!AP20*(Персонал!$H$16+Персонал!$H$17),'План продаж'!AP20*(Персонал!$H$26+Персонал!$H$27)))</f>
        <v>25872</v>
      </c>
      <c r="AP17" s="20">
        <f t="shared" ref="AP17" si="21">SUM(F17:Q17)</f>
        <v>287826</v>
      </c>
      <c r="AQ17" s="20">
        <f t="shared" ref="AQ17" si="22">SUM(R17:AC17)</f>
        <v>310464</v>
      </c>
      <c r="AR17" s="20">
        <f t="shared" ref="AR17" si="23">SUM(AD17:AO17)</f>
        <v>310464</v>
      </c>
      <c r="AS17" s="17"/>
    </row>
    <row r="18" spans="2:45" x14ac:dyDescent="0.2">
      <c r="B18" s="16"/>
      <c r="C18" s="25" t="s">
        <v>113</v>
      </c>
      <c r="D18" s="19" t="s">
        <v>115</v>
      </c>
      <c r="E18" s="19"/>
      <c r="F18" s="20">
        <f>IF(Калькулятор!$D$14&gt;0,((F16+F17)*Калькулятор!$D$14),(Служебная!B26*Калькулятор!$D$15*30%))</f>
        <v>9072.119999999999</v>
      </c>
      <c r="G18" s="20">
        <f>IF(Калькулятор!$D$14&gt;0,((G16+G17)*Калькулятор!$D$14),(Служебная!C26*Калькулятор!$D$15*30%))</f>
        <v>7713.8399999999992</v>
      </c>
      <c r="H18" s="20">
        <f>IF(Калькулятор!$D$14&gt;0,((H16+H17)*Калькулятор!$D$14),(Служебная!D26*Калькулятор!$D$15*30%))</f>
        <v>7519.7999999999993</v>
      </c>
      <c r="I18" s="20">
        <f>IF(Калькулятор!$D$14&gt;0,((I16+I17)*Калькулятор!$D$14),(Служебная!E26*Калькулятор!$D$15*30%))</f>
        <v>9072.119999999999</v>
      </c>
      <c r="J18" s="20">
        <f>IF(Калькулятор!$D$14&gt;0,((J16+J17)*Калькулятор!$D$14),(Служебная!F26*Калькулятор!$D$15*30%))</f>
        <v>16833.72</v>
      </c>
      <c r="K18" s="20">
        <f>IF(Калькулятор!$D$14&gt;0,((K16+K17)*Калькулятор!$D$14),(Служебная!G26*Калькулятор!$D$15*30%))</f>
        <v>14505.239999999998</v>
      </c>
      <c r="L18" s="20">
        <f>IF(Калькулятор!$D$14&gt;0,((L16+L17)*Калькулятор!$D$14),(Служебная!H26*Калькулятор!$D$15*30%))</f>
        <v>12952.919999999998</v>
      </c>
      <c r="M18" s="20">
        <f>IF(Калькулятор!$D$14&gt;0,((M16+M17)*Калькулятор!$D$14),(Служебная!I26*Калькулятор!$D$15*30%))</f>
        <v>15281.4</v>
      </c>
      <c r="N18" s="20">
        <f>IF(Калькулятор!$D$14&gt;0,((N16+N17)*Калькулятор!$D$14),(Служебная!J26*Калькулятор!$D$15*30%))</f>
        <v>7519.7999999999993</v>
      </c>
      <c r="O18" s="20">
        <f>IF(Калькулятор!$D$14&gt;0,((O16+O17)*Калькулятор!$D$14),(Служебная!K26*Калькулятор!$D$15*30%))</f>
        <v>9072.119999999999</v>
      </c>
      <c r="P18" s="20">
        <f>IF(Калькулятор!$D$14&gt;0,((P16+P17)*Калькулятор!$D$14),(Служебная!L26*Калькулятор!$D$15*30%))</f>
        <v>9072.119999999999</v>
      </c>
      <c r="Q18" s="20">
        <f>IF(Калькулятор!$D$14&gt;0,((Q16+Q17)*Калькулятор!$D$14),(Служебная!M26*Калькулятор!$D$15*30%))</f>
        <v>11400.6</v>
      </c>
      <c r="R18" s="20">
        <f>IF(Калькулятор!$D$14&gt;0,((R16+R17)*Калькулятор!$D$14),(Служебная!N26*Калькулятор!$D$15*30%))</f>
        <v>14505.239999999998</v>
      </c>
      <c r="S18" s="20">
        <f>IF(Калькулятор!$D$14&gt;0,((S16+S17)*Калькулятор!$D$14),(Служебная!O26*Калькулятор!$D$15*30%))</f>
        <v>9072.119999999999</v>
      </c>
      <c r="T18" s="20">
        <f>IF(Калькулятор!$D$14&gt;0,((T16+T17)*Калькулятор!$D$14),(Служебная!P26*Калькулятор!$D$15*30%))</f>
        <v>7519.7999999999993</v>
      </c>
      <c r="U18" s="20">
        <f>IF(Калькулятор!$D$14&gt;0,((U16+U17)*Калькулятор!$D$14),(Служебная!Q26*Калькулятор!$D$15*30%))</f>
        <v>9072.119999999999</v>
      </c>
      <c r="V18" s="20">
        <f>IF(Калькулятор!$D$14&gt;0,((V16+V17)*Калькулятор!$D$14),(Служебная!R26*Калькулятор!$D$15*30%))</f>
        <v>16833.72</v>
      </c>
      <c r="W18" s="20">
        <f>IF(Калькулятор!$D$14&gt;0,((W16+W17)*Калькулятор!$D$14),(Служебная!S26*Калькулятор!$D$15*30%))</f>
        <v>14505.239999999998</v>
      </c>
      <c r="X18" s="20">
        <f>IF(Калькулятор!$D$14&gt;0,((X16+X17)*Калькулятор!$D$14),(Служебная!T26*Калькулятор!$D$15*30%))</f>
        <v>12952.919999999998</v>
      </c>
      <c r="Y18" s="20">
        <f>IF(Калькулятор!$D$14&gt;0,((Y16+Y17)*Калькулятор!$D$14),(Служебная!U26*Калькулятор!$D$15*30%))</f>
        <v>15281.4</v>
      </c>
      <c r="Z18" s="20">
        <f>IF(Калькулятор!$D$14&gt;0,((Z16+Z17)*Калькулятор!$D$14),(Служебная!V26*Калькулятор!$D$15*30%))</f>
        <v>7519.7999999999993</v>
      </c>
      <c r="AA18" s="20">
        <f>IF(Калькулятор!$D$14&gt;0,((AA16+AA17)*Калькулятор!$D$14),(Служебная!W26*Калькулятор!$D$15*30%))</f>
        <v>9072.119999999999</v>
      </c>
      <c r="AB18" s="20">
        <f>IF(Калькулятор!$D$14&gt;0,((AB16+AB17)*Калькулятор!$D$14),(Служебная!X26*Калькулятор!$D$15*30%))</f>
        <v>9072.119999999999</v>
      </c>
      <c r="AC18" s="20">
        <f>IF(Калькулятор!$D$14&gt;0,((AC16+AC17)*Калькулятор!$D$14),(Служебная!Y26*Калькулятор!$D$15*30%))</f>
        <v>11400.6</v>
      </c>
      <c r="AD18" s="20">
        <f>IF(Калькулятор!$D$14&gt;0,((AD16+AD17)*Калькулятор!$D$14),(Служебная!Z26*Калькулятор!$D$15*30%))</f>
        <v>14505.239999999998</v>
      </c>
      <c r="AE18" s="20">
        <f>IF(Калькулятор!$D$14&gt;0,((AE16+AE17)*Калькулятор!$D$14),(Служебная!AA26*Калькулятор!$D$15*30%))</f>
        <v>9072.119999999999</v>
      </c>
      <c r="AF18" s="20">
        <f>IF(Калькулятор!$D$14&gt;0,((AF16+AF17)*Калькулятор!$D$14),(Служебная!AB26*Калькулятор!$D$15*30%))</f>
        <v>7519.7999999999993</v>
      </c>
      <c r="AG18" s="20">
        <f>IF(Калькулятор!$D$14&gt;0,((AG16+AG17)*Калькулятор!$D$14),(Служебная!AC26*Калькулятор!$D$15*30%))</f>
        <v>9072.119999999999</v>
      </c>
      <c r="AH18" s="20">
        <f>IF(Калькулятор!$D$14&gt;0,((AH16+AH17)*Калькулятор!$D$14),(Служебная!AD26*Калькулятор!$D$15*30%))</f>
        <v>16833.72</v>
      </c>
      <c r="AI18" s="20">
        <f>IF(Калькулятор!$D$14&gt;0,((AI16+AI17)*Калькулятор!$D$14),(Служебная!AE26*Калькулятор!$D$15*30%))</f>
        <v>14505.239999999998</v>
      </c>
      <c r="AJ18" s="20">
        <f>IF(Калькулятор!$D$14&gt;0,((AJ16+AJ17)*Калькулятор!$D$14),(Служебная!AF26*Калькулятор!$D$15*30%))</f>
        <v>12952.919999999998</v>
      </c>
      <c r="AK18" s="20">
        <f>IF(Калькулятор!$D$14&gt;0,((AK16+AK17)*Калькулятор!$D$14),(Служебная!AG26*Калькулятор!$D$15*30%))</f>
        <v>15281.4</v>
      </c>
      <c r="AL18" s="20">
        <f>IF(Калькулятор!$D$14&gt;0,((AL16+AL17)*Калькулятор!$D$14),(Служебная!AH26*Калькулятор!$D$15*30%))</f>
        <v>7519.7999999999993</v>
      </c>
      <c r="AM18" s="20">
        <f>IF(Калькулятор!$D$14&gt;0,((AM16+AM17)*Калькулятор!$D$14),(Служебная!AI26*Калькулятор!$D$15*30%))</f>
        <v>9072.119999999999</v>
      </c>
      <c r="AN18" s="20">
        <f>IF(Калькулятор!$D$14&gt;0,((AN16+AN17)*Калькулятор!$D$14),(Служебная!AJ26*Калькулятор!$D$15*30%))</f>
        <v>9072.119999999999</v>
      </c>
      <c r="AO18" s="20">
        <f>IF(Калькулятор!$D$14&gt;0,((AO16+AO17)*Калькулятор!$D$14),(Служебная!AK26*Калькулятор!$D$15*30%))</f>
        <v>11400.6</v>
      </c>
      <c r="AP18" s="20">
        <f t="shared" ref="AP18" si="24">SUM(F18:Q18)</f>
        <v>130015.79999999999</v>
      </c>
      <c r="AQ18" s="20">
        <f t="shared" ref="AQ18" si="25">SUM(R18:AC18)</f>
        <v>136807.19999999998</v>
      </c>
      <c r="AR18" s="20">
        <f t="shared" ref="AR18" si="26">SUM(AD18:AO18)</f>
        <v>136807.19999999998</v>
      </c>
      <c r="AS18" s="17"/>
    </row>
    <row r="19" spans="2:45" x14ac:dyDescent="0.2">
      <c r="B19" s="16"/>
      <c r="C19" s="25" t="s">
        <v>114</v>
      </c>
      <c r="D19" s="19" t="s">
        <v>243</v>
      </c>
      <c r="E19" s="19"/>
      <c r="F19" s="20">
        <f>IF(Калькулятор!$E$8=1,'Текущие затраты'!$G$6,IF(Калькулятор!$E$8=2,'Текущие затраты'!$G$18,'Текущие затраты'!$G$30))</f>
        <v>9000</v>
      </c>
      <c r="G19" s="20">
        <f>IF(Калькулятор!$E$8=1,'Текущие затраты'!$G$6,IF(Калькулятор!$E$8=2,'Текущие затраты'!$G$18,'Текущие затраты'!$G$30))</f>
        <v>9000</v>
      </c>
      <c r="H19" s="20">
        <f>IF(Калькулятор!$E$8=1,'Текущие затраты'!$G$6,IF(Калькулятор!$E$8=2,'Текущие затраты'!$G$18,'Текущие затраты'!$G$30))</f>
        <v>9000</v>
      </c>
      <c r="I19" s="20">
        <f>IF(Калькулятор!$E$8=1,'Текущие затраты'!$G$6,IF(Калькулятор!$E$8=2,'Текущие затраты'!$G$18,'Текущие затраты'!$G$30))</f>
        <v>9000</v>
      </c>
      <c r="J19" s="20">
        <f>IF(Калькулятор!$E$8=1,'Текущие затраты'!$G$6,IF(Калькулятор!$E$8=2,'Текущие затраты'!$G$18,'Текущие затраты'!$G$30))</f>
        <v>9000</v>
      </c>
      <c r="K19" s="20">
        <f>IF(Калькулятор!$E$8=1,'Текущие затраты'!$G$6,IF(Калькулятор!$E$8=2,'Текущие затраты'!$G$18,'Текущие затраты'!$G$30))</f>
        <v>9000</v>
      </c>
      <c r="L19" s="20">
        <f>IF(Калькулятор!$E$8=1,'Текущие затраты'!$G$6,IF(Калькулятор!$E$8=2,'Текущие затраты'!$G$18,'Текущие затраты'!$G$30))</f>
        <v>9000</v>
      </c>
      <c r="M19" s="20">
        <f>IF(Калькулятор!$E$8=1,'Текущие затраты'!$G$6,IF(Калькулятор!$E$8=2,'Текущие затраты'!$G$18,'Текущие затраты'!$G$30))</f>
        <v>9000</v>
      </c>
      <c r="N19" s="20">
        <f>IF(Калькулятор!$E$8=1,'Текущие затраты'!$G$6,IF(Калькулятор!$E$8=2,'Текущие затраты'!$G$18,'Текущие затраты'!$G$30))</f>
        <v>9000</v>
      </c>
      <c r="O19" s="20">
        <f>IF(Калькулятор!$E$8=1,'Текущие затраты'!$G$6,IF(Калькулятор!$E$8=2,'Текущие затраты'!$G$18,'Текущие затраты'!$G$30))</f>
        <v>9000</v>
      </c>
      <c r="P19" s="20">
        <f>IF(Калькулятор!$E$8=1,'Текущие затраты'!$G$6,IF(Калькулятор!$E$8=2,'Текущие затраты'!$G$18,'Текущие затраты'!$G$30))</f>
        <v>9000</v>
      </c>
      <c r="Q19" s="20">
        <f>IF(Калькулятор!$E$8=1,'Текущие затраты'!$G$6,IF(Калькулятор!$E$8=2,'Текущие затраты'!$G$18,'Текущие затраты'!$G$30))</f>
        <v>9000</v>
      </c>
      <c r="R19" s="20">
        <f>IF(Калькулятор!$E$8=1,'Текущие затраты'!$G$6,IF(Калькулятор!$E$8=2,'Текущие затраты'!$G$18,'Текущие затраты'!$G$30))</f>
        <v>9000</v>
      </c>
      <c r="S19" s="20">
        <f>IF(Калькулятор!$E$8=1,'Текущие затраты'!$G$6,IF(Калькулятор!$E$8=2,'Текущие затраты'!$G$18,'Текущие затраты'!$G$30))</f>
        <v>9000</v>
      </c>
      <c r="T19" s="20">
        <f>IF(Калькулятор!$E$8=1,'Текущие затраты'!$G$6,IF(Калькулятор!$E$8=2,'Текущие затраты'!$G$18,'Текущие затраты'!$G$30))</f>
        <v>9000</v>
      </c>
      <c r="U19" s="20">
        <f>IF(Калькулятор!$E$8=1,'Текущие затраты'!$G$6,IF(Калькулятор!$E$8=2,'Текущие затраты'!$G$18,'Текущие затраты'!$G$30))</f>
        <v>9000</v>
      </c>
      <c r="V19" s="20">
        <f>IF(Калькулятор!$E$8=1,'Текущие затраты'!$G$6,IF(Калькулятор!$E$8=2,'Текущие затраты'!$G$18,'Текущие затраты'!$G$30))</f>
        <v>9000</v>
      </c>
      <c r="W19" s="20">
        <f>IF(Калькулятор!$E$8=1,'Текущие затраты'!$G$6,IF(Калькулятор!$E$8=2,'Текущие затраты'!$G$18,'Текущие затраты'!$G$30))</f>
        <v>9000</v>
      </c>
      <c r="X19" s="20">
        <f>IF(Калькулятор!$E$8=1,'Текущие затраты'!$G$6,IF(Калькулятор!$E$8=2,'Текущие затраты'!$G$18,'Текущие затраты'!$G$30))</f>
        <v>9000</v>
      </c>
      <c r="Y19" s="20">
        <f>IF(Калькулятор!$E$8=1,'Текущие затраты'!$G$6,IF(Калькулятор!$E$8=2,'Текущие затраты'!$G$18,'Текущие затраты'!$G$30))</f>
        <v>9000</v>
      </c>
      <c r="Z19" s="20">
        <f>IF(Калькулятор!$E$8=1,'Текущие затраты'!$G$6,IF(Калькулятор!$E$8=2,'Текущие затраты'!$G$18,'Текущие затраты'!$G$30))</f>
        <v>9000</v>
      </c>
      <c r="AA19" s="20">
        <f>IF(Калькулятор!$E$8=1,'Текущие затраты'!$G$6,IF(Калькулятор!$E$8=2,'Текущие затраты'!$G$18,'Текущие затраты'!$G$30))</f>
        <v>9000</v>
      </c>
      <c r="AB19" s="20">
        <f>IF(Калькулятор!$E$8=1,'Текущие затраты'!$G$6,IF(Калькулятор!$E$8=2,'Текущие затраты'!$G$18,'Текущие затраты'!$G$30))</f>
        <v>9000</v>
      </c>
      <c r="AC19" s="20">
        <f>IF(Калькулятор!$E$8=1,'Текущие затраты'!$G$6,IF(Калькулятор!$E$8=2,'Текущие затраты'!$G$18,'Текущие затраты'!$G$30))</f>
        <v>9000</v>
      </c>
      <c r="AD19" s="20">
        <f>IF(Калькулятор!$E$8=1,'Текущие затраты'!$G$6,IF(Калькулятор!$E$8=2,'Текущие затраты'!$G$18,'Текущие затраты'!$G$30))</f>
        <v>9000</v>
      </c>
      <c r="AE19" s="20">
        <f>IF(Калькулятор!$E$8=1,'Текущие затраты'!$G$6,IF(Калькулятор!$E$8=2,'Текущие затраты'!$G$18,'Текущие затраты'!$G$30))</f>
        <v>9000</v>
      </c>
      <c r="AF19" s="20">
        <f>IF(Калькулятор!$E$8=1,'Текущие затраты'!$G$6,IF(Калькулятор!$E$8=2,'Текущие затраты'!$G$18,'Текущие затраты'!$G$30))</f>
        <v>9000</v>
      </c>
      <c r="AG19" s="20">
        <f>IF(Калькулятор!$E$8=1,'Текущие затраты'!$G$6,IF(Калькулятор!$E$8=2,'Текущие затраты'!$G$18,'Текущие затраты'!$G$30))</f>
        <v>9000</v>
      </c>
      <c r="AH19" s="20">
        <f>IF(Калькулятор!$E$8=1,'Текущие затраты'!$G$6,IF(Калькулятор!$E$8=2,'Текущие затраты'!$G$18,'Текущие затраты'!$G$30))</f>
        <v>9000</v>
      </c>
      <c r="AI19" s="20">
        <f>IF(Калькулятор!$E$8=1,'Текущие затраты'!$G$6,IF(Калькулятор!$E$8=2,'Текущие затраты'!$G$18,'Текущие затраты'!$G$30))</f>
        <v>9000</v>
      </c>
      <c r="AJ19" s="20">
        <f>IF(Калькулятор!$E$8=1,'Текущие затраты'!$G$6,IF(Калькулятор!$E$8=2,'Текущие затраты'!$G$18,'Текущие затраты'!$G$30))</f>
        <v>9000</v>
      </c>
      <c r="AK19" s="20">
        <f>IF(Калькулятор!$E$8=1,'Текущие затраты'!$G$6,IF(Калькулятор!$E$8=2,'Текущие затраты'!$G$18,'Текущие затраты'!$G$30))</f>
        <v>9000</v>
      </c>
      <c r="AL19" s="20">
        <f>IF(Калькулятор!$E$8=1,'Текущие затраты'!$G$6,IF(Калькулятор!$E$8=2,'Текущие затраты'!$G$18,'Текущие затраты'!$G$30))</f>
        <v>9000</v>
      </c>
      <c r="AM19" s="20">
        <f>IF(Калькулятор!$E$8=1,'Текущие затраты'!$G$6,IF(Калькулятор!$E$8=2,'Текущие затраты'!$G$18,'Текущие затраты'!$G$30))</f>
        <v>9000</v>
      </c>
      <c r="AN19" s="20">
        <f>IF(Калькулятор!$E$8=1,'Текущие затраты'!$G$6,IF(Калькулятор!$E$8=2,'Текущие затраты'!$G$18,'Текущие затраты'!$G$30))</f>
        <v>9000</v>
      </c>
      <c r="AO19" s="20">
        <f>IF(Калькулятор!$E$8=1,'Текущие затраты'!$G$6,IF(Калькулятор!$E$8=2,'Текущие затраты'!$G$18,'Текущие затраты'!$G$30))</f>
        <v>9000</v>
      </c>
      <c r="AP19" s="20">
        <f t="shared" ref="AP19" si="27">SUM(F19:Q19)</f>
        <v>108000</v>
      </c>
      <c r="AQ19" s="20">
        <f t="shared" ref="AQ19" si="28">SUM(R19:AC19)</f>
        <v>108000</v>
      </c>
      <c r="AR19" s="20">
        <f t="shared" ref="AR19" si="29">SUM(AD19:AO19)</f>
        <v>108000</v>
      </c>
      <c r="AS19" s="17"/>
    </row>
    <row r="20" spans="2:45" x14ac:dyDescent="0.2">
      <c r="B20" s="16"/>
      <c r="C20" s="32">
        <v>3</v>
      </c>
      <c r="D20" s="33" t="s">
        <v>125</v>
      </c>
      <c r="E20" s="33"/>
      <c r="F20" s="34">
        <f t="shared" ref="F20:AO20" si="30">F7-F11</f>
        <v>68031.48000000001</v>
      </c>
      <c r="G20" s="34">
        <f t="shared" si="30"/>
        <v>24462.360000000015</v>
      </c>
      <c r="H20" s="34">
        <f t="shared" si="30"/>
        <v>18238.200000000012</v>
      </c>
      <c r="I20" s="34">
        <f t="shared" si="30"/>
        <v>68031.48000000001</v>
      </c>
      <c r="J20" s="34">
        <f t="shared" si="30"/>
        <v>316997.88</v>
      </c>
      <c r="K20" s="34">
        <f t="shared" si="30"/>
        <v>242307.96000000002</v>
      </c>
      <c r="L20" s="34">
        <f t="shared" si="30"/>
        <v>192514.68</v>
      </c>
      <c r="M20" s="34">
        <f t="shared" si="30"/>
        <v>267204.59999999998</v>
      </c>
      <c r="N20" s="34">
        <f t="shared" si="30"/>
        <v>18238.200000000012</v>
      </c>
      <c r="O20" s="34">
        <f t="shared" si="30"/>
        <v>68031.48000000001</v>
      </c>
      <c r="P20" s="34">
        <f t="shared" si="30"/>
        <v>68031.48000000001</v>
      </c>
      <c r="Q20" s="34">
        <f t="shared" si="30"/>
        <v>142721.40000000002</v>
      </c>
      <c r="R20" s="34">
        <f t="shared" si="30"/>
        <v>242307.96000000002</v>
      </c>
      <c r="S20" s="34">
        <f t="shared" si="30"/>
        <v>68031.48000000001</v>
      </c>
      <c r="T20" s="34">
        <f t="shared" si="30"/>
        <v>18238.200000000012</v>
      </c>
      <c r="U20" s="34">
        <f t="shared" si="30"/>
        <v>68031.48000000001</v>
      </c>
      <c r="V20" s="34">
        <f t="shared" si="30"/>
        <v>316997.88</v>
      </c>
      <c r="W20" s="34">
        <f t="shared" si="30"/>
        <v>242307.96000000002</v>
      </c>
      <c r="X20" s="34">
        <f t="shared" si="30"/>
        <v>192514.68</v>
      </c>
      <c r="Y20" s="34">
        <f t="shared" si="30"/>
        <v>267204.59999999998</v>
      </c>
      <c r="Z20" s="34">
        <f t="shared" si="30"/>
        <v>18238.200000000012</v>
      </c>
      <c r="AA20" s="34">
        <f t="shared" si="30"/>
        <v>68031.48000000001</v>
      </c>
      <c r="AB20" s="34">
        <f t="shared" si="30"/>
        <v>68031.48000000001</v>
      </c>
      <c r="AC20" s="34">
        <f t="shared" si="30"/>
        <v>142721.40000000002</v>
      </c>
      <c r="AD20" s="34">
        <f t="shared" si="30"/>
        <v>242307.96000000002</v>
      </c>
      <c r="AE20" s="34">
        <f t="shared" si="30"/>
        <v>68031.48000000001</v>
      </c>
      <c r="AF20" s="34">
        <f t="shared" si="30"/>
        <v>18238.200000000012</v>
      </c>
      <c r="AG20" s="34">
        <f t="shared" si="30"/>
        <v>68031.48000000001</v>
      </c>
      <c r="AH20" s="34">
        <f t="shared" si="30"/>
        <v>316997.88</v>
      </c>
      <c r="AI20" s="34">
        <f t="shared" si="30"/>
        <v>242307.96000000002</v>
      </c>
      <c r="AJ20" s="34">
        <f t="shared" si="30"/>
        <v>192514.68</v>
      </c>
      <c r="AK20" s="34">
        <f t="shared" si="30"/>
        <v>267204.59999999998</v>
      </c>
      <c r="AL20" s="34">
        <f t="shared" si="30"/>
        <v>18238.200000000012</v>
      </c>
      <c r="AM20" s="34">
        <f t="shared" si="30"/>
        <v>68031.48000000001</v>
      </c>
      <c r="AN20" s="34">
        <f t="shared" si="30"/>
        <v>68031.48000000001</v>
      </c>
      <c r="AO20" s="34">
        <f t="shared" si="30"/>
        <v>142721.40000000002</v>
      </c>
      <c r="AP20" s="34">
        <f t="shared" ref="AP20" si="31">SUM(F20:Q20)</f>
        <v>1494811.2000000002</v>
      </c>
      <c r="AQ20" s="34">
        <f t="shared" ref="AQ20" si="32">SUM(R20:AC20)</f>
        <v>1712656.8000000003</v>
      </c>
      <c r="AR20" s="34">
        <f t="shared" ref="AR20" si="33">SUM(AD20:AO20)</f>
        <v>1712656.8000000003</v>
      </c>
      <c r="AS20" s="17"/>
    </row>
    <row r="21" spans="2:45" x14ac:dyDescent="0.2">
      <c r="B21" s="16"/>
      <c r="C21" s="32">
        <v>4</v>
      </c>
      <c r="D21" s="33" t="s">
        <v>103</v>
      </c>
      <c r="E21" s="33"/>
      <c r="F21" s="34">
        <f>IF(Калькулятор!$E$12=1,(IF(F20&lt;=0,F7*1%,F20*Калькулятор!$D$13)),IF(Калькулятор!$E$12=2,F7*6%,0))</f>
        <v>18110.399999999998</v>
      </c>
      <c r="G21" s="34">
        <f>IF(Калькулятор!$E$12=1,(IF(G20&lt;=0,G7*1%,G20*Калькулятор!$D$13)),IF(Калькулятор!$E$12=2,G7*6%,0))</f>
        <v>13582.8</v>
      </c>
      <c r="H21" s="34">
        <f>IF(Калькулятор!$E$12=1,(IF(H20&lt;=0,H7*1%,H20*Калькулятор!$D$13)),IF(Калькулятор!$E$12=2,H7*6%,0))</f>
        <v>12936</v>
      </c>
      <c r="I21" s="34">
        <f>IF(Калькулятор!$E$12=1,(IF(I20&lt;=0,I7*1%,I20*Калькулятор!$D$13)),IF(Калькулятор!$E$12=2,I7*6%,0))</f>
        <v>18110.399999999998</v>
      </c>
      <c r="J21" s="34">
        <f>IF(Калькулятор!$E$12=1,(IF(J20&lt;=0,J7*1%,J20*Калькулятор!$D$13)),IF(Калькулятор!$E$12=2,J7*6%,0))</f>
        <v>43982.400000000001</v>
      </c>
      <c r="K21" s="34">
        <f>IF(Калькулятор!$E$12=1,(IF(K20&lt;=0,K7*1%,K20*Калькулятор!$D$13)),IF(Калькулятор!$E$12=2,K7*6%,0))</f>
        <v>36220.799999999996</v>
      </c>
      <c r="L21" s="34">
        <f>IF(Калькулятор!$E$12=1,(IF(L20&lt;=0,L7*1%,L20*Калькулятор!$D$13)),IF(Калькулятор!$E$12=2,L7*6%,0))</f>
        <v>31046.399999999998</v>
      </c>
      <c r="M21" s="34">
        <f>IF(Калькулятор!$E$12=1,(IF(M20&lt;=0,M7*1%,M20*Калькулятор!$D$13)),IF(Калькулятор!$E$12=2,M7*6%,0))</f>
        <v>38808</v>
      </c>
      <c r="N21" s="34">
        <f>IF(Калькулятор!$E$12=1,(IF(N20&lt;=0,N7*1%,N20*Калькулятор!$D$13)),IF(Калькулятор!$E$12=2,N7*6%,0))</f>
        <v>12936</v>
      </c>
      <c r="O21" s="34">
        <f>IF(Калькулятор!$E$12=1,(IF(O20&lt;=0,O7*1%,O20*Калькулятор!$D$13)),IF(Калькулятор!$E$12=2,O7*6%,0))</f>
        <v>18110.399999999998</v>
      </c>
      <c r="P21" s="34">
        <f>IF(Калькулятор!$E$12=1,(IF(P20&lt;=0,P7*1%,P20*Калькулятор!$D$13)),IF(Калькулятор!$E$12=2,P7*6%,0))</f>
        <v>18110.399999999998</v>
      </c>
      <c r="Q21" s="34">
        <f>IF(Калькулятор!$E$12=1,(IF(Q20&lt;=0,Q7*1%,Q20*Калькулятор!$D$13)),IF(Калькулятор!$E$12=2,Q7*6%,0))</f>
        <v>25872</v>
      </c>
      <c r="R21" s="34">
        <f>IF(Калькулятор!$E$12=1,(IF(R20&lt;=0,R7*1%,R20*Калькулятор!$D$13)),IF(Калькулятор!$E$12=2,R7*6%,0))</f>
        <v>36220.799999999996</v>
      </c>
      <c r="S21" s="34">
        <f>IF(Калькулятор!$E$12=1,(IF(S20&lt;=0,S7*1%,S20*Калькулятор!$D$13)),IF(Калькулятор!$E$12=2,S7*6%,0))</f>
        <v>18110.399999999998</v>
      </c>
      <c r="T21" s="34">
        <f>IF(Калькулятор!$E$12=1,(IF(T20&lt;=0,T7*1%,T20*Калькулятор!$D$13)),IF(Калькулятор!$E$12=2,T7*6%,0))</f>
        <v>12936</v>
      </c>
      <c r="U21" s="34">
        <f>IF(Калькулятор!$E$12=1,(IF(U20&lt;=0,U7*1%,U20*Калькулятор!$D$13)),IF(Калькулятор!$E$12=2,U7*6%,0))</f>
        <v>18110.399999999998</v>
      </c>
      <c r="V21" s="34">
        <f>IF(Калькулятор!$E$12=1,(IF(V20&lt;=0,V7*1%,V20*Калькулятор!$D$13)),IF(Калькулятор!$E$12=2,V7*6%,0))</f>
        <v>43982.400000000001</v>
      </c>
      <c r="W21" s="34">
        <f>IF(Калькулятор!$E$12=1,(IF(W20&lt;=0,W7*1%,W20*Калькулятор!$D$13)),IF(Калькулятор!$E$12=2,W7*6%,0))</f>
        <v>36220.799999999996</v>
      </c>
      <c r="X21" s="34">
        <f>IF(Калькулятор!$E$12=1,(IF(X20&lt;=0,X7*1%,X20*Калькулятор!$D$13)),IF(Калькулятор!$E$12=2,X7*6%,0))</f>
        <v>31046.399999999998</v>
      </c>
      <c r="Y21" s="34">
        <f>IF(Калькулятор!$E$12=1,(IF(Y20&lt;=0,Y7*1%,Y20*Калькулятор!$D$13)),IF(Калькулятор!$E$12=2,Y7*6%,0))</f>
        <v>38808</v>
      </c>
      <c r="Z21" s="34">
        <f>IF(Калькулятор!$E$12=1,(IF(Z20&lt;=0,Z7*1%,Z20*Калькулятор!$D$13)),IF(Калькулятор!$E$12=2,Z7*6%,0))</f>
        <v>12936</v>
      </c>
      <c r="AA21" s="34">
        <f>IF(Калькулятор!$E$12=1,(IF(AA20&lt;=0,AA7*1%,AA20*Калькулятор!$D$13)),IF(Калькулятор!$E$12=2,AA7*6%,0))</f>
        <v>18110.399999999998</v>
      </c>
      <c r="AB21" s="34">
        <f>IF(Калькулятор!$E$12=1,(IF(AB20&lt;=0,AB7*1%,AB20*Калькулятор!$D$13)),IF(Калькулятор!$E$12=2,AB7*6%,0))</f>
        <v>18110.399999999998</v>
      </c>
      <c r="AC21" s="34">
        <f>IF(Калькулятор!$E$12=1,(IF(AC20&lt;=0,AC7*1%,AC20*Калькулятор!$D$13)),IF(Калькулятор!$E$12=2,AC7*6%,0))</f>
        <v>25872</v>
      </c>
      <c r="AD21" s="34">
        <f>IF(Калькулятор!$E$12=1,(IF(AD20&lt;=0,AD7*1%,AD20*Калькулятор!$D$13)),IF(Калькулятор!$E$12=2,AD7*6%,0))</f>
        <v>36220.799999999996</v>
      </c>
      <c r="AE21" s="34">
        <f>IF(Калькулятор!$E$12=1,(IF(AE20&lt;=0,AE7*1%,AE20*Калькулятор!$D$13)),IF(Калькулятор!$E$12=2,AE7*6%,0))</f>
        <v>18110.399999999998</v>
      </c>
      <c r="AF21" s="34">
        <f>IF(Калькулятор!$E$12=1,(IF(AF20&lt;=0,AF7*1%,AF20*Калькулятор!$D$13)),IF(Калькулятор!$E$12=2,AF7*6%,0))</f>
        <v>12936</v>
      </c>
      <c r="AG21" s="34">
        <f>IF(Калькулятор!$E$12=1,(IF(AG20&lt;=0,AG7*1%,AG20*Калькулятор!$D$13)),IF(Калькулятор!$E$12=2,AG7*6%,0))</f>
        <v>18110.399999999998</v>
      </c>
      <c r="AH21" s="34">
        <f>IF(Калькулятор!$E$12=1,(IF(AH20&lt;=0,AH7*1%,AH20*Калькулятор!$D$13)),IF(Калькулятор!$E$12=2,AH7*6%,0))</f>
        <v>43982.400000000001</v>
      </c>
      <c r="AI21" s="34">
        <f>IF(Калькулятор!$E$12=1,(IF(AI20&lt;=0,AI7*1%,AI20*Калькулятор!$D$13)),IF(Калькулятор!$E$12=2,AI7*6%,0))</f>
        <v>36220.799999999996</v>
      </c>
      <c r="AJ21" s="34">
        <f>IF(Калькулятор!$E$12=1,(IF(AJ20&lt;=0,AJ7*1%,AJ20*Калькулятор!$D$13)),IF(Калькулятор!$E$12=2,AJ7*6%,0))</f>
        <v>31046.399999999998</v>
      </c>
      <c r="AK21" s="34">
        <f>IF(Калькулятор!$E$12=1,(IF(AK20&lt;=0,AK7*1%,AK20*Калькулятор!$D$13)),IF(Калькулятор!$E$12=2,AK7*6%,0))</f>
        <v>38808</v>
      </c>
      <c r="AL21" s="34">
        <f>IF(Калькулятор!$E$12=1,(IF(AL20&lt;=0,AL7*1%,AL20*Калькулятор!$D$13)),IF(Калькулятор!$E$12=2,AL7*6%,0))</f>
        <v>12936</v>
      </c>
      <c r="AM21" s="34">
        <f>IF(Калькулятор!$E$12=1,(IF(AM20&lt;=0,AM7*1%,AM20*Калькулятор!$D$13)),IF(Калькулятор!$E$12=2,AM7*6%,0))</f>
        <v>18110.399999999998</v>
      </c>
      <c r="AN21" s="34">
        <f>IF(Калькулятор!$E$12=1,(IF(AN20&lt;=0,AN7*1%,AN20*Калькулятор!$D$13)),IF(Калькулятор!$E$12=2,AN7*6%,0))</f>
        <v>18110.399999999998</v>
      </c>
      <c r="AO21" s="34">
        <f>IF(Калькулятор!$E$12=1,(IF(AO20&lt;=0,AO7*1%,AO20*Калькулятор!$D$13)),IF(Калькулятор!$E$12=2,AO7*6%,0))</f>
        <v>25872</v>
      </c>
      <c r="AP21" s="34">
        <f t="shared" ref="AP21" si="34">SUM(F21:Q21)</f>
        <v>287826</v>
      </c>
      <c r="AQ21" s="34">
        <f t="shared" ref="AQ21" si="35">SUM(R21:AC21)</f>
        <v>310464</v>
      </c>
      <c r="AR21" s="34">
        <f t="shared" ref="AR21" si="36">SUM(AD21:AO21)</f>
        <v>310464</v>
      </c>
      <c r="AS21" s="17"/>
    </row>
    <row r="22" spans="2:45" x14ac:dyDescent="0.2">
      <c r="B22" s="16"/>
      <c r="C22" s="32">
        <v>5</v>
      </c>
      <c r="D22" s="33" t="s">
        <v>104</v>
      </c>
      <c r="E22" s="33"/>
      <c r="F22" s="34">
        <f>F20-F21</f>
        <v>49921.080000000016</v>
      </c>
      <c r="G22" s="34">
        <f t="shared" ref="G22:AO22" si="37">G20-G21</f>
        <v>10879.560000000016</v>
      </c>
      <c r="H22" s="34">
        <f t="shared" si="37"/>
        <v>5302.2000000000116</v>
      </c>
      <c r="I22" s="34">
        <f t="shared" si="37"/>
        <v>49921.080000000016</v>
      </c>
      <c r="J22" s="34">
        <f t="shared" si="37"/>
        <v>273015.48</v>
      </c>
      <c r="K22" s="34">
        <f t="shared" si="37"/>
        <v>206087.16000000003</v>
      </c>
      <c r="L22" s="34">
        <f t="shared" si="37"/>
        <v>161468.28</v>
      </c>
      <c r="M22" s="34">
        <f t="shared" si="37"/>
        <v>228396.59999999998</v>
      </c>
      <c r="N22" s="34">
        <f t="shared" si="37"/>
        <v>5302.2000000000116</v>
      </c>
      <c r="O22" s="34">
        <f t="shared" si="37"/>
        <v>49921.080000000016</v>
      </c>
      <c r="P22" s="34">
        <f t="shared" si="37"/>
        <v>49921.080000000016</v>
      </c>
      <c r="Q22" s="34">
        <f t="shared" si="37"/>
        <v>116849.40000000002</v>
      </c>
      <c r="R22" s="34">
        <f t="shared" si="37"/>
        <v>206087.16000000003</v>
      </c>
      <c r="S22" s="34">
        <f t="shared" si="37"/>
        <v>49921.080000000016</v>
      </c>
      <c r="T22" s="34">
        <f t="shared" si="37"/>
        <v>5302.2000000000116</v>
      </c>
      <c r="U22" s="34">
        <f t="shared" si="37"/>
        <v>49921.080000000016</v>
      </c>
      <c r="V22" s="34">
        <f t="shared" si="37"/>
        <v>273015.48</v>
      </c>
      <c r="W22" s="34">
        <f t="shared" si="37"/>
        <v>206087.16000000003</v>
      </c>
      <c r="X22" s="34">
        <f t="shared" si="37"/>
        <v>161468.28</v>
      </c>
      <c r="Y22" s="34">
        <f t="shared" si="37"/>
        <v>228396.59999999998</v>
      </c>
      <c r="Z22" s="34">
        <f t="shared" si="37"/>
        <v>5302.2000000000116</v>
      </c>
      <c r="AA22" s="34">
        <f t="shared" si="37"/>
        <v>49921.080000000016</v>
      </c>
      <c r="AB22" s="34">
        <f t="shared" si="37"/>
        <v>49921.080000000016</v>
      </c>
      <c r="AC22" s="34">
        <f t="shared" si="37"/>
        <v>116849.40000000002</v>
      </c>
      <c r="AD22" s="34">
        <f t="shared" si="37"/>
        <v>206087.16000000003</v>
      </c>
      <c r="AE22" s="34">
        <f t="shared" si="37"/>
        <v>49921.080000000016</v>
      </c>
      <c r="AF22" s="34">
        <f t="shared" si="37"/>
        <v>5302.2000000000116</v>
      </c>
      <c r="AG22" s="34">
        <f t="shared" si="37"/>
        <v>49921.080000000016</v>
      </c>
      <c r="AH22" s="34">
        <f t="shared" si="37"/>
        <v>273015.48</v>
      </c>
      <c r="AI22" s="34">
        <f t="shared" si="37"/>
        <v>206087.16000000003</v>
      </c>
      <c r="AJ22" s="34">
        <f t="shared" si="37"/>
        <v>161468.28</v>
      </c>
      <c r="AK22" s="34">
        <f t="shared" si="37"/>
        <v>228396.59999999998</v>
      </c>
      <c r="AL22" s="34">
        <f t="shared" si="37"/>
        <v>5302.2000000000116</v>
      </c>
      <c r="AM22" s="34">
        <f t="shared" si="37"/>
        <v>49921.080000000016</v>
      </c>
      <c r="AN22" s="34">
        <f t="shared" si="37"/>
        <v>49921.080000000016</v>
      </c>
      <c r="AO22" s="34">
        <f t="shared" si="37"/>
        <v>116849.40000000002</v>
      </c>
      <c r="AP22" s="34">
        <f t="shared" ref="AP22" si="38">SUM(F22:Q22)</f>
        <v>1206985.2000000002</v>
      </c>
      <c r="AQ22" s="34">
        <f t="shared" ref="AQ22" si="39">SUM(R22:AC22)</f>
        <v>1402192.8000000003</v>
      </c>
      <c r="AR22" s="34">
        <f t="shared" ref="AR22" si="40">SUM(AD22:AO22)</f>
        <v>1402192.8000000003</v>
      </c>
      <c r="AS22" s="17"/>
    </row>
    <row r="23" spans="2:45" x14ac:dyDescent="0.2">
      <c r="B23" s="16"/>
      <c r="C23" s="32">
        <v>6</v>
      </c>
      <c r="D23" s="33" t="s">
        <v>48</v>
      </c>
      <c r="E23" s="34">
        <f>Инвестиции!E19</f>
        <v>269400</v>
      </c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>
        <f>SUM(E23:Q23)</f>
        <v>269400</v>
      </c>
      <c r="AQ23" s="34">
        <f t="shared" ref="AQ23" si="41">SUM(R23:AC23)</f>
        <v>0</v>
      </c>
      <c r="AR23" s="34">
        <f t="shared" ref="AR23" si="42">SUM(AD23:AO23)</f>
        <v>0</v>
      </c>
      <c r="AS23" s="17"/>
    </row>
    <row r="24" spans="2:45" x14ac:dyDescent="0.2">
      <c r="B24" s="16"/>
      <c r="C24" s="32">
        <v>7</v>
      </c>
      <c r="D24" s="33" t="s">
        <v>49</v>
      </c>
      <c r="E24" s="33"/>
      <c r="F24" s="34">
        <f>0-E23+F22</f>
        <v>-219478.91999999998</v>
      </c>
      <c r="G24" s="34">
        <f t="shared" ref="G24:AO24" si="43">F24+G22</f>
        <v>-208599.35999999996</v>
      </c>
      <c r="H24" s="34">
        <f t="shared" si="43"/>
        <v>-203297.15999999995</v>
      </c>
      <c r="I24" s="34">
        <f t="shared" si="43"/>
        <v>-153376.07999999993</v>
      </c>
      <c r="J24" s="34">
        <f t="shared" si="43"/>
        <v>119639.40000000005</v>
      </c>
      <c r="K24" s="34">
        <f t="shared" si="43"/>
        <v>325726.56000000006</v>
      </c>
      <c r="L24" s="34">
        <f t="shared" si="43"/>
        <v>487194.84000000008</v>
      </c>
      <c r="M24" s="34">
        <f t="shared" si="43"/>
        <v>715591.44000000006</v>
      </c>
      <c r="N24" s="34">
        <f t="shared" si="43"/>
        <v>720893.64000000013</v>
      </c>
      <c r="O24" s="34">
        <f t="shared" si="43"/>
        <v>770814.7200000002</v>
      </c>
      <c r="P24" s="34">
        <f t="shared" si="43"/>
        <v>820735.80000000028</v>
      </c>
      <c r="Q24" s="34">
        <f t="shared" si="43"/>
        <v>937585.2000000003</v>
      </c>
      <c r="R24" s="34">
        <f t="shared" si="43"/>
        <v>1143672.3600000003</v>
      </c>
      <c r="S24" s="34">
        <f t="shared" si="43"/>
        <v>1193593.4400000004</v>
      </c>
      <c r="T24" s="34">
        <f t="shared" si="43"/>
        <v>1198895.6400000004</v>
      </c>
      <c r="U24" s="34">
        <f t="shared" si="43"/>
        <v>1248816.7200000004</v>
      </c>
      <c r="V24" s="34">
        <f t="shared" si="43"/>
        <v>1521832.2000000004</v>
      </c>
      <c r="W24" s="34">
        <f t="shared" si="43"/>
        <v>1727919.3600000003</v>
      </c>
      <c r="X24" s="34">
        <f t="shared" si="43"/>
        <v>1889387.6400000004</v>
      </c>
      <c r="Y24" s="34">
        <f t="shared" si="43"/>
        <v>2117784.2400000002</v>
      </c>
      <c r="Z24" s="34">
        <f t="shared" si="43"/>
        <v>2123086.4400000004</v>
      </c>
      <c r="AA24" s="34">
        <f t="shared" si="43"/>
        <v>2173007.5200000005</v>
      </c>
      <c r="AB24" s="34">
        <f t="shared" si="43"/>
        <v>2222928.6000000006</v>
      </c>
      <c r="AC24" s="34">
        <f t="shared" si="43"/>
        <v>2339778.0000000005</v>
      </c>
      <c r="AD24" s="34">
        <f t="shared" si="43"/>
        <v>2545865.1600000006</v>
      </c>
      <c r="AE24" s="34">
        <f t="shared" si="43"/>
        <v>2595786.2400000007</v>
      </c>
      <c r="AF24" s="34">
        <f t="shared" si="43"/>
        <v>2601088.4400000009</v>
      </c>
      <c r="AG24" s="34">
        <f t="shared" si="43"/>
        <v>2651009.5200000009</v>
      </c>
      <c r="AH24" s="34">
        <f t="shared" si="43"/>
        <v>2924025.0000000009</v>
      </c>
      <c r="AI24" s="34">
        <f t="shared" si="43"/>
        <v>3130112.1600000011</v>
      </c>
      <c r="AJ24" s="34">
        <f t="shared" si="43"/>
        <v>3291580.4400000009</v>
      </c>
      <c r="AK24" s="34">
        <f t="shared" si="43"/>
        <v>3519977.040000001</v>
      </c>
      <c r="AL24" s="34">
        <f t="shared" si="43"/>
        <v>3525279.2400000012</v>
      </c>
      <c r="AM24" s="34">
        <f t="shared" si="43"/>
        <v>3575200.3200000012</v>
      </c>
      <c r="AN24" s="34">
        <f t="shared" si="43"/>
        <v>3625121.4000000013</v>
      </c>
      <c r="AO24" s="34">
        <f t="shared" si="43"/>
        <v>3741970.8000000012</v>
      </c>
      <c r="AP24" s="34"/>
      <c r="AQ24" s="34"/>
      <c r="AR24" s="34"/>
      <c r="AS24" s="17"/>
    </row>
    <row r="25" spans="2:45" x14ac:dyDescent="0.2">
      <c r="B25" s="16"/>
      <c r="C25" s="32">
        <v>8</v>
      </c>
      <c r="D25" s="33" t="s">
        <v>50</v>
      </c>
      <c r="E25" s="33">
        <f>IF(F24&gt;=0,1,(MATCH(0,E24:AO24,1)))</f>
        <v>5</v>
      </c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17"/>
    </row>
    <row r="26" spans="2:45" x14ac:dyDescent="0.2">
      <c r="B26" s="16"/>
      <c r="C26" s="32">
        <v>9</v>
      </c>
      <c r="D26" s="33" t="s">
        <v>51</v>
      </c>
      <c r="E26" s="33"/>
      <c r="F26" s="35">
        <f t="shared" ref="F26:AO26" si="44">IF(F22/F7&lt;0,0,F22/F7)</f>
        <v>0.16538921282798838</v>
      </c>
      <c r="G26" s="35">
        <f t="shared" si="44"/>
        <v>4.805883912006368E-2</v>
      </c>
      <c r="H26" s="35">
        <f t="shared" si="44"/>
        <v>2.4592764378478717E-2</v>
      </c>
      <c r="I26" s="35">
        <f t="shared" si="44"/>
        <v>0.16538921282798838</v>
      </c>
      <c r="J26" s="35">
        <f t="shared" si="44"/>
        <v>0.37244281348903197</v>
      </c>
      <c r="K26" s="35">
        <f t="shared" si="44"/>
        <v>0.3413847733898755</v>
      </c>
      <c r="L26" s="35">
        <f t="shared" si="44"/>
        <v>0.31205217996289425</v>
      </c>
      <c r="M26" s="35">
        <f t="shared" si="44"/>
        <v>0.35311781076066789</v>
      </c>
      <c r="N26" s="35">
        <f t="shared" si="44"/>
        <v>2.4592764378478717E-2</v>
      </c>
      <c r="O26" s="35">
        <f t="shared" si="44"/>
        <v>0.16538921282798838</v>
      </c>
      <c r="P26" s="35">
        <f t="shared" si="44"/>
        <v>0.16538921282798838</v>
      </c>
      <c r="Q26" s="35">
        <f t="shared" si="44"/>
        <v>0.27098654916512066</v>
      </c>
      <c r="R26" s="35">
        <f t="shared" si="44"/>
        <v>0.3413847733898755</v>
      </c>
      <c r="S26" s="35">
        <f t="shared" si="44"/>
        <v>0.16538921282798838</v>
      </c>
      <c r="T26" s="35">
        <f t="shared" si="44"/>
        <v>2.4592764378478717E-2</v>
      </c>
      <c r="U26" s="35">
        <f t="shared" si="44"/>
        <v>0.16538921282798838</v>
      </c>
      <c r="V26" s="35">
        <f t="shared" si="44"/>
        <v>0.37244281348903197</v>
      </c>
      <c r="W26" s="35">
        <f t="shared" si="44"/>
        <v>0.3413847733898755</v>
      </c>
      <c r="X26" s="35">
        <f t="shared" si="44"/>
        <v>0.31205217996289425</v>
      </c>
      <c r="Y26" s="35">
        <f t="shared" si="44"/>
        <v>0.35311781076066789</v>
      </c>
      <c r="Z26" s="35">
        <f t="shared" si="44"/>
        <v>2.4592764378478717E-2</v>
      </c>
      <c r="AA26" s="35">
        <f t="shared" si="44"/>
        <v>0.16538921282798838</v>
      </c>
      <c r="AB26" s="35">
        <f t="shared" si="44"/>
        <v>0.16538921282798838</v>
      </c>
      <c r="AC26" s="35">
        <f t="shared" si="44"/>
        <v>0.27098654916512066</v>
      </c>
      <c r="AD26" s="35">
        <f t="shared" si="44"/>
        <v>0.3413847733898755</v>
      </c>
      <c r="AE26" s="35">
        <f t="shared" si="44"/>
        <v>0.16538921282798838</v>
      </c>
      <c r="AF26" s="35">
        <f t="shared" si="44"/>
        <v>2.4592764378478717E-2</v>
      </c>
      <c r="AG26" s="35">
        <f t="shared" si="44"/>
        <v>0.16538921282798838</v>
      </c>
      <c r="AH26" s="35">
        <f t="shared" si="44"/>
        <v>0.37244281348903197</v>
      </c>
      <c r="AI26" s="35">
        <f t="shared" si="44"/>
        <v>0.3413847733898755</v>
      </c>
      <c r="AJ26" s="35">
        <f t="shared" si="44"/>
        <v>0.31205217996289425</v>
      </c>
      <c r="AK26" s="35">
        <f t="shared" si="44"/>
        <v>0.35311781076066789</v>
      </c>
      <c r="AL26" s="35">
        <f t="shared" si="44"/>
        <v>2.4592764378478717E-2</v>
      </c>
      <c r="AM26" s="35">
        <f t="shared" si="44"/>
        <v>0.16538921282798838</v>
      </c>
      <c r="AN26" s="35">
        <f t="shared" si="44"/>
        <v>0.16538921282798838</v>
      </c>
      <c r="AO26" s="35">
        <f t="shared" si="44"/>
        <v>0.27098654916512066</v>
      </c>
      <c r="AP26" s="34"/>
      <c r="AQ26" s="34"/>
      <c r="AR26" s="34"/>
      <c r="AS26" s="17"/>
    </row>
    <row r="27" spans="2:45" ht="13.5" thickBot="1" x14ac:dyDescent="0.25"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3"/>
    </row>
  </sheetData>
  <mergeCells count="5">
    <mergeCell ref="AP5:AP6"/>
    <mergeCell ref="AQ5:AQ6"/>
    <mergeCell ref="AR5:AR6"/>
    <mergeCell ref="C5:C6"/>
    <mergeCell ref="D5:D6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26"/>
  <sheetViews>
    <sheetView zoomScale="90" zoomScaleNormal="90" workbookViewId="0">
      <selection activeCell="E20" sqref="E20"/>
    </sheetView>
  </sheetViews>
  <sheetFormatPr defaultRowHeight="12.75" x14ac:dyDescent="0.2"/>
  <cols>
    <col min="1" max="1" width="35" style="192" bestFit="1" customWidth="1"/>
    <col min="2" max="3" width="13.5703125" style="192" customWidth="1"/>
    <col min="4" max="4" width="8.7109375" style="192" customWidth="1"/>
    <col min="5" max="16384" width="9.140625" style="192"/>
  </cols>
  <sheetData>
    <row r="1" spans="1:2" x14ac:dyDescent="0.2">
      <c r="A1" s="191" t="s">
        <v>119</v>
      </c>
    </row>
    <row r="2" spans="1:2" x14ac:dyDescent="0.2">
      <c r="A2" s="193" t="s">
        <v>150</v>
      </c>
      <c r="B2" s="194">
        <v>152000</v>
      </c>
    </row>
    <row r="3" spans="1:2" x14ac:dyDescent="0.2">
      <c r="A3" s="193" t="s">
        <v>151</v>
      </c>
      <c r="B3" s="194">
        <v>215000</v>
      </c>
    </row>
    <row r="4" spans="1:2" x14ac:dyDescent="0.2">
      <c r="A4" s="193" t="s">
        <v>152</v>
      </c>
      <c r="B4" s="194">
        <v>521000</v>
      </c>
    </row>
    <row r="5" spans="1:2" x14ac:dyDescent="0.2">
      <c r="A5" s="195"/>
    </row>
    <row r="7" spans="1:2" x14ac:dyDescent="0.2">
      <c r="A7" s="192" t="s">
        <v>27</v>
      </c>
    </row>
    <row r="8" spans="1:2" x14ac:dyDescent="0.2">
      <c r="A8" s="192" t="s">
        <v>28</v>
      </c>
    </row>
    <row r="9" spans="1:2" x14ac:dyDescent="0.2">
      <c r="A9" s="195"/>
    </row>
    <row r="11" spans="1:2" x14ac:dyDescent="0.2">
      <c r="A11" s="196" t="s">
        <v>137</v>
      </c>
      <c r="B11" s="196" t="s">
        <v>223</v>
      </c>
    </row>
    <row r="12" spans="1:2" x14ac:dyDescent="0.2">
      <c r="A12" s="193" t="s">
        <v>138</v>
      </c>
      <c r="B12" s="197">
        <v>0.5</v>
      </c>
    </row>
    <row r="13" spans="1:2" x14ac:dyDescent="0.2">
      <c r="A13" s="193" t="s">
        <v>139</v>
      </c>
      <c r="B13" s="197">
        <v>0.7</v>
      </c>
    </row>
    <row r="14" spans="1:2" x14ac:dyDescent="0.2">
      <c r="A14" s="193" t="s">
        <v>140</v>
      </c>
      <c r="B14" s="197">
        <v>0.7</v>
      </c>
    </row>
    <row r="15" spans="1:2" x14ac:dyDescent="0.2">
      <c r="A15" s="193" t="s">
        <v>141</v>
      </c>
      <c r="B15" s="197">
        <v>1</v>
      </c>
    </row>
    <row r="16" spans="1:2" x14ac:dyDescent="0.2">
      <c r="A16" s="193" t="s">
        <v>142</v>
      </c>
      <c r="B16" s="197">
        <v>1.4</v>
      </c>
    </row>
    <row r="17" spans="1:2" x14ac:dyDescent="0.2">
      <c r="A17" s="193" t="s">
        <v>143</v>
      </c>
      <c r="B17" s="197">
        <v>0.7</v>
      </c>
    </row>
    <row r="18" spans="1:2" x14ac:dyDescent="0.2">
      <c r="A18" s="193" t="s">
        <v>144</v>
      </c>
      <c r="B18" s="197">
        <v>0.5</v>
      </c>
    </row>
    <row r="19" spans="1:2" x14ac:dyDescent="0.2">
      <c r="A19" s="193" t="s">
        <v>145</v>
      </c>
      <c r="B19" s="197">
        <v>0.7</v>
      </c>
    </row>
    <row r="20" spans="1:2" x14ac:dyDescent="0.2">
      <c r="A20" s="193" t="s">
        <v>146</v>
      </c>
      <c r="B20" s="197">
        <v>1.7</v>
      </c>
    </row>
    <row r="21" spans="1:2" x14ac:dyDescent="0.2">
      <c r="A21" s="193" t="s">
        <v>147</v>
      </c>
      <c r="B21" s="197">
        <v>1.4</v>
      </c>
    </row>
    <row r="22" spans="1:2" x14ac:dyDescent="0.2">
      <c r="A22" s="193" t="s">
        <v>148</v>
      </c>
      <c r="B22" s="197">
        <v>1.2</v>
      </c>
    </row>
    <row r="23" spans="1:2" x14ac:dyDescent="0.2">
      <c r="A23" s="193" t="s">
        <v>149</v>
      </c>
      <c r="B23" s="197">
        <v>1.5</v>
      </c>
    </row>
    <row r="24" spans="1:2" x14ac:dyDescent="0.2">
      <c r="B24" s="198">
        <f>SUM(B12:B23)/12</f>
        <v>1</v>
      </c>
    </row>
    <row r="26" spans="1:2" x14ac:dyDescent="0.2">
      <c r="A26" s="192" t="s">
        <v>242</v>
      </c>
      <c r="B26" s="192">
        <f>IF(Калькулятор!$E$8=1,Персонал!$E$8,IF(Калькулятор!$E$8=2,Персонал!$E$18,Персонал!$E$28))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Калькулятор</vt:lpstr>
      <vt:lpstr>Инвестиции</vt:lpstr>
      <vt:lpstr>Оборудование</vt:lpstr>
      <vt:lpstr>План продаж</vt:lpstr>
      <vt:lpstr>Персонал</vt:lpstr>
      <vt:lpstr>Текущие затраты</vt:lpstr>
      <vt:lpstr>Расчет прибыли</vt:lpstr>
      <vt:lpstr>Служебная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Катерина</dc:creator>
  <cp:lastModifiedBy>Тимур Бакиров</cp:lastModifiedBy>
  <cp:lastPrinted>2016-05-05T21:53:35Z</cp:lastPrinted>
  <dcterms:created xsi:type="dcterms:W3CDTF">2015-06-28T20:32:06Z</dcterms:created>
  <dcterms:modified xsi:type="dcterms:W3CDTF">2020-05-15T13:54:12Z</dcterms:modified>
</cp:coreProperties>
</file>