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defaultThemeVersion="124226"/>
  <bookViews>
    <workbookView xWindow="0" yWindow="0" windowWidth="5295" windowHeight="8250" tabRatio="883" firstSheet="1" activeTab="1"/>
  </bookViews>
  <sheets>
    <sheet name="Ларь5 с тандыром" sheetId="168" state="hidden" r:id="rId1"/>
    <sheet name="Параметры" sheetId="177" r:id="rId2"/>
    <sheet name="Смета график" sheetId="175" r:id="rId3"/>
    <sheet name="Параметры проекта" sheetId="173" state="hidden" r:id="rId4"/>
    <sheet name="БДР" sheetId="179" r:id="rId5"/>
    <sheet name="цех" sheetId="162" state="hidden" r:id="rId6"/>
    <sheet name="цех точка продаж" sheetId="170" state="hidden" r:id="rId7"/>
    <sheet name="Ларь1" sheetId="165" state="hidden" r:id="rId8"/>
    <sheet name="Ларь2" sheetId="167" state="hidden" r:id="rId9"/>
    <sheet name="Ларь3" sheetId="171" state="hidden" r:id="rId10"/>
    <sheet name="Ларь4" sheetId="169" state="hidden" r:id="rId11"/>
    <sheet name="график инвестиций " sheetId="172" state="hidden" r:id="rId12"/>
    <sheet name="Расчет доходности" sheetId="174" state="hidden" r:id="rId13"/>
  </sheets>
  <externalReferences>
    <externalReference r:id="rId14"/>
    <externalReference r:id="rId15"/>
  </externalReferences>
  <definedNames>
    <definedName name="credit_1_percent" localSheetId="7">#REF!</definedName>
    <definedName name="credit_1_percent" localSheetId="8">#REF!</definedName>
    <definedName name="credit_1_percent" localSheetId="9">#REF!</definedName>
    <definedName name="credit_1_percent" localSheetId="10">#REF!</definedName>
    <definedName name="credit_1_percent" localSheetId="0">#REF!</definedName>
    <definedName name="credit_1_percent" localSheetId="5">#REF!</definedName>
    <definedName name="credit_1_percent" localSheetId="6">#REF!</definedName>
    <definedName name="credit_1_percent">#REF!</definedName>
    <definedName name="credit_2_percent" localSheetId="7">#REF!</definedName>
    <definedName name="credit_2_percent" localSheetId="8">#REF!</definedName>
    <definedName name="credit_2_percent" localSheetId="9">#REF!</definedName>
    <definedName name="credit_2_percent" localSheetId="10">#REF!</definedName>
    <definedName name="credit_2_percent" localSheetId="0">#REF!</definedName>
    <definedName name="credit_2_percent" localSheetId="5">#REF!</definedName>
    <definedName name="credit_2_percent" localSheetId="6">#REF!</definedName>
    <definedName name="credit_2_percent">#REF!</definedName>
    <definedName name="credit_3_rate" localSheetId="7">#REF!</definedName>
    <definedName name="credit_3_rate" localSheetId="8">#REF!</definedName>
    <definedName name="credit_3_rate" localSheetId="9">#REF!</definedName>
    <definedName name="credit_3_rate" localSheetId="10">#REF!</definedName>
    <definedName name="credit_3_rate" localSheetId="0">#REF!</definedName>
    <definedName name="credit_3_rate" localSheetId="5">#REF!</definedName>
    <definedName name="credit_3_rate" localSheetId="6">#REF!</definedName>
    <definedName name="credit_3_rate">#REF!</definedName>
    <definedName name="EUR_DKK">[1]Gen!$C$35</definedName>
    <definedName name="EUR_NOK_16092004">[1]Gen!$C$31</definedName>
    <definedName name="EUR_NOK_26082003">[1]Gen!$C$34</definedName>
    <definedName name="EUR_NOK_29082003">[1]Gen!$C$33</definedName>
    <definedName name="EUR_NOK_current">[1]Gen!$C$32</definedName>
    <definedName name="EUR_NOK_shipyard">[1]Gen!$C$30</definedName>
    <definedName name="kurs" localSheetId="7">#REF!</definedName>
    <definedName name="kurs" localSheetId="8">#REF!</definedName>
    <definedName name="kurs" localSheetId="9">#REF!</definedName>
    <definedName name="kurs" localSheetId="10">#REF!</definedName>
    <definedName name="kurs" localSheetId="0">#REF!</definedName>
    <definedName name="kurs" localSheetId="5">#REF!</definedName>
    <definedName name="kurs" localSheetId="6">#REF!</definedName>
    <definedName name="kurs">#REF!</definedName>
    <definedName name="month" localSheetId="7">#REF!</definedName>
    <definedName name="month" localSheetId="8">#REF!</definedName>
    <definedName name="month" localSheetId="9">#REF!</definedName>
    <definedName name="month" localSheetId="10">#REF!</definedName>
    <definedName name="month" localSheetId="0">#REF!</definedName>
    <definedName name="month" localSheetId="5">#REF!</definedName>
    <definedName name="month" localSheetId="6">#REF!</definedName>
    <definedName name="month">#REF!</definedName>
    <definedName name="nacenka" localSheetId="7">#REF!</definedName>
    <definedName name="nacenka" localSheetId="8">#REF!</definedName>
    <definedName name="nacenka" localSheetId="9">#REF!</definedName>
    <definedName name="nacenka" localSheetId="10">#REF!</definedName>
    <definedName name="nacenka" localSheetId="0">#REF!</definedName>
    <definedName name="nacenka" localSheetId="5">#REF!</definedName>
    <definedName name="nacenka" localSheetId="6">#REF!</definedName>
    <definedName name="nacenka">#REF!</definedName>
    <definedName name="plan_1m" localSheetId="7">#REF!</definedName>
    <definedName name="plan_1m" localSheetId="8">#REF!</definedName>
    <definedName name="plan_1m" localSheetId="9">#REF!</definedName>
    <definedName name="plan_1m" localSheetId="10">#REF!</definedName>
    <definedName name="plan_1m" localSheetId="0">#REF!</definedName>
    <definedName name="plan_1m" localSheetId="5">#REF!</definedName>
    <definedName name="plan_1m" localSheetId="6">#REF!</definedName>
    <definedName name="plan_1m">#REF!</definedName>
    <definedName name="plan_2m" localSheetId="7">#REF!</definedName>
    <definedName name="plan_2m" localSheetId="8">#REF!</definedName>
    <definedName name="plan_2m" localSheetId="9">#REF!</definedName>
    <definedName name="plan_2m" localSheetId="10">#REF!</definedName>
    <definedName name="plan_2m" localSheetId="0">#REF!</definedName>
    <definedName name="plan_2m" localSheetId="5">#REF!</definedName>
    <definedName name="plan_2m" localSheetId="6">#REF!</definedName>
    <definedName name="plan_2m">#REF!</definedName>
    <definedName name="plan_3m" localSheetId="7">#REF!</definedName>
    <definedName name="plan_3m" localSheetId="8">#REF!</definedName>
    <definedName name="plan_3m" localSheetId="9">#REF!</definedName>
    <definedName name="plan_3m" localSheetId="10">#REF!</definedName>
    <definedName name="plan_3m" localSheetId="0">#REF!</definedName>
    <definedName name="plan_3m" localSheetId="5">#REF!</definedName>
    <definedName name="plan_3m" localSheetId="6">#REF!</definedName>
    <definedName name="plan_3m">#REF!</definedName>
    <definedName name="plan_4m" localSheetId="7">#REF!</definedName>
    <definedName name="plan_4m" localSheetId="8">#REF!</definedName>
    <definedName name="plan_4m" localSheetId="9">#REF!</definedName>
    <definedName name="plan_4m" localSheetId="10">#REF!</definedName>
    <definedName name="plan_4m" localSheetId="0">#REF!</definedName>
    <definedName name="plan_4m" localSheetId="5">#REF!</definedName>
    <definedName name="plan_4m" localSheetId="6">#REF!</definedName>
    <definedName name="plan_4m">#REF!</definedName>
    <definedName name="polis_1_trawler" localSheetId="7">#REF!</definedName>
    <definedName name="polis_1_trawler" localSheetId="8">#REF!</definedName>
    <definedName name="polis_1_trawler" localSheetId="9">#REF!</definedName>
    <definedName name="polis_1_trawler" localSheetId="10">#REF!</definedName>
    <definedName name="polis_1_trawler" localSheetId="0">#REF!</definedName>
    <definedName name="polis_1_trawler" localSheetId="5">#REF!</definedName>
    <definedName name="polis_1_trawler" localSheetId="6">#REF!</definedName>
    <definedName name="polis_1_trawler">#REF!</definedName>
    <definedName name="sens_catch">[1]DCF!$B$58</definedName>
    <definedName name="sens_fuel">[1]DCF!$B$59</definedName>
    <definedName name="sens_krill">[1]DCF!$B$57</definedName>
    <definedName name="sens_trawler">[1]DCF!$B$60</definedName>
    <definedName name="st" localSheetId="7">#REF!</definedName>
    <definedName name="st" localSheetId="8">#REF!</definedName>
    <definedName name="st" localSheetId="9">#REF!</definedName>
    <definedName name="st" localSheetId="10">#REF!</definedName>
    <definedName name="st" localSheetId="0">#REF!</definedName>
    <definedName name="st" localSheetId="5">#REF!</definedName>
    <definedName name="st" localSheetId="6">#REF!</definedName>
    <definedName name="st">#REF!</definedName>
    <definedName name="USD_EUR_16112005">[1]Gen!$D$29</definedName>
    <definedName name="USD_EUR_Client">[1]Gen!$D$28</definedName>
    <definedName name="UST_foreign" localSheetId="7">#REF!</definedName>
    <definedName name="UST_foreign" localSheetId="8">#REF!</definedName>
    <definedName name="UST_foreign" localSheetId="9">#REF!</definedName>
    <definedName name="UST_foreign" localSheetId="10">#REF!</definedName>
    <definedName name="UST_foreign" localSheetId="0">#REF!</definedName>
    <definedName name="UST_foreign" localSheetId="5">#REF!</definedName>
    <definedName name="UST_foreign" localSheetId="6">#REF!</definedName>
    <definedName name="UST_foreign">#REF!</definedName>
    <definedName name="тн" localSheetId="7">[2]доходы!#REF!</definedName>
    <definedName name="тн" localSheetId="8">[2]доходы!#REF!</definedName>
    <definedName name="тн" localSheetId="9">[2]доходы!#REF!</definedName>
    <definedName name="тн" localSheetId="10">[2]доходы!#REF!</definedName>
    <definedName name="тн" localSheetId="0">[2]доходы!#REF!</definedName>
    <definedName name="тн" localSheetId="5">[2]доходы!#REF!</definedName>
    <definedName name="тн" localSheetId="6">[2]доходы!#REF!</definedName>
    <definedName name="тн">[2]доходы!#REF!</definedName>
    <definedName name="торг.нац." localSheetId="7">[2]доходы!#REF!</definedName>
    <definedName name="торг.нац." localSheetId="8">[2]доходы!#REF!</definedName>
    <definedName name="торг.нац." localSheetId="9">[2]доходы!#REF!</definedName>
    <definedName name="торг.нац." localSheetId="10">[2]доходы!#REF!</definedName>
    <definedName name="торг.нац." localSheetId="0">[2]доходы!#REF!</definedName>
    <definedName name="торг.нац." localSheetId="5">[2]доходы!#REF!</definedName>
    <definedName name="торг.нац." localSheetId="6">[2]доходы!#REF!</definedName>
    <definedName name="торг.нац.">[2]доходы!#REF!</definedName>
  </definedNames>
  <calcPr calcId="144525"/>
</workbook>
</file>

<file path=xl/calcChain.xml><?xml version="1.0" encoding="utf-8"?>
<calcChain xmlns="http://schemas.openxmlformats.org/spreadsheetml/2006/main">
  <c r="F14" i="177" l="1"/>
  <c r="E19" i="177"/>
  <c r="E18" i="177"/>
  <c r="E16" i="177"/>
  <c r="B12" i="173"/>
  <c r="D1" i="179"/>
  <c r="D25" i="179"/>
  <c r="E25" i="179"/>
  <c r="E4" i="179"/>
  <c r="F4" i="179"/>
  <c r="D4" i="179"/>
  <c r="C11" i="179"/>
  <c r="E4" i="175"/>
  <c r="E10" i="175"/>
  <c r="F10" i="175"/>
  <c r="G10" i="175"/>
  <c r="E11" i="175"/>
  <c r="E5" i="175"/>
  <c r="F5" i="175"/>
  <c r="G5" i="175"/>
  <c r="I5" i="175"/>
  <c r="J5" i="175"/>
  <c r="E6" i="175"/>
  <c r="F6" i="175"/>
  <c r="G6" i="175"/>
  <c r="H6" i="175"/>
  <c r="J6" i="175"/>
  <c r="E7" i="175"/>
  <c r="F7" i="175"/>
  <c r="G7" i="175"/>
  <c r="H7" i="175"/>
  <c r="I7" i="175"/>
  <c r="E8" i="175"/>
  <c r="E9" i="175"/>
  <c r="I4" i="175"/>
  <c r="J4" i="175"/>
  <c r="D28" i="177"/>
  <c r="E11" i="177"/>
  <c r="B35" i="173"/>
  <c r="B33" i="173"/>
  <c r="B32" i="173"/>
  <c r="B31" i="173"/>
  <c r="B29" i="173"/>
  <c r="B23" i="173"/>
  <c r="B15" i="173"/>
  <c r="B14" i="173"/>
  <c r="B30" i="173" l="1"/>
  <c r="B26" i="173"/>
  <c r="B25" i="173"/>
  <c r="B18" i="173"/>
  <c r="B17" i="173"/>
  <c r="B13" i="173"/>
  <c r="B7" i="173"/>
  <c r="C21" i="175" l="1"/>
  <c r="B6" i="173" s="1"/>
  <c r="D13" i="177" l="1"/>
  <c r="C4" i="175"/>
  <c r="B5" i="173" l="1"/>
  <c r="D12" i="177"/>
  <c r="B9" i="173" l="1"/>
  <c r="G41" i="173" l="1"/>
  <c r="D30" i="173" l="1"/>
  <c r="F55" i="170"/>
  <c r="F22" i="174"/>
  <c r="F23" i="174"/>
  <c r="F24" i="174"/>
  <c r="F25" i="174"/>
  <c r="F26" i="174"/>
  <c r="F27" i="174"/>
  <c r="F28" i="174"/>
  <c r="F29" i="174"/>
  <c r="F30" i="174"/>
  <c r="F31" i="174"/>
  <c r="F32" i="174"/>
  <c r="F33" i="174"/>
  <c r="F34" i="174"/>
  <c r="F35" i="174"/>
  <c r="F36" i="174"/>
  <c r="F37" i="174"/>
  <c r="F38" i="174"/>
  <c r="F39" i="174"/>
  <c r="F40" i="174"/>
  <c r="F6" i="174"/>
  <c r="F7" i="174"/>
  <c r="F8" i="174"/>
  <c r="F9" i="174"/>
  <c r="F10" i="174"/>
  <c r="F11" i="174"/>
  <c r="F12" i="174"/>
  <c r="F13" i="174"/>
  <c r="F14" i="174"/>
  <c r="F15" i="174"/>
  <c r="F16" i="174"/>
  <c r="F17" i="174"/>
  <c r="F18" i="174"/>
  <c r="F19" i="174"/>
  <c r="F20" i="174"/>
  <c r="F21" i="174"/>
  <c r="F5" i="174"/>
  <c r="A3" i="172" l="1"/>
  <c r="A4" i="172"/>
  <c r="A5" i="172"/>
  <c r="A6" i="172"/>
  <c r="A7" i="172"/>
  <c r="A8" i="172"/>
  <c r="A9" i="172"/>
  <c r="A10" i="172"/>
  <c r="A11" i="172"/>
  <c r="A12" i="172"/>
  <c r="C85" i="162" l="1"/>
  <c r="B8" i="172" s="1"/>
  <c r="E79" i="162" l="1"/>
  <c r="C79" i="162"/>
  <c r="D79" i="162"/>
  <c r="C2" i="172" l="1"/>
  <c r="D89" i="162"/>
  <c r="B2" i="172"/>
  <c r="C89" i="162"/>
  <c r="D3" i="179" s="1"/>
  <c r="B48" i="173"/>
  <c r="B47" i="173"/>
  <c r="C12" i="172" l="1"/>
  <c r="G8" i="175" s="1"/>
  <c r="E3" i="179"/>
  <c r="E7" i="174"/>
  <c r="E11" i="174"/>
  <c r="E15" i="174"/>
  <c r="E19" i="174"/>
  <c r="E23" i="174"/>
  <c r="E27" i="174"/>
  <c r="E31" i="174"/>
  <c r="E35" i="174"/>
  <c r="E39" i="174"/>
  <c r="E8" i="174"/>
  <c r="E12" i="174"/>
  <c r="E16" i="174"/>
  <c r="E20" i="174"/>
  <c r="E24" i="174"/>
  <c r="E28" i="174"/>
  <c r="E32" i="174"/>
  <c r="E36" i="174"/>
  <c r="E40" i="174"/>
  <c r="E9" i="174"/>
  <c r="E13" i="174"/>
  <c r="E17" i="174"/>
  <c r="E21" i="174"/>
  <c r="E25" i="174"/>
  <c r="E29" i="174"/>
  <c r="E33" i="174"/>
  <c r="E37" i="174"/>
  <c r="E5" i="174"/>
  <c r="E6" i="174"/>
  <c r="E10" i="174"/>
  <c r="E14" i="174"/>
  <c r="E18" i="174"/>
  <c r="E22" i="174"/>
  <c r="E26" i="174"/>
  <c r="E30" i="174"/>
  <c r="E34" i="174"/>
  <c r="E38" i="174"/>
  <c r="B12" i="172"/>
  <c r="F8" i="175" s="1"/>
  <c r="C90" i="162"/>
  <c r="D90" i="162"/>
  <c r="AI94" i="162"/>
  <c r="G22" i="173" l="1"/>
  <c r="D45" i="177" s="1"/>
  <c r="G31" i="173" l="1"/>
  <c r="F135" i="162"/>
  <c r="E135" i="162"/>
  <c r="E80" i="162"/>
  <c r="E89" i="162" s="1"/>
  <c r="F3" i="179" s="1"/>
  <c r="F81" i="162"/>
  <c r="F89" i="162" s="1"/>
  <c r="G3" i="179" s="1"/>
  <c r="G82" i="162"/>
  <c r="E90" i="162" l="1"/>
  <c r="F90" i="162"/>
  <c r="O109" i="162"/>
  <c r="C105" i="162" l="1"/>
  <c r="D105" i="162"/>
  <c r="C16" i="172" s="1"/>
  <c r="C17" i="172" s="1"/>
  <c r="G11" i="175" s="1"/>
  <c r="E111" i="162"/>
  <c r="E110" i="162"/>
  <c r="AI55" i="167"/>
  <c r="AH55" i="167"/>
  <c r="AG55" i="167"/>
  <c r="AF55" i="167"/>
  <c r="AE55" i="167"/>
  <c r="AD55" i="167"/>
  <c r="AC55" i="167"/>
  <c r="AB55" i="167"/>
  <c r="AA55" i="167"/>
  <c r="Z55" i="167"/>
  <c r="Y55" i="167"/>
  <c r="X55" i="167"/>
  <c r="W55" i="167"/>
  <c r="V55" i="167"/>
  <c r="U55" i="167"/>
  <c r="T55" i="167"/>
  <c r="S55" i="167"/>
  <c r="R55" i="167"/>
  <c r="Q55" i="167"/>
  <c r="P55" i="167"/>
  <c r="O55" i="167"/>
  <c r="N55" i="167"/>
  <c r="M55" i="167"/>
  <c r="L55" i="167"/>
  <c r="K55" i="167"/>
  <c r="J55" i="167"/>
  <c r="I55" i="167"/>
  <c r="H55" i="167"/>
  <c r="G55" i="167"/>
  <c r="AI55" i="171"/>
  <c r="AH55" i="171"/>
  <c r="AG55" i="171"/>
  <c r="AF55" i="171"/>
  <c r="AE55" i="171"/>
  <c r="AD55" i="171"/>
  <c r="AC55" i="171"/>
  <c r="AB55" i="171"/>
  <c r="AA55" i="171"/>
  <c r="Z55" i="171"/>
  <c r="Y55" i="171"/>
  <c r="X55" i="171"/>
  <c r="W55" i="171"/>
  <c r="V55" i="171"/>
  <c r="U55" i="171"/>
  <c r="T55" i="171"/>
  <c r="S55" i="171"/>
  <c r="R55" i="171"/>
  <c r="Q55" i="171"/>
  <c r="P55" i="171"/>
  <c r="O55" i="171"/>
  <c r="N55" i="171"/>
  <c r="M55" i="171"/>
  <c r="L55" i="171"/>
  <c r="K55" i="171"/>
  <c r="J55" i="171"/>
  <c r="I55" i="171"/>
  <c r="H55" i="171"/>
  <c r="G55" i="171"/>
  <c r="AI55" i="169"/>
  <c r="AH55" i="169"/>
  <c r="AG55" i="169"/>
  <c r="AF55" i="169"/>
  <c r="AE55" i="169"/>
  <c r="AD55" i="169"/>
  <c r="AC55" i="169"/>
  <c r="AB55" i="169"/>
  <c r="AA55" i="169"/>
  <c r="Z55" i="169"/>
  <c r="Y55" i="169"/>
  <c r="X55" i="169"/>
  <c r="W55" i="169"/>
  <c r="V55" i="169"/>
  <c r="U55" i="169"/>
  <c r="T55" i="169"/>
  <c r="S55" i="169"/>
  <c r="R55" i="169"/>
  <c r="Q55" i="169"/>
  <c r="P55" i="169"/>
  <c r="O55" i="169"/>
  <c r="N55" i="169"/>
  <c r="M55" i="169"/>
  <c r="L55" i="169"/>
  <c r="K55" i="169"/>
  <c r="J55" i="169"/>
  <c r="I55" i="169"/>
  <c r="H55" i="169"/>
  <c r="G55" i="169"/>
  <c r="AI55" i="165"/>
  <c r="AH55" i="165"/>
  <c r="AG55" i="165"/>
  <c r="AF55" i="165"/>
  <c r="AE55" i="165"/>
  <c r="AD55" i="165"/>
  <c r="AC55" i="165"/>
  <c r="AB55" i="165"/>
  <c r="AA55" i="165"/>
  <c r="Z55" i="165"/>
  <c r="Y55" i="165"/>
  <c r="X55" i="165"/>
  <c r="W55" i="165"/>
  <c r="V55" i="165"/>
  <c r="U55" i="165"/>
  <c r="T55" i="165"/>
  <c r="S55" i="165"/>
  <c r="R55" i="165"/>
  <c r="Q55" i="165"/>
  <c r="P55" i="165"/>
  <c r="O55" i="165"/>
  <c r="N55" i="165"/>
  <c r="M55" i="165"/>
  <c r="L55" i="165"/>
  <c r="K55" i="165"/>
  <c r="J55" i="165"/>
  <c r="I55" i="165"/>
  <c r="H55" i="165"/>
  <c r="G55" i="165"/>
  <c r="F55" i="167"/>
  <c r="F55" i="171"/>
  <c r="F55" i="169"/>
  <c r="F55" i="165"/>
  <c r="AI55" i="170"/>
  <c r="AH55" i="170"/>
  <c r="AG55" i="170"/>
  <c r="AF55" i="170"/>
  <c r="AE55" i="170"/>
  <c r="AD55" i="170"/>
  <c r="AC55" i="170"/>
  <c r="AB55" i="170"/>
  <c r="AA55" i="170"/>
  <c r="Z55" i="170"/>
  <c r="Y55" i="170"/>
  <c r="X55" i="170"/>
  <c r="W55" i="170"/>
  <c r="V55" i="170"/>
  <c r="U55" i="170"/>
  <c r="T55" i="170"/>
  <c r="S55" i="170"/>
  <c r="R55" i="170"/>
  <c r="Q55" i="170"/>
  <c r="P55" i="170"/>
  <c r="O55" i="170"/>
  <c r="N55" i="170"/>
  <c r="M55" i="170"/>
  <c r="L55" i="170"/>
  <c r="K55" i="170"/>
  <c r="J55" i="170"/>
  <c r="I55" i="170"/>
  <c r="H55" i="170"/>
  <c r="G55" i="170"/>
  <c r="J122" i="162"/>
  <c r="J121" i="162"/>
  <c r="J120" i="162"/>
  <c r="I122" i="162"/>
  <c r="I121" i="162"/>
  <c r="I120" i="162"/>
  <c r="E76" i="162"/>
  <c r="E75" i="162"/>
  <c r="AI51" i="167"/>
  <c r="AH51" i="167"/>
  <c r="AG51" i="167"/>
  <c r="AF51" i="167"/>
  <c r="AE51" i="167"/>
  <c r="AD51" i="167"/>
  <c r="AC51" i="167"/>
  <c r="AB51" i="167"/>
  <c r="AA51" i="167"/>
  <c r="Z51" i="167"/>
  <c r="Y51" i="167"/>
  <c r="X51" i="167"/>
  <c r="W51" i="167"/>
  <c r="V51" i="167"/>
  <c r="U51" i="167"/>
  <c r="T51" i="167"/>
  <c r="S51" i="167"/>
  <c r="R51" i="167"/>
  <c r="Q51" i="167"/>
  <c r="P51" i="167"/>
  <c r="O51" i="167"/>
  <c r="N51" i="167"/>
  <c r="M51" i="167"/>
  <c r="L51" i="167"/>
  <c r="K51" i="167"/>
  <c r="J51" i="167"/>
  <c r="I51" i="167"/>
  <c r="H51" i="167"/>
  <c r="G51" i="167"/>
  <c r="AI51" i="171"/>
  <c r="AH51" i="171"/>
  <c r="AG51" i="171"/>
  <c r="AF51" i="171"/>
  <c r="AE51" i="171"/>
  <c r="AD51" i="171"/>
  <c r="AC51" i="171"/>
  <c r="AB51" i="171"/>
  <c r="AA51" i="171"/>
  <c r="Z51" i="171"/>
  <c r="Y51" i="171"/>
  <c r="X51" i="171"/>
  <c r="W51" i="171"/>
  <c r="V51" i="171"/>
  <c r="U51" i="171"/>
  <c r="T51" i="171"/>
  <c r="S51" i="171"/>
  <c r="R51" i="171"/>
  <c r="Q51" i="171"/>
  <c r="P51" i="171"/>
  <c r="O51" i="171"/>
  <c r="N51" i="171"/>
  <c r="M51" i="171"/>
  <c r="L51" i="171"/>
  <c r="K51" i="171"/>
  <c r="J51" i="171"/>
  <c r="I51" i="171"/>
  <c r="H51" i="171"/>
  <c r="G51" i="171"/>
  <c r="AI51" i="169"/>
  <c r="AH51" i="169"/>
  <c r="AG51" i="169"/>
  <c r="AF51" i="169"/>
  <c r="AE51" i="169"/>
  <c r="AD51" i="169"/>
  <c r="AC51" i="169"/>
  <c r="AB51" i="169"/>
  <c r="AA51" i="169"/>
  <c r="Z51" i="169"/>
  <c r="Y51" i="169"/>
  <c r="X51" i="169"/>
  <c r="W51" i="169"/>
  <c r="V51" i="169"/>
  <c r="U51" i="169"/>
  <c r="T51" i="169"/>
  <c r="S51" i="169"/>
  <c r="R51" i="169"/>
  <c r="Q51" i="169"/>
  <c r="P51" i="169"/>
  <c r="O51" i="169"/>
  <c r="N51" i="169"/>
  <c r="M51" i="169"/>
  <c r="L51" i="169"/>
  <c r="K51" i="169"/>
  <c r="J51" i="169"/>
  <c r="I51" i="169"/>
  <c r="H51" i="169"/>
  <c r="G51" i="169"/>
  <c r="AI51" i="165"/>
  <c r="AJ21" i="179" s="1"/>
  <c r="AH51" i="165"/>
  <c r="AI21" i="179" s="1"/>
  <c r="AG51" i="165"/>
  <c r="AH21" i="179" s="1"/>
  <c r="AF51" i="165"/>
  <c r="AG21" i="179" s="1"/>
  <c r="AE51" i="165"/>
  <c r="AF21" i="179" s="1"/>
  <c r="AD51" i="165"/>
  <c r="AE21" i="179" s="1"/>
  <c r="AC51" i="165"/>
  <c r="AD21" i="179" s="1"/>
  <c r="AB51" i="165"/>
  <c r="AC21" i="179" s="1"/>
  <c r="AA51" i="165"/>
  <c r="AB21" i="179" s="1"/>
  <c r="Z51" i="165"/>
  <c r="AA21" i="179" s="1"/>
  <c r="Y51" i="165"/>
  <c r="Z21" i="179" s="1"/>
  <c r="X51" i="165"/>
  <c r="Y21" i="179" s="1"/>
  <c r="W51" i="165"/>
  <c r="X21" i="179" s="1"/>
  <c r="V51" i="165"/>
  <c r="W21" i="179" s="1"/>
  <c r="U51" i="165"/>
  <c r="V21" i="179" s="1"/>
  <c r="T51" i="165"/>
  <c r="U21" i="179" s="1"/>
  <c r="S51" i="165"/>
  <c r="T21" i="179" s="1"/>
  <c r="R51" i="165"/>
  <c r="S21" i="179" s="1"/>
  <c r="Q51" i="165"/>
  <c r="R21" i="179" s="1"/>
  <c r="P51" i="165"/>
  <c r="Q21" i="179" s="1"/>
  <c r="O51" i="165"/>
  <c r="P21" i="179" s="1"/>
  <c r="N51" i="165"/>
  <c r="O21" i="179" s="1"/>
  <c r="M51" i="165"/>
  <c r="N21" i="179" s="1"/>
  <c r="L51" i="165"/>
  <c r="M21" i="179" s="1"/>
  <c r="K51" i="165"/>
  <c r="L21" i="179" s="1"/>
  <c r="J51" i="165"/>
  <c r="K21" i="179" s="1"/>
  <c r="I51" i="165"/>
  <c r="J21" i="179" s="1"/>
  <c r="H51" i="165"/>
  <c r="I21" i="179" s="1"/>
  <c r="G51" i="165"/>
  <c r="H21" i="179" s="1"/>
  <c r="F51" i="167"/>
  <c r="F51" i="171"/>
  <c r="F51" i="169"/>
  <c r="F51" i="165"/>
  <c r="G21" i="179" s="1"/>
  <c r="F67" i="167"/>
  <c r="F67" i="171"/>
  <c r="F67" i="169"/>
  <c r="F67" i="165"/>
  <c r="F67" i="170"/>
  <c r="AI26" i="167"/>
  <c r="AH26" i="167"/>
  <c r="AG26" i="167"/>
  <c r="AF26" i="167"/>
  <c r="AE26" i="167"/>
  <c r="AD26" i="167"/>
  <c r="AC26" i="167"/>
  <c r="AB26" i="167"/>
  <c r="AA26" i="167"/>
  <c r="Z26" i="167"/>
  <c r="Y26" i="167"/>
  <c r="X26" i="167"/>
  <c r="W26" i="167"/>
  <c r="V26" i="167"/>
  <c r="U26" i="167"/>
  <c r="T26" i="167"/>
  <c r="S26" i="167"/>
  <c r="R26" i="167"/>
  <c r="Q26" i="167"/>
  <c r="P26" i="167"/>
  <c r="O26" i="167"/>
  <c r="N26" i="167"/>
  <c r="M26" i="167"/>
  <c r="L26" i="167"/>
  <c r="K26" i="167"/>
  <c r="J26" i="167"/>
  <c r="I26" i="167"/>
  <c r="H26" i="167"/>
  <c r="G26" i="167"/>
  <c r="AI26" i="171"/>
  <c r="AH26" i="171"/>
  <c r="AG26" i="171"/>
  <c r="AF26" i="171"/>
  <c r="AE26" i="171"/>
  <c r="AD26" i="171"/>
  <c r="AC26" i="171"/>
  <c r="AB26" i="171"/>
  <c r="AA26" i="171"/>
  <c r="Z26" i="171"/>
  <c r="Y26" i="171"/>
  <c r="X26" i="171"/>
  <c r="W26" i="171"/>
  <c r="V26" i="171"/>
  <c r="U26" i="171"/>
  <c r="T26" i="171"/>
  <c r="S26" i="171"/>
  <c r="R26" i="171"/>
  <c r="Q26" i="171"/>
  <c r="P26" i="171"/>
  <c r="O26" i="171"/>
  <c r="N26" i="171"/>
  <c r="M26" i="171"/>
  <c r="L26" i="171"/>
  <c r="K26" i="171"/>
  <c r="J26" i="171"/>
  <c r="I26" i="171"/>
  <c r="H26" i="171"/>
  <c r="G26" i="171"/>
  <c r="AI26" i="169"/>
  <c r="AH26" i="169"/>
  <c r="AG26" i="169"/>
  <c r="AF26" i="169"/>
  <c r="AE26" i="169"/>
  <c r="AD26" i="169"/>
  <c r="AC26" i="169"/>
  <c r="AB26" i="169"/>
  <c r="AA26" i="169"/>
  <c r="Z26" i="169"/>
  <c r="Y26" i="169"/>
  <c r="X26" i="169"/>
  <c r="W26" i="169"/>
  <c r="V26" i="169"/>
  <c r="U26" i="169"/>
  <c r="T26" i="169"/>
  <c r="S26" i="169"/>
  <c r="R26" i="169"/>
  <c r="Q26" i="169"/>
  <c r="P26" i="169"/>
  <c r="O26" i="169"/>
  <c r="N26" i="169"/>
  <c r="M26" i="169"/>
  <c r="L26" i="169"/>
  <c r="K26" i="169"/>
  <c r="J26" i="169"/>
  <c r="I26" i="169"/>
  <c r="H26" i="169"/>
  <c r="G26" i="169"/>
  <c r="AI26" i="165"/>
  <c r="AH26" i="165"/>
  <c r="AG26" i="165"/>
  <c r="AF26" i="165"/>
  <c r="AE26" i="165"/>
  <c r="AD26" i="165"/>
  <c r="AC26" i="165"/>
  <c r="AB26" i="165"/>
  <c r="AA26" i="165"/>
  <c r="Z26" i="165"/>
  <c r="Y26" i="165"/>
  <c r="X26" i="165"/>
  <c r="W26" i="165"/>
  <c r="V26" i="165"/>
  <c r="U26" i="165"/>
  <c r="T26" i="165"/>
  <c r="S26" i="165"/>
  <c r="R26" i="165"/>
  <c r="Q26" i="165"/>
  <c r="P26" i="165"/>
  <c r="O26" i="165"/>
  <c r="N26" i="165"/>
  <c r="M26" i="165"/>
  <c r="L26" i="165"/>
  <c r="K26" i="165"/>
  <c r="J26" i="165"/>
  <c r="I26" i="165"/>
  <c r="H26" i="165"/>
  <c r="G26" i="165"/>
  <c r="F26" i="167"/>
  <c r="F26" i="171"/>
  <c r="F26" i="169"/>
  <c r="F26" i="165"/>
  <c r="F25" i="167"/>
  <c r="F25" i="171"/>
  <c r="F25" i="169"/>
  <c r="F25" i="165"/>
  <c r="AI25" i="167"/>
  <c r="AH25" i="167"/>
  <c r="AG25" i="167"/>
  <c r="AF25" i="167"/>
  <c r="AE25" i="167"/>
  <c r="AD25" i="167"/>
  <c r="AC25" i="167"/>
  <c r="AB25" i="167"/>
  <c r="AA25" i="167"/>
  <c r="Z25" i="167"/>
  <c r="Y25" i="167"/>
  <c r="X25" i="167"/>
  <c r="W25" i="167"/>
  <c r="V25" i="167"/>
  <c r="U25" i="167"/>
  <c r="T25" i="167"/>
  <c r="S25" i="167"/>
  <c r="R25" i="167"/>
  <c r="Q25" i="167"/>
  <c r="P25" i="167"/>
  <c r="O25" i="167"/>
  <c r="N25" i="167"/>
  <c r="M25" i="167"/>
  <c r="L25" i="167"/>
  <c r="K25" i="167"/>
  <c r="J25" i="167"/>
  <c r="I25" i="167"/>
  <c r="H25" i="167"/>
  <c r="G25" i="167"/>
  <c r="AI25" i="171"/>
  <c r="AH25" i="171"/>
  <c r="AG25" i="171"/>
  <c r="AF25" i="171"/>
  <c r="AE25" i="171"/>
  <c r="AD25" i="171"/>
  <c r="AC25" i="171"/>
  <c r="AB25" i="171"/>
  <c r="AA25" i="171"/>
  <c r="Z25" i="171"/>
  <c r="Y25" i="171"/>
  <c r="X25" i="171"/>
  <c r="W25" i="171"/>
  <c r="V25" i="171"/>
  <c r="U25" i="171"/>
  <c r="T25" i="171"/>
  <c r="S25" i="171"/>
  <c r="R25" i="171"/>
  <c r="Q25" i="171"/>
  <c r="P25" i="171"/>
  <c r="O25" i="171"/>
  <c r="N25" i="171"/>
  <c r="M25" i="171"/>
  <c r="L25" i="171"/>
  <c r="K25" i="171"/>
  <c r="J25" i="171"/>
  <c r="I25" i="171"/>
  <c r="H25" i="171"/>
  <c r="G25" i="171"/>
  <c r="AI25" i="169"/>
  <c r="AH25" i="169"/>
  <c r="AG25" i="169"/>
  <c r="AF25" i="169"/>
  <c r="AE25" i="169"/>
  <c r="AD25" i="169"/>
  <c r="AC25" i="169"/>
  <c r="AB25" i="169"/>
  <c r="AA25" i="169"/>
  <c r="Z25" i="169"/>
  <c r="Y25" i="169"/>
  <c r="X25" i="169"/>
  <c r="W25" i="169"/>
  <c r="V25" i="169"/>
  <c r="U25" i="169"/>
  <c r="T25" i="169"/>
  <c r="S25" i="169"/>
  <c r="R25" i="169"/>
  <c r="Q25" i="169"/>
  <c r="P25" i="169"/>
  <c r="O25" i="169"/>
  <c r="N25" i="169"/>
  <c r="M25" i="169"/>
  <c r="L25" i="169"/>
  <c r="K25" i="169"/>
  <c r="J25" i="169"/>
  <c r="I25" i="169"/>
  <c r="H25" i="169"/>
  <c r="G25" i="169"/>
  <c r="AI25" i="165"/>
  <c r="AH25" i="165"/>
  <c r="AG25" i="165"/>
  <c r="AF25" i="165"/>
  <c r="AE25" i="165"/>
  <c r="AD25" i="165"/>
  <c r="AC25" i="165"/>
  <c r="AB25" i="165"/>
  <c r="AA25" i="165"/>
  <c r="Z25" i="165"/>
  <c r="Y25" i="165"/>
  <c r="X25" i="165"/>
  <c r="W25" i="165"/>
  <c r="V25" i="165"/>
  <c r="U25" i="165"/>
  <c r="T25" i="165"/>
  <c r="S25" i="165"/>
  <c r="R25" i="165"/>
  <c r="Q25" i="165"/>
  <c r="P25" i="165"/>
  <c r="O25" i="165"/>
  <c r="N25" i="165"/>
  <c r="M25" i="165"/>
  <c r="L25" i="165"/>
  <c r="K25" i="165"/>
  <c r="J25" i="165"/>
  <c r="I25" i="165"/>
  <c r="H25" i="165"/>
  <c r="G25" i="165"/>
  <c r="D33" i="173"/>
  <c r="D31" i="173"/>
  <c r="D32" i="173"/>
  <c r="I111" i="162"/>
  <c r="I110" i="162"/>
  <c r="E129" i="162"/>
  <c r="E128" i="162"/>
  <c r="E127" i="162"/>
  <c r="AI22" i="162"/>
  <c r="AJ9" i="179" s="1"/>
  <c r="AH22" i="162"/>
  <c r="AI9" i="179" s="1"/>
  <c r="AG22" i="162"/>
  <c r="AH9" i="179" s="1"/>
  <c r="AF22" i="162"/>
  <c r="AG9" i="179" s="1"/>
  <c r="AE22" i="162"/>
  <c r="AF9" i="179" s="1"/>
  <c r="AD22" i="162"/>
  <c r="AE9" i="179" s="1"/>
  <c r="AC22" i="162"/>
  <c r="AD9" i="179" s="1"/>
  <c r="AB22" i="162"/>
  <c r="AC9" i="179" s="1"/>
  <c r="AA22" i="162"/>
  <c r="AB9" i="179" s="1"/>
  <c r="Z22" i="162"/>
  <c r="AA9" i="179" s="1"/>
  <c r="Y22" i="162"/>
  <c r="Z9" i="179" s="1"/>
  <c r="X22" i="162"/>
  <c r="Y9" i="179" s="1"/>
  <c r="W22" i="162"/>
  <c r="X9" i="179" s="1"/>
  <c r="V22" i="162"/>
  <c r="W9" i="179" s="1"/>
  <c r="U22" i="162"/>
  <c r="V9" i="179" s="1"/>
  <c r="T22" i="162"/>
  <c r="U9" i="179" s="1"/>
  <c r="S22" i="162"/>
  <c r="T9" i="179" s="1"/>
  <c r="R22" i="162"/>
  <c r="S9" i="179" s="1"/>
  <c r="Q22" i="162"/>
  <c r="R9" i="179" s="1"/>
  <c r="P22" i="162"/>
  <c r="Q9" i="179" s="1"/>
  <c r="O22" i="162"/>
  <c r="P9" i="179" s="1"/>
  <c r="N22" i="162"/>
  <c r="O9" i="179" s="1"/>
  <c r="M22" i="162"/>
  <c r="N9" i="179" s="1"/>
  <c r="L22" i="162"/>
  <c r="M9" i="179" s="1"/>
  <c r="K22" i="162"/>
  <c r="L9" i="179" s="1"/>
  <c r="J22" i="162"/>
  <c r="K9" i="179" s="1"/>
  <c r="I22" i="162"/>
  <c r="J9" i="179" s="1"/>
  <c r="H22" i="162"/>
  <c r="I9" i="179" s="1"/>
  <c r="H21" i="162"/>
  <c r="I8" i="179" s="1"/>
  <c r="AI21" i="162"/>
  <c r="AH21" i="162"/>
  <c r="AG21" i="162"/>
  <c r="AF21" i="162"/>
  <c r="AG8" i="179" s="1"/>
  <c r="AE21" i="162"/>
  <c r="AD21" i="162"/>
  <c r="AC21" i="162"/>
  <c r="AB21" i="162"/>
  <c r="AC8" i="179" s="1"/>
  <c r="AA21" i="162"/>
  <c r="Z21" i="162"/>
  <c r="Y21" i="162"/>
  <c r="X21" i="162"/>
  <c r="Y8" i="179" s="1"/>
  <c r="W21" i="162"/>
  <c r="V21" i="162"/>
  <c r="U21" i="162"/>
  <c r="T21" i="162"/>
  <c r="U8" i="179" s="1"/>
  <c r="S21" i="162"/>
  <c r="R21" i="162"/>
  <c r="Q21" i="162"/>
  <c r="P21" i="162"/>
  <c r="Q8" i="179" s="1"/>
  <c r="O21" i="162"/>
  <c r="N21" i="162"/>
  <c r="M21" i="162"/>
  <c r="L21" i="162"/>
  <c r="M8" i="179" s="1"/>
  <c r="K21" i="162"/>
  <c r="J21" i="162"/>
  <c r="I21" i="162"/>
  <c r="G21" i="162"/>
  <c r="H8" i="179" s="1"/>
  <c r="F21" i="162"/>
  <c r="L8" i="179" l="1"/>
  <c r="P8" i="179"/>
  <c r="T8" i="179"/>
  <c r="X8" i="179"/>
  <c r="AB8" i="179"/>
  <c r="AF8" i="179"/>
  <c r="AJ8" i="179"/>
  <c r="J8" i="179"/>
  <c r="N8" i="179"/>
  <c r="R8" i="179"/>
  <c r="V8" i="179"/>
  <c r="Z8" i="179"/>
  <c r="AD8" i="179"/>
  <c r="AH8" i="179"/>
  <c r="G8" i="179"/>
  <c r="K8" i="179"/>
  <c r="O8" i="179"/>
  <c r="S8" i="179"/>
  <c r="W8" i="179"/>
  <c r="AA8" i="179"/>
  <c r="AE8" i="179"/>
  <c r="AI8" i="179"/>
  <c r="D106" i="162"/>
  <c r="D107" i="162" s="1"/>
  <c r="E26" i="179" s="1"/>
  <c r="B16" i="172"/>
  <c r="B17" i="172" s="1"/>
  <c r="F11" i="175" s="1"/>
  <c r="C106" i="162"/>
  <c r="C107" i="162" s="1"/>
  <c r="D26" i="179" s="1"/>
  <c r="G42" i="162"/>
  <c r="G44" i="162"/>
  <c r="P44" i="162"/>
  <c r="P42" i="162"/>
  <c r="X44" i="162"/>
  <c r="X42" i="162"/>
  <c r="AB44" i="162"/>
  <c r="AB42" i="162"/>
  <c r="M44" i="162"/>
  <c r="M42" i="162"/>
  <c r="Q44" i="162"/>
  <c r="Q42" i="162"/>
  <c r="Y44" i="162"/>
  <c r="Y42" i="162"/>
  <c r="J42" i="162"/>
  <c r="J44" i="162"/>
  <c r="R42" i="162"/>
  <c r="R44" i="162"/>
  <c r="Z42" i="162"/>
  <c r="Z44" i="162"/>
  <c r="AD42" i="162"/>
  <c r="AD44" i="162"/>
  <c r="AH42" i="162"/>
  <c r="AH44" i="162"/>
  <c r="L44" i="162"/>
  <c r="L42" i="162"/>
  <c r="T44" i="162"/>
  <c r="T42" i="162"/>
  <c r="AF44" i="162"/>
  <c r="AF42" i="162"/>
  <c r="I44" i="162"/>
  <c r="I42" i="162"/>
  <c r="U44" i="162"/>
  <c r="U42" i="162"/>
  <c r="AC44" i="162"/>
  <c r="AC42" i="162"/>
  <c r="N42" i="162"/>
  <c r="N44" i="162"/>
  <c r="V42" i="162"/>
  <c r="V44" i="162"/>
  <c r="F42" i="162"/>
  <c r="F44" i="162"/>
  <c r="K42" i="162"/>
  <c r="K44" i="162"/>
  <c r="O42" i="162"/>
  <c r="O44" i="162"/>
  <c r="S42" i="162"/>
  <c r="S44" i="162"/>
  <c r="W42" i="162"/>
  <c r="W44" i="162"/>
  <c r="AA42" i="162"/>
  <c r="AA44" i="162"/>
  <c r="AE42" i="162"/>
  <c r="AE44" i="162"/>
  <c r="AI42" i="162"/>
  <c r="AI44" i="162"/>
  <c r="H44" i="162"/>
  <c r="H42" i="162"/>
  <c r="AG44" i="162"/>
  <c r="AG42" i="162"/>
  <c r="F22" i="162"/>
  <c r="G9" i="179" s="1"/>
  <c r="G22" i="162"/>
  <c r="H9" i="179" s="1"/>
  <c r="E130" i="162"/>
  <c r="F52" i="162" s="1"/>
  <c r="G22" i="179" s="1"/>
  <c r="G52" i="162" l="1"/>
  <c r="H22" i="179" s="1"/>
  <c r="AI52" i="162" l="1"/>
  <c r="AJ22" i="179" s="1"/>
  <c r="AH52" i="162"/>
  <c r="AI22" i="179" s="1"/>
  <c r="AG52" i="162"/>
  <c r="AH22" i="179" s="1"/>
  <c r="AF52" i="162"/>
  <c r="AG22" i="179" s="1"/>
  <c r="AE52" i="162"/>
  <c r="AF22" i="179" s="1"/>
  <c r="AD52" i="162"/>
  <c r="AE22" i="179" s="1"/>
  <c r="AC52" i="162"/>
  <c r="AD22" i="179" s="1"/>
  <c r="AB52" i="162"/>
  <c r="AC22" i="179" s="1"/>
  <c r="AA52" i="162"/>
  <c r="AB22" i="179" s="1"/>
  <c r="Z52" i="162"/>
  <c r="AA22" i="179" s="1"/>
  <c r="Y52" i="162"/>
  <c r="Z22" i="179" s="1"/>
  <c r="X52" i="162"/>
  <c r="Y22" i="179" s="1"/>
  <c r="W52" i="162"/>
  <c r="X22" i="179" s="1"/>
  <c r="V52" i="162"/>
  <c r="W22" i="179" s="1"/>
  <c r="U52" i="162"/>
  <c r="V22" i="179" s="1"/>
  <c r="T52" i="162"/>
  <c r="U22" i="179" s="1"/>
  <c r="S52" i="162"/>
  <c r="T22" i="179" s="1"/>
  <c r="R52" i="162"/>
  <c r="S22" i="179" s="1"/>
  <c r="Q52" i="162"/>
  <c r="R22" i="179" s="1"/>
  <c r="P52" i="162"/>
  <c r="Q22" i="179" s="1"/>
  <c r="O52" i="162"/>
  <c r="P22" i="179" s="1"/>
  <c r="N52" i="162"/>
  <c r="O22" i="179" s="1"/>
  <c r="M52" i="162"/>
  <c r="N22" i="179" s="1"/>
  <c r="L52" i="162"/>
  <c r="M22" i="179" s="1"/>
  <c r="K52" i="162"/>
  <c r="L22" i="179" s="1"/>
  <c r="J52" i="162"/>
  <c r="K22" i="179" s="1"/>
  <c r="I52" i="162"/>
  <c r="J22" i="179" s="1"/>
  <c r="H52" i="162"/>
  <c r="I22" i="179" s="1"/>
  <c r="D11" i="169" l="1"/>
  <c r="D12" i="169"/>
  <c r="D11" i="171"/>
  <c r="D12" i="171"/>
  <c r="D11" i="167"/>
  <c r="D12" i="167"/>
  <c r="D11" i="165"/>
  <c r="D12" i="165"/>
  <c r="D10" i="169"/>
  <c r="D10" i="171"/>
  <c r="D10" i="167"/>
  <c r="D10" i="165"/>
  <c r="D17" i="169"/>
  <c r="D18" i="169"/>
  <c r="D17" i="171"/>
  <c r="D18" i="171"/>
  <c r="D17" i="167"/>
  <c r="D18" i="167"/>
  <c r="D17" i="165"/>
  <c r="D18" i="165"/>
  <c r="D16" i="169"/>
  <c r="D16" i="171"/>
  <c r="D16" i="167"/>
  <c r="D16" i="165"/>
  <c r="D21" i="170" l="1"/>
  <c r="D20" i="170"/>
  <c r="D11" i="170"/>
  <c r="D10" i="170"/>
  <c r="D22" i="170"/>
  <c r="D11" i="168" l="1"/>
  <c r="D9" i="168"/>
  <c r="D12" i="170"/>
  <c r="I123" i="162"/>
  <c r="K123" i="162" s="1"/>
  <c r="J67" i="162" l="1"/>
  <c r="F39" i="162"/>
  <c r="H70" i="170" l="1"/>
  <c r="F7" i="169"/>
  <c r="F7" i="171"/>
  <c r="F7" i="167"/>
  <c r="F7" i="165"/>
  <c r="G7" i="170"/>
  <c r="H7" i="170"/>
  <c r="I7" i="170"/>
  <c r="J7" i="170"/>
  <c r="K7" i="170"/>
  <c r="L7" i="170"/>
  <c r="M7" i="170"/>
  <c r="N7" i="170"/>
  <c r="O7" i="170"/>
  <c r="P7" i="170"/>
  <c r="Q7" i="170"/>
  <c r="R7" i="170"/>
  <c r="S7" i="170"/>
  <c r="T7" i="170"/>
  <c r="U7" i="170"/>
  <c r="V7" i="170"/>
  <c r="W7" i="170"/>
  <c r="X7" i="170"/>
  <c r="Y7" i="170"/>
  <c r="Z7" i="170"/>
  <c r="AA7" i="170"/>
  <c r="AB7" i="170"/>
  <c r="AC7" i="170"/>
  <c r="AD7" i="170"/>
  <c r="AE7" i="170"/>
  <c r="AF7" i="170"/>
  <c r="AG7" i="170"/>
  <c r="AH7" i="170"/>
  <c r="AI7" i="170"/>
  <c r="F7" i="170"/>
  <c r="A1" i="172"/>
  <c r="AI48" i="170" l="1"/>
  <c r="AJ19" i="179" s="1"/>
  <c r="AI44" i="170"/>
  <c r="AI40" i="170"/>
  <c r="AI35" i="170"/>
  <c r="AI49" i="170"/>
  <c r="AJ20" i="179" s="1"/>
  <c r="AI39" i="170"/>
  <c r="AJ12" i="179" s="1"/>
  <c r="AI45" i="170"/>
  <c r="AJ16" i="179" s="1"/>
  <c r="AI43" i="170"/>
  <c r="AJ14" i="179" s="1"/>
  <c r="AE48" i="170"/>
  <c r="AF19" i="179" s="1"/>
  <c r="AE44" i="170"/>
  <c r="AE40" i="170"/>
  <c r="AE35" i="170"/>
  <c r="AE43" i="170"/>
  <c r="AF14" i="179" s="1"/>
  <c r="AE49" i="170"/>
  <c r="AF20" i="179" s="1"/>
  <c r="AE39" i="170"/>
  <c r="AF12" i="179" s="1"/>
  <c r="AE45" i="170"/>
  <c r="AF16" i="179" s="1"/>
  <c r="AA48" i="170"/>
  <c r="AB19" i="179" s="1"/>
  <c r="AA44" i="170"/>
  <c r="AA40" i="170"/>
  <c r="AA35" i="170"/>
  <c r="AA45" i="170"/>
  <c r="AB16" i="179" s="1"/>
  <c r="AA43" i="170"/>
  <c r="AB14" i="179" s="1"/>
  <c r="AA49" i="170"/>
  <c r="AB20" i="179" s="1"/>
  <c r="AA39" i="170"/>
  <c r="AB12" i="179" s="1"/>
  <c r="W48" i="170"/>
  <c r="X19" i="179" s="1"/>
  <c r="W44" i="170"/>
  <c r="W40" i="170"/>
  <c r="W35" i="170"/>
  <c r="W45" i="170"/>
  <c r="X16" i="179" s="1"/>
  <c r="W43" i="170"/>
  <c r="X14" i="179" s="1"/>
  <c r="W49" i="170"/>
  <c r="X20" i="179" s="1"/>
  <c r="W39" i="170"/>
  <c r="X12" i="179" s="1"/>
  <c r="S48" i="170"/>
  <c r="T19" i="179" s="1"/>
  <c r="S44" i="170"/>
  <c r="S40" i="170"/>
  <c r="S35" i="170"/>
  <c r="S49" i="170"/>
  <c r="T20" i="179" s="1"/>
  <c r="S39" i="170"/>
  <c r="T12" i="179" s="1"/>
  <c r="S45" i="170"/>
  <c r="T16" i="179" s="1"/>
  <c r="S43" i="170"/>
  <c r="T14" i="179" s="1"/>
  <c r="O48" i="170"/>
  <c r="P19" i="179" s="1"/>
  <c r="O44" i="170"/>
  <c r="O40" i="170"/>
  <c r="O35" i="170"/>
  <c r="O43" i="170"/>
  <c r="P14" i="179" s="1"/>
  <c r="O39" i="170"/>
  <c r="P12" i="179" s="1"/>
  <c r="O49" i="170"/>
  <c r="P20" i="179" s="1"/>
  <c r="O45" i="170"/>
  <c r="P16" i="179" s="1"/>
  <c r="K48" i="170"/>
  <c r="L19" i="179" s="1"/>
  <c r="K44" i="170"/>
  <c r="K40" i="170"/>
  <c r="K35" i="170"/>
  <c r="K49" i="170"/>
  <c r="L20" i="179" s="1"/>
  <c r="K45" i="170"/>
  <c r="L16" i="179" s="1"/>
  <c r="K43" i="170"/>
  <c r="L14" i="179" s="1"/>
  <c r="K39" i="170"/>
  <c r="L12" i="179" s="1"/>
  <c r="G48" i="170"/>
  <c r="H19" i="179" s="1"/>
  <c r="G44" i="170"/>
  <c r="G40" i="170"/>
  <c r="G35" i="170"/>
  <c r="G45" i="170"/>
  <c r="H16" i="179" s="1"/>
  <c r="G49" i="170"/>
  <c r="H20" i="179" s="1"/>
  <c r="G43" i="170"/>
  <c r="H14" i="179" s="1"/>
  <c r="G39" i="170"/>
  <c r="H12" i="179" s="1"/>
  <c r="AH44" i="170"/>
  <c r="AH45" i="170"/>
  <c r="AI16" i="179" s="1"/>
  <c r="AH40" i="170"/>
  <c r="AH48" i="170"/>
  <c r="AI19" i="179" s="1"/>
  <c r="AH43" i="170"/>
  <c r="AI14" i="179" s="1"/>
  <c r="AH35" i="170"/>
  <c r="AH39" i="170"/>
  <c r="AI12" i="179" s="1"/>
  <c r="AH49" i="170"/>
  <c r="AI20" i="179" s="1"/>
  <c r="AD49" i="170"/>
  <c r="AE20" i="179" s="1"/>
  <c r="AD39" i="170"/>
  <c r="AE12" i="179" s="1"/>
  <c r="AD44" i="170"/>
  <c r="AD45" i="170"/>
  <c r="AE16" i="179" s="1"/>
  <c r="AD40" i="170"/>
  <c r="AD48" i="170"/>
  <c r="AE19" i="179" s="1"/>
  <c r="AD43" i="170"/>
  <c r="AE14" i="179" s="1"/>
  <c r="AD35" i="170"/>
  <c r="Z48" i="170"/>
  <c r="AA19" i="179" s="1"/>
  <c r="Z43" i="170"/>
  <c r="AA14" i="179" s="1"/>
  <c r="Z35" i="170"/>
  <c r="Z49" i="170"/>
  <c r="AA20" i="179" s="1"/>
  <c r="Z39" i="170"/>
  <c r="AA12" i="179" s="1"/>
  <c r="Z44" i="170"/>
  <c r="Z40" i="170"/>
  <c r="Z45" i="170"/>
  <c r="AA16" i="179" s="1"/>
  <c r="V45" i="170"/>
  <c r="W16" i="179" s="1"/>
  <c r="V40" i="170"/>
  <c r="V48" i="170"/>
  <c r="W19" i="179" s="1"/>
  <c r="V43" i="170"/>
  <c r="W14" i="179" s="1"/>
  <c r="V35" i="170"/>
  <c r="V49" i="170"/>
  <c r="W20" i="179" s="1"/>
  <c r="V39" i="170"/>
  <c r="W12" i="179" s="1"/>
  <c r="V44" i="170"/>
  <c r="R49" i="170"/>
  <c r="S20" i="179" s="1"/>
  <c r="R44" i="170"/>
  <c r="R45" i="170"/>
  <c r="S16" i="179" s="1"/>
  <c r="R40" i="170"/>
  <c r="R48" i="170"/>
  <c r="S19" i="179" s="1"/>
  <c r="R43" i="170"/>
  <c r="S14" i="179" s="1"/>
  <c r="R39" i="170"/>
  <c r="S12" i="179" s="1"/>
  <c r="R35" i="170"/>
  <c r="J49" i="170"/>
  <c r="K20" i="179" s="1"/>
  <c r="J48" i="170"/>
  <c r="K19" i="179" s="1"/>
  <c r="J43" i="170"/>
  <c r="K14" i="179" s="1"/>
  <c r="J35" i="170"/>
  <c r="J39" i="170"/>
  <c r="K12" i="179" s="1"/>
  <c r="J44" i="170"/>
  <c r="J45" i="170"/>
  <c r="K16" i="179" s="1"/>
  <c r="J40" i="170"/>
  <c r="AG49" i="170"/>
  <c r="AH20" i="179" s="1"/>
  <c r="AG45" i="170"/>
  <c r="AH16" i="179" s="1"/>
  <c r="AG43" i="170"/>
  <c r="AH14" i="179" s="1"/>
  <c r="AG39" i="170"/>
  <c r="AH12" i="179" s="1"/>
  <c r="AG40" i="170"/>
  <c r="AG48" i="170"/>
  <c r="AH19" i="179" s="1"/>
  <c r="AG35" i="170"/>
  <c r="AG44" i="170"/>
  <c r="AC49" i="170"/>
  <c r="AD20" i="179" s="1"/>
  <c r="AC45" i="170"/>
  <c r="AD16" i="179" s="1"/>
  <c r="AC43" i="170"/>
  <c r="AD14" i="179" s="1"/>
  <c r="AC39" i="170"/>
  <c r="AD12" i="179" s="1"/>
  <c r="AC44" i="170"/>
  <c r="AC40" i="170"/>
  <c r="AC48" i="170"/>
  <c r="AD19" i="179" s="1"/>
  <c r="AC35" i="170"/>
  <c r="Y49" i="170"/>
  <c r="Z20" i="179" s="1"/>
  <c r="Y45" i="170"/>
  <c r="Z16" i="179" s="1"/>
  <c r="Y43" i="170"/>
  <c r="Z14" i="179" s="1"/>
  <c r="Y39" i="170"/>
  <c r="Z12" i="179" s="1"/>
  <c r="Y44" i="170"/>
  <c r="Y40" i="170"/>
  <c r="Y35" i="170"/>
  <c r="Y48" i="170"/>
  <c r="Z19" i="179" s="1"/>
  <c r="U49" i="170"/>
  <c r="V20" i="179" s="1"/>
  <c r="U45" i="170"/>
  <c r="V16" i="179" s="1"/>
  <c r="U43" i="170"/>
  <c r="V14" i="179" s="1"/>
  <c r="U39" i="170"/>
  <c r="V12" i="179" s="1"/>
  <c r="U48" i="170"/>
  <c r="V19" i="179" s="1"/>
  <c r="U35" i="170"/>
  <c r="U44" i="170"/>
  <c r="U40" i="170"/>
  <c r="Q49" i="170"/>
  <c r="R20" i="179" s="1"/>
  <c r="Q45" i="170"/>
  <c r="R16" i="179" s="1"/>
  <c r="Q43" i="170"/>
  <c r="R14" i="179" s="1"/>
  <c r="Q39" i="170"/>
  <c r="R12" i="179" s="1"/>
  <c r="Q40" i="170"/>
  <c r="Q48" i="170"/>
  <c r="R19" i="179" s="1"/>
  <c r="Q35" i="170"/>
  <c r="Q44" i="170"/>
  <c r="M49" i="170"/>
  <c r="N20" i="179" s="1"/>
  <c r="M45" i="170"/>
  <c r="N16" i="179" s="1"/>
  <c r="M43" i="170"/>
  <c r="N14" i="179" s="1"/>
  <c r="M39" i="170"/>
  <c r="N12" i="179" s="1"/>
  <c r="M44" i="170"/>
  <c r="M40" i="170"/>
  <c r="M48" i="170"/>
  <c r="N19" i="179" s="1"/>
  <c r="M35" i="170"/>
  <c r="I49" i="170"/>
  <c r="J20" i="179" s="1"/>
  <c r="I45" i="170"/>
  <c r="J16" i="179" s="1"/>
  <c r="I43" i="170"/>
  <c r="J14" i="179" s="1"/>
  <c r="I39" i="170"/>
  <c r="J12" i="179" s="1"/>
  <c r="I44" i="170"/>
  <c r="I40" i="170"/>
  <c r="I48" i="170"/>
  <c r="J19" i="179" s="1"/>
  <c r="I35" i="170"/>
  <c r="F43" i="170"/>
  <c r="G14" i="179" s="1"/>
  <c r="F49" i="170"/>
  <c r="G20" i="179" s="1"/>
  <c r="F44" i="170"/>
  <c r="F39" i="170"/>
  <c r="G12" i="179" s="1"/>
  <c r="F40" i="170"/>
  <c r="G13" i="179" s="1"/>
  <c r="F48" i="170"/>
  <c r="G19" i="179" s="1"/>
  <c r="F45" i="170"/>
  <c r="G16" i="179" s="1"/>
  <c r="F35" i="170"/>
  <c r="AF48" i="170"/>
  <c r="AG19" i="179" s="1"/>
  <c r="AF45" i="170"/>
  <c r="AG16" i="179" s="1"/>
  <c r="AF35" i="170"/>
  <c r="AF43" i="170"/>
  <c r="AG14" i="179" s="1"/>
  <c r="AF49" i="170"/>
  <c r="AG20" i="179" s="1"/>
  <c r="AF44" i="170"/>
  <c r="AF39" i="170"/>
  <c r="AG12" i="179" s="1"/>
  <c r="AF40" i="170"/>
  <c r="AB40" i="170"/>
  <c r="AB48" i="170"/>
  <c r="AC19" i="179" s="1"/>
  <c r="AB45" i="170"/>
  <c r="AC16" i="179" s="1"/>
  <c r="AB35" i="170"/>
  <c r="AB43" i="170"/>
  <c r="AC14" i="179" s="1"/>
  <c r="AB49" i="170"/>
  <c r="AC20" i="179" s="1"/>
  <c r="AB44" i="170"/>
  <c r="AB39" i="170"/>
  <c r="AC12" i="179" s="1"/>
  <c r="X49" i="170"/>
  <c r="Y20" i="179" s="1"/>
  <c r="X44" i="170"/>
  <c r="X39" i="170"/>
  <c r="Y12" i="179" s="1"/>
  <c r="X40" i="170"/>
  <c r="X48" i="170"/>
  <c r="Y19" i="179" s="1"/>
  <c r="X45" i="170"/>
  <c r="Y16" i="179" s="1"/>
  <c r="X35" i="170"/>
  <c r="X43" i="170"/>
  <c r="Y14" i="179" s="1"/>
  <c r="T43" i="170"/>
  <c r="U14" i="179" s="1"/>
  <c r="T49" i="170"/>
  <c r="U20" i="179" s="1"/>
  <c r="T44" i="170"/>
  <c r="T39" i="170"/>
  <c r="U12" i="179" s="1"/>
  <c r="T40" i="170"/>
  <c r="T48" i="170"/>
  <c r="U19" i="179" s="1"/>
  <c r="T45" i="170"/>
  <c r="U16" i="179" s="1"/>
  <c r="T35" i="170"/>
  <c r="P48" i="170"/>
  <c r="Q19" i="179" s="1"/>
  <c r="P45" i="170"/>
  <c r="Q16" i="179" s="1"/>
  <c r="P35" i="170"/>
  <c r="P43" i="170"/>
  <c r="Q14" i="179" s="1"/>
  <c r="P44" i="170"/>
  <c r="P39" i="170"/>
  <c r="Q12" i="179" s="1"/>
  <c r="P40" i="170"/>
  <c r="P49" i="170"/>
  <c r="Q20" i="179" s="1"/>
  <c r="L40" i="170"/>
  <c r="L49" i="170"/>
  <c r="M20" i="179" s="1"/>
  <c r="L48" i="170"/>
  <c r="M19" i="179" s="1"/>
  <c r="L45" i="170"/>
  <c r="M16" i="179" s="1"/>
  <c r="L35" i="170"/>
  <c r="L43" i="170"/>
  <c r="M14" i="179" s="1"/>
  <c r="L44" i="170"/>
  <c r="L39" i="170"/>
  <c r="M12" i="179" s="1"/>
  <c r="H44" i="170"/>
  <c r="H39" i="170"/>
  <c r="I12" i="179" s="1"/>
  <c r="H40" i="170"/>
  <c r="H48" i="170"/>
  <c r="I19" i="179" s="1"/>
  <c r="H45" i="170"/>
  <c r="I16" i="179" s="1"/>
  <c r="H49" i="170"/>
  <c r="I20" i="179" s="1"/>
  <c r="H35" i="170"/>
  <c r="H43" i="170"/>
  <c r="I14" i="179" s="1"/>
  <c r="N49" i="170"/>
  <c r="O20" i="179" s="1"/>
  <c r="N39" i="170"/>
  <c r="O12" i="179" s="1"/>
  <c r="N44" i="170"/>
  <c r="N45" i="170"/>
  <c r="O16" i="179" s="1"/>
  <c r="N40" i="170"/>
  <c r="N48" i="170"/>
  <c r="O19" i="179" s="1"/>
  <c r="N43" i="170"/>
  <c r="O14" i="179" s="1"/>
  <c r="N35" i="170"/>
  <c r="I20" i="172"/>
  <c r="G10" i="172" l="1"/>
  <c r="A2" i="172"/>
  <c r="D2" i="172"/>
  <c r="E2" i="172"/>
  <c r="F2" i="172"/>
  <c r="G2" i="172"/>
  <c r="H2" i="172"/>
  <c r="I2" i="172"/>
  <c r="J2" i="172"/>
  <c r="K2" i="172"/>
  <c r="L2" i="172"/>
  <c r="M2" i="172"/>
  <c r="N2" i="172"/>
  <c r="O2" i="172"/>
  <c r="P2" i="172"/>
  <c r="Q2" i="172"/>
  <c r="R2" i="172"/>
  <c r="S2" i="172"/>
  <c r="T2" i="172"/>
  <c r="U2" i="172"/>
  <c r="V2" i="172"/>
  <c r="W2" i="172"/>
  <c r="X2" i="172"/>
  <c r="Y2" i="172"/>
  <c r="Z2" i="172"/>
  <c r="AA2" i="172"/>
  <c r="AB2" i="172"/>
  <c r="AC2" i="172"/>
  <c r="AD2" i="172"/>
  <c r="AE2" i="172"/>
  <c r="AF2" i="172"/>
  <c r="AG2" i="172"/>
  <c r="AH2" i="172"/>
  <c r="D3" i="172"/>
  <c r="E3" i="172"/>
  <c r="F3" i="172"/>
  <c r="G3" i="172"/>
  <c r="H3" i="172"/>
  <c r="I3" i="172"/>
  <c r="J3" i="172"/>
  <c r="K3" i="172"/>
  <c r="L3" i="172"/>
  <c r="M3" i="172"/>
  <c r="N3" i="172"/>
  <c r="O3" i="172"/>
  <c r="P3" i="172"/>
  <c r="Q3" i="172"/>
  <c r="R3" i="172"/>
  <c r="S3" i="172"/>
  <c r="T3" i="172"/>
  <c r="U3" i="172"/>
  <c r="V3" i="172"/>
  <c r="W3" i="172"/>
  <c r="X3" i="172"/>
  <c r="Y3" i="172"/>
  <c r="Z3" i="172"/>
  <c r="AA3" i="172"/>
  <c r="AB3" i="172"/>
  <c r="AC3" i="172"/>
  <c r="AD3" i="172"/>
  <c r="AE3" i="172"/>
  <c r="AF3" i="172"/>
  <c r="AG3" i="172"/>
  <c r="AH3" i="172"/>
  <c r="D4" i="172"/>
  <c r="E4" i="172"/>
  <c r="F4" i="172"/>
  <c r="G4" i="172"/>
  <c r="H4" i="172"/>
  <c r="I4" i="172"/>
  <c r="J4" i="172"/>
  <c r="K4" i="172"/>
  <c r="L4" i="172"/>
  <c r="M4" i="172"/>
  <c r="N4" i="172"/>
  <c r="O4" i="172"/>
  <c r="P4" i="172"/>
  <c r="Q4" i="172"/>
  <c r="R4" i="172"/>
  <c r="S4" i="172"/>
  <c r="T4" i="172"/>
  <c r="U4" i="172"/>
  <c r="V4" i="172"/>
  <c r="W4" i="172"/>
  <c r="X4" i="172"/>
  <c r="Y4" i="172"/>
  <c r="Z4" i="172"/>
  <c r="AA4" i="172"/>
  <c r="AB4" i="172"/>
  <c r="AC4" i="172"/>
  <c r="AD4" i="172"/>
  <c r="AE4" i="172"/>
  <c r="AF4" i="172"/>
  <c r="AG4" i="172"/>
  <c r="AH4" i="172"/>
  <c r="D5" i="172"/>
  <c r="E5" i="172"/>
  <c r="F5" i="172"/>
  <c r="G5" i="172"/>
  <c r="H5" i="172"/>
  <c r="I5" i="172"/>
  <c r="J5" i="172"/>
  <c r="K5" i="172"/>
  <c r="L5" i="172"/>
  <c r="M5" i="172"/>
  <c r="N5" i="172"/>
  <c r="O5" i="172"/>
  <c r="P5" i="172"/>
  <c r="Q5" i="172"/>
  <c r="R5" i="172"/>
  <c r="S5" i="172"/>
  <c r="T5" i="172"/>
  <c r="U5" i="172"/>
  <c r="V5" i="172"/>
  <c r="W5" i="172"/>
  <c r="X5" i="172"/>
  <c r="Y5" i="172"/>
  <c r="Z5" i="172"/>
  <c r="AA5" i="172"/>
  <c r="AB5" i="172"/>
  <c r="AC5" i="172"/>
  <c r="AD5" i="172"/>
  <c r="AE5" i="172"/>
  <c r="AF5" i="172"/>
  <c r="AG5" i="172"/>
  <c r="AH5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Z6" i="172"/>
  <c r="AA6" i="172"/>
  <c r="AB6" i="172"/>
  <c r="AC6" i="172"/>
  <c r="AD6" i="172"/>
  <c r="AE6" i="172"/>
  <c r="AF6" i="172"/>
  <c r="AG6" i="172"/>
  <c r="AH6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Z7" i="172"/>
  <c r="AA7" i="172"/>
  <c r="AB7" i="172"/>
  <c r="AC7" i="172"/>
  <c r="AD7" i="172"/>
  <c r="AE7" i="172"/>
  <c r="AF7" i="172"/>
  <c r="AG7" i="172"/>
  <c r="AH7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Z8" i="172"/>
  <c r="AA8" i="172"/>
  <c r="AB8" i="172"/>
  <c r="AC8" i="172"/>
  <c r="AD8" i="172"/>
  <c r="AE8" i="172"/>
  <c r="AF8" i="172"/>
  <c r="AG8" i="172"/>
  <c r="AH8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Z9" i="172"/>
  <c r="AA9" i="172"/>
  <c r="AB9" i="172"/>
  <c r="AC9" i="172"/>
  <c r="AD9" i="172"/>
  <c r="AE9" i="172"/>
  <c r="AF9" i="172"/>
  <c r="AG9" i="172"/>
  <c r="AH9" i="172"/>
  <c r="E10" i="172"/>
  <c r="F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Z10" i="172"/>
  <c r="AA10" i="172"/>
  <c r="AB10" i="172"/>
  <c r="AC10" i="172"/>
  <c r="AD10" i="172"/>
  <c r="AE10" i="172"/>
  <c r="AF10" i="172"/>
  <c r="AG10" i="172"/>
  <c r="AH10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Z11" i="172"/>
  <c r="AA11" i="172"/>
  <c r="AB11" i="172"/>
  <c r="AC11" i="172"/>
  <c r="AD11" i="172"/>
  <c r="AE11" i="172"/>
  <c r="AF11" i="172"/>
  <c r="AG11" i="172"/>
  <c r="AH11" i="172"/>
  <c r="A13" i="172"/>
  <c r="D1" i="172"/>
  <c r="E1" i="172"/>
  <c r="F1" i="172"/>
  <c r="G1" i="172"/>
  <c r="H1" i="172"/>
  <c r="I1" i="172"/>
  <c r="J1" i="172"/>
  <c r="K1" i="172"/>
  <c r="L1" i="172"/>
  <c r="M1" i="172"/>
  <c r="N1" i="172"/>
  <c r="O1" i="172"/>
  <c r="P1" i="172"/>
  <c r="Q1" i="172"/>
  <c r="R1" i="172"/>
  <c r="S1" i="172"/>
  <c r="T1" i="172"/>
  <c r="U1" i="172"/>
  <c r="V1" i="172"/>
  <c r="W1" i="172"/>
  <c r="X1" i="172"/>
  <c r="Y1" i="172"/>
  <c r="Z1" i="172"/>
  <c r="AA1" i="172"/>
  <c r="AB1" i="172"/>
  <c r="AC1" i="172"/>
  <c r="AD1" i="172"/>
  <c r="AE1" i="172"/>
  <c r="AF1" i="172"/>
  <c r="AG1" i="172"/>
  <c r="AH1" i="172"/>
  <c r="E12" i="172"/>
  <c r="I8" i="175" s="1"/>
  <c r="D10" i="172"/>
  <c r="G89" i="162"/>
  <c r="H3" i="179" s="1"/>
  <c r="I89" i="162"/>
  <c r="H12" i="172" s="1"/>
  <c r="J89" i="162"/>
  <c r="I12" i="172" s="1"/>
  <c r="K89" i="162"/>
  <c r="J12" i="172" s="1"/>
  <c r="L89" i="162"/>
  <c r="K12" i="172" s="1"/>
  <c r="M89" i="162"/>
  <c r="L12" i="172" s="1"/>
  <c r="N89" i="162"/>
  <c r="M12" i="172" s="1"/>
  <c r="O89" i="162"/>
  <c r="N12" i="172" s="1"/>
  <c r="P89" i="162"/>
  <c r="O12" i="172" s="1"/>
  <c r="Q89" i="162"/>
  <c r="P12" i="172" s="1"/>
  <c r="R89" i="162"/>
  <c r="Q12" i="172" s="1"/>
  <c r="S89" i="162"/>
  <c r="R12" i="172" s="1"/>
  <c r="T89" i="162"/>
  <c r="S12" i="172" s="1"/>
  <c r="U89" i="162"/>
  <c r="T12" i="172" s="1"/>
  <c r="V89" i="162"/>
  <c r="U12" i="172" s="1"/>
  <c r="W89" i="162"/>
  <c r="V12" i="172" s="1"/>
  <c r="X89" i="162"/>
  <c r="W12" i="172" s="1"/>
  <c r="Y89" i="162"/>
  <c r="X12" i="172" s="1"/>
  <c r="Z89" i="162"/>
  <c r="Y12" i="172" s="1"/>
  <c r="AA89" i="162"/>
  <c r="Z12" i="172" s="1"/>
  <c r="AB89" i="162"/>
  <c r="AA12" i="172" s="1"/>
  <c r="AC89" i="162"/>
  <c r="AB12" i="172" s="1"/>
  <c r="AD89" i="162"/>
  <c r="AC12" i="172" s="1"/>
  <c r="AE89" i="162"/>
  <c r="AD12" i="172" s="1"/>
  <c r="AF89" i="162"/>
  <c r="AE12" i="172" s="1"/>
  <c r="AG89" i="162"/>
  <c r="AF12" i="172" s="1"/>
  <c r="AH89" i="162"/>
  <c r="AG12" i="172" s="1"/>
  <c r="AI89" i="162"/>
  <c r="AH12" i="172" s="1"/>
  <c r="F74" i="162"/>
  <c r="F12" i="172" l="1"/>
  <c r="J8" i="175" s="1"/>
  <c r="X90" i="162"/>
  <c r="K90" i="162"/>
  <c r="J90" i="162"/>
  <c r="AB90" i="162"/>
  <c r="R90" i="162"/>
  <c r="O90" i="162"/>
  <c r="AD90" i="162"/>
  <c r="AF90" i="162"/>
  <c r="U90" i="162"/>
  <c r="L90" i="162"/>
  <c r="AC90" i="162"/>
  <c r="G90" i="162"/>
  <c r="Q90" i="162"/>
  <c r="AE90" i="162"/>
  <c r="T90" i="162"/>
  <c r="I90" i="162"/>
  <c r="W90" i="162"/>
  <c r="AG90" i="162"/>
  <c r="M90" i="162"/>
  <c r="AH90" i="162"/>
  <c r="AA90" i="162"/>
  <c r="Z90" i="162"/>
  <c r="H89" i="162"/>
  <c r="G12" i="172" s="1"/>
  <c r="V90" i="162" l="1"/>
  <c r="P90" i="162"/>
  <c r="H90" i="162"/>
  <c r="S90" i="162"/>
  <c r="Y90" i="162"/>
  <c r="AI90" i="162"/>
  <c r="N90" i="162"/>
  <c r="D12" i="172"/>
  <c r="E13" i="172"/>
  <c r="AI7" i="165"/>
  <c r="AH7" i="165"/>
  <c r="AG7" i="165"/>
  <c r="AF7" i="165"/>
  <c r="AE7" i="165"/>
  <c r="AD7" i="165"/>
  <c r="AC7" i="165"/>
  <c r="AB7" i="165"/>
  <c r="AA7" i="165"/>
  <c r="Z7" i="165"/>
  <c r="Y7" i="165"/>
  <c r="X7" i="165"/>
  <c r="W7" i="165"/>
  <c r="V7" i="165"/>
  <c r="U7" i="165"/>
  <c r="T7" i="165"/>
  <c r="S7" i="165"/>
  <c r="R7" i="165"/>
  <c r="Q7" i="165"/>
  <c r="P7" i="165"/>
  <c r="O7" i="165"/>
  <c r="N7" i="165"/>
  <c r="M7" i="165"/>
  <c r="L7" i="165"/>
  <c r="K7" i="165"/>
  <c r="J7" i="165"/>
  <c r="I7" i="165"/>
  <c r="H7" i="165"/>
  <c r="G7" i="165"/>
  <c r="AI7" i="167"/>
  <c r="AH7" i="167"/>
  <c r="AG7" i="167"/>
  <c r="AF7" i="167"/>
  <c r="AE7" i="167"/>
  <c r="AD7" i="167"/>
  <c r="AC7" i="167"/>
  <c r="AB7" i="167"/>
  <c r="AA7" i="167"/>
  <c r="Z7" i="167"/>
  <c r="Y7" i="167"/>
  <c r="X7" i="167"/>
  <c r="W7" i="167"/>
  <c r="V7" i="167"/>
  <c r="U7" i="167"/>
  <c r="T7" i="167"/>
  <c r="S7" i="167"/>
  <c r="R7" i="167"/>
  <c r="Q7" i="167"/>
  <c r="P7" i="167"/>
  <c r="O7" i="167"/>
  <c r="N7" i="167"/>
  <c r="M7" i="167"/>
  <c r="L7" i="167"/>
  <c r="K7" i="167"/>
  <c r="J7" i="167"/>
  <c r="I7" i="167"/>
  <c r="H7" i="167"/>
  <c r="G7" i="167"/>
  <c r="G8" i="167" s="1"/>
  <c r="AI7" i="171"/>
  <c r="H7" i="171"/>
  <c r="I7" i="171"/>
  <c r="J7" i="171"/>
  <c r="K7" i="171"/>
  <c r="L7" i="171"/>
  <c r="M7" i="171"/>
  <c r="N7" i="171"/>
  <c r="O7" i="171"/>
  <c r="P7" i="171"/>
  <c r="Q7" i="171"/>
  <c r="R7" i="171"/>
  <c r="S7" i="171"/>
  <c r="T7" i="171"/>
  <c r="U7" i="171"/>
  <c r="V7" i="171"/>
  <c r="W7" i="171"/>
  <c r="X7" i="171"/>
  <c r="Y7" i="171"/>
  <c r="Z7" i="171"/>
  <c r="AA7" i="171"/>
  <c r="AB7" i="171"/>
  <c r="AC7" i="171"/>
  <c r="AD7" i="171"/>
  <c r="AE7" i="171"/>
  <c r="AF7" i="171"/>
  <c r="AG7" i="171"/>
  <c r="AH7" i="171"/>
  <c r="G7" i="171"/>
  <c r="AI7" i="169"/>
  <c r="AH7" i="169"/>
  <c r="AG7" i="169"/>
  <c r="AF7" i="169"/>
  <c r="AE7" i="169"/>
  <c r="AD7" i="169"/>
  <c r="AC7" i="169"/>
  <c r="AB7" i="169"/>
  <c r="AA7" i="169"/>
  <c r="Z7" i="169"/>
  <c r="Y7" i="169"/>
  <c r="X7" i="169"/>
  <c r="W7" i="169"/>
  <c r="V7" i="169"/>
  <c r="U7" i="169"/>
  <c r="T7" i="169"/>
  <c r="S7" i="169"/>
  <c r="R7" i="169"/>
  <c r="Q7" i="169"/>
  <c r="P7" i="169"/>
  <c r="O7" i="169"/>
  <c r="N7" i="169"/>
  <c r="M7" i="169"/>
  <c r="L7" i="169"/>
  <c r="K7" i="169"/>
  <c r="J7" i="169"/>
  <c r="I7" i="169"/>
  <c r="H7" i="169"/>
  <c r="G7" i="169"/>
  <c r="AI6" i="168"/>
  <c r="AH6" i="168"/>
  <c r="AG6" i="168"/>
  <c r="AF6" i="168"/>
  <c r="AE6" i="168"/>
  <c r="AD6" i="168"/>
  <c r="AC6" i="168"/>
  <c r="AB6" i="168"/>
  <c r="AA6" i="168"/>
  <c r="Z6" i="168"/>
  <c r="Y6" i="168"/>
  <c r="X6" i="168"/>
  <c r="W6" i="168"/>
  <c r="V6" i="168"/>
  <c r="U6" i="168"/>
  <c r="T6" i="168"/>
  <c r="S6" i="168"/>
  <c r="R6" i="168"/>
  <c r="Q6" i="168"/>
  <c r="P6" i="168"/>
  <c r="O6" i="168"/>
  <c r="N6" i="168"/>
  <c r="M6" i="168"/>
  <c r="L6" i="168"/>
  <c r="K6" i="168"/>
  <c r="J6" i="168"/>
  <c r="I6" i="168"/>
  <c r="H6" i="168"/>
  <c r="G6" i="168"/>
  <c r="AI12" i="172" l="1"/>
  <c r="H8" i="175"/>
  <c r="K8" i="175" s="1"/>
  <c r="G10" i="167"/>
  <c r="G11" i="167"/>
  <c r="G12" i="167"/>
  <c r="H5" i="175" l="1"/>
  <c r="J7" i="175"/>
  <c r="I6" i="175"/>
  <c r="G4" i="175"/>
  <c r="F4" i="175"/>
  <c r="H4" i="175"/>
  <c r="D13" i="172"/>
  <c r="K7" i="175" l="1"/>
  <c r="G13" i="172"/>
  <c r="H66" i="170" l="1"/>
  <c r="H65" i="170" l="1"/>
  <c r="E96" i="162"/>
  <c r="E104" i="162" s="1"/>
  <c r="F13" i="172" l="1"/>
  <c r="H70" i="171"/>
  <c r="H67" i="171"/>
  <c r="H66" i="171"/>
  <c r="H65" i="171"/>
  <c r="AI40" i="171"/>
  <c r="AH40" i="171"/>
  <c r="AG40" i="171"/>
  <c r="AF40" i="171"/>
  <c r="AE40" i="171"/>
  <c r="AD40" i="171"/>
  <c r="AC40" i="171"/>
  <c r="AB40" i="171"/>
  <c r="AA40" i="171"/>
  <c r="Z40" i="171"/>
  <c r="Y40" i="171"/>
  <c r="X40" i="171"/>
  <c r="W40" i="171"/>
  <c r="V40" i="171"/>
  <c r="U40" i="171"/>
  <c r="T40" i="171"/>
  <c r="S40" i="171"/>
  <c r="R40" i="171"/>
  <c r="Q40" i="171"/>
  <c r="P40" i="171"/>
  <c r="O40" i="171"/>
  <c r="N40" i="171"/>
  <c r="M40" i="171"/>
  <c r="L40" i="171"/>
  <c r="K40" i="171"/>
  <c r="J40" i="171"/>
  <c r="I40" i="171"/>
  <c r="H40" i="171"/>
  <c r="G40" i="171"/>
  <c r="F40" i="171"/>
  <c r="AI39" i="171"/>
  <c r="AH39" i="171"/>
  <c r="AG39" i="171"/>
  <c r="AF39" i="171"/>
  <c r="AE39" i="171"/>
  <c r="AD39" i="171"/>
  <c r="AC39" i="171"/>
  <c r="AB39" i="171"/>
  <c r="AA39" i="171"/>
  <c r="Z39" i="171"/>
  <c r="Y39" i="171"/>
  <c r="X39" i="171"/>
  <c r="W39" i="171"/>
  <c r="V39" i="171"/>
  <c r="U39" i="171"/>
  <c r="T39" i="171"/>
  <c r="S39" i="171"/>
  <c r="R39" i="171"/>
  <c r="Q39" i="171"/>
  <c r="P39" i="171"/>
  <c r="O39" i="171"/>
  <c r="N39" i="171"/>
  <c r="M39" i="171"/>
  <c r="L39" i="171"/>
  <c r="K39" i="171"/>
  <c r="J39" i="171"/>
  <c r="I39" i="171"/>
  <c r="H39" i="171"/>
  <c r="G39" i="171"/>
  <c r="F39" i="171"/>
  <c r="D36" i="171"/>
  <c r="B35" i="171"/>
  <c r="D32" i="171"/>
  <c r="D31" i="171"/>
  <c r="D30" i="171"/>
  <c r="D29" i="171"/>
  <c r="E24" i="171"/>
  <c r="E57" i="171" s="1"/>
  <c r="G101" i="162" s="1"/>
  <c r="G135" i="162" s="1"/>
  <c r="AI8" i="171"/>
  <c r="AH8" i="171"/>
  <c r="AG8" i="171"/>
  <c r="AF8" i="171"/>
  <c r="AE8" i="171"/>
  <c r="AD8" i="171"/>
  <c r="AC8" i="171"/>
  <c r="AB8" i="171"/>
  <c r="AA8" i="171"/>
  <c r="Z8" i="171"/>
  <c r="Y8" i="171"/>
  <c r="X8" i="171"/>
  <c r="W8" i="171"/>
  <c r="V8" i="171"/>
  <c r="U8" i="171"/>
  <c r="T8" i="171"/>
  <c r="S8" i="171"/>
  <c r="R8" i="171"/>
  <c r="Q8" i="171"/>
  <c r="P8" i="171"/>
  <c r="O8" i="171"/>
  <c r="N8" i="171"/>
  <c r="M8" i="171"/>
  <c r="L8" i="171"/>
  <c r="K8" i="171"/>
  <c r="J8" i="171"/>
  <c r="I8" i="171"/>
  <c r="H8" i="171"/>
  <c r="G8" i="171"/>
  <c r="F8" i="171"/>
  <c r="H67" i="170"/>
  <c r="H68" i="170" s="1"/>
  <c r="D36" i="170"/>
  <c r="B35" i="170"/>
  <c r="D32" i="170"/>
  <c r="D31" i="170"/>
  <c r="D30" i="170"/>
  <c r="D29" i="170"/>
  <c r="E24" i="170"/>
  <c r="E57" i="170" s="1"/>
  <c r="AI8" i="170"/>
  <c r="AH8" i="170"/>
  <c r="AG8" i="170"/>
  <c r="AF8" i="170"/>
  <c r="AE8" i="170"/>
  <c r="AD8" i="170"/>
  <c r="AC8" i="170"/>
  <c r="AB8" i="170"/>
  <c r="AA8" i="170"/>
  <c r="Z8" i="170"/>
  <c r="Y8" i="170"/>
  <c r="X8" i="170"/>
  <c r="W8" i="170"/>
  <c r="V8" i="170"/>
  <c r="U8" i="170"/>
  <c r="T8" i="170"/>
  <c r="S8" i="170"/>
  <c r="R8" i="170"/>
  <c r="Q8" i="170"/>
  <c r="P8" i="170"/>
  <c r="O8" i="170"/>
  <c r="N8" i="170"/>
  <c r="M8" i="170"/>
  <c r="L8" i="170"/>
  <c r="K8" i="170"/>
  <c r="J8" i="170"/>
  <c r="I8" i="170"/>
  <c r="H8" i="170"/>
  <c r="G8" i="170"/>
  <c r="F8" i="170"/>
  <c r="H70" i="169"/>
  <c r="AH35" i="169" s="1"/>
  <c r="H67" i="169"/>
  <c r="H66" i="169"/>
  <c r="H65" i="169"/>
  <c r="AI40" i="169"/>
  <c r="AH40" i="169"/>
  <c r="AG40" i="169"/>
  <c r="AF40" i="169"/>
  <c r="AE40" i="169"/>
  <c r="AD40" i="169"/>
  <c r="AC40" i="169"/>
  <c r="AB40" i="169"/>
  <c r="AA40" i="169"/>
  <c r="Z40" i="169"/>
  <c r="Y40" i="169"/>
  <c r="X40" i="169"/>
  <c r="W40" i="169"/>
  <c r="V40" i="169"/>
  <c r="U40" i="169"/>
  <c r="T40" i="169"/>
  <c r="S40" i="169"/>
  <c r="R40" i="169"/>
  <c r="Q40" i="169"/>
  <c r="P40" i="169"/>
  <c r="O40" i="169"/>
  <c r="N40" i="169"/>
  <c r="M40" i="169"/>
  <c r="L40" i="169"/>
  <c r="K40" i="169"/>
  <c r="J40" i="169"/>
  <c r="I40" i="169"/>
  <c r="H40" i="169"/>
  <c r="G40" i="169"/>
  <c r="F40" i="169"/>
  <c r="AI39" i="169"/>
  <c r="AH39" i="169"/>
  <c r="AG39" i="169"/>
  <c r="AF39" i="169"/>
  <c r="AE39" i="169"/>
  <c r="AD39" i="169"/>
  <c r="AC39" i="169"/>
  <c r="AB39" i="169"/>
  <c r="AA39" i="169"/>
  <c r="Z39" i="169"/>
  <c r="Y39" i="169"/>
  <c r="X39" i="169"/>
  <c r="W39" i="169"/>
  <c r="V39" i="169"/>
  <c r="U39" i="169"/>
  <c r="T39" i="169"/>
  <c r="S39" i="169"/>
  <c r="R39" i="169"/>
  <c r="Q39" i="169"/>
  <c r="P39" i="169"/>
  <c r="O39" i="169"/>
  <c r="N39" i="169"/>
  <c r="M39" i="169"/>
  <c r="L39" i="169"/>
  <c r="K39" i="169"/>
  <c r="J39" i="169"/>
  <c r="I39" i="169"/>
  <c r="H39" i="169"/>
  <c r="G39" i="169"/>
  <c r="F39" i="169"/>
  <c r="D36" i="169"/>
  <c r="B35" i="169"/>
  <c r="D32" i="169"/>
  <c r="D31" i="169"/>
  <c r="D30" i="169"/>
  <c r="D29" i="169"/>
  <c r="E24" i="169"/>
  <c r="E57" i="169" s="1"/>
  <c r="AI8" i="169"/>
  <c r="AH8" i="169"/>
  <c r="AG8" i="169"/>
  <c r="AF8" i="169"/>
  <c r="AE8" i="169"/>
  <c r="AD8" i="169"/>
  <c r="AC8" i="169"/>
  <c r="AB8" i="169"/>
  <c r="AA8" i="169"/>
  <c r="Z8" i="169"/>
  <c r="Y8" i="169"/>
  <c r="X8" i="169"/>
  <c r="W8" i="169"/>
  <c r="V8" i="169"/>
  <c r="U8" i="169"/>
  <c r="T8" i="169"/>
  <c r="S8" i="169"/>
  <c r="R8" i="169"/>
  <c r="Q8" i="169"/>
  <c r="P8" i="169"/>
  <c r="O8" i="169"/>
  <c r="N8" i="169"/>
  <c r="M8" i="169"/>
  <c r="L8" i="169"/>
  <c r="K8" i="169"/>
  <c r="J8" i="169"/>
  <c r="I8" i="169"/>
  <c r="H8" i="169"/>
  <c r="G8" i="169"/>
  <c r="F8" i="169"/>
  <c r="H64" i="168"/>
  <c r="AI29" i="168" s="1"/>
  <c r="H61" i="168"/>
  <c r="H60" i="168"/>
  <c r="H59" i="168"/>
  <c r="AI34" i="168"/>
  <c r="AH34" i="168"/>
  <c r="AG34" i="168"/>
  <c r="AF34" i="168"/>
  <c r="AE34" i="168"/>
  <c r="AD34" i="168"/>
  <c r="AC34" i="168"/>
  <c r="AB34" i="168"/>
  <c r="AA34" i="168"/>
  <c r="Z34" i="168"/>
  <c r="Y34" i="168"/>
  <c r="X34" i="168"/>
  <c r="W34" i="168"/>
  <c r="V34" i="168"/>
  <c r="U34" i="168"/>
  <c r="T34" i="168"/>
  <c r="S34" i="168"/>
  <c r="R34" i="168"/>
  <c r="Q34" i="168"/>
  <c r="P34" i="168"/>
  <c r="O34" i="168"/>
  <c r="N34" i="168"/>
  <c r="M34" i="168"/>
  <c r="L34" i="168"/>
  <c r="K34" i="168"/>
  <c r="J34" i="168"/>
  <c r="I34" i="168"/>
  <c r="H34" i="168"/>
  <c r="G34" i="168"/>
  <c r="F34" i="168"/>
  <c r="AI33" i="168"/>
  <c r="AH33" i="168"/>
  <c r="AG33" i="168"/>
  <c r="AF33" i="168"/>
  <c r="AE33" i="168"/>
  <c r="AD33" i="168"/>
  <c r="AC33" i="168"/>
  <c r="AB33" i="168"/>
  <c r="AA33" i="168"/>
  <c r="Z33" i="168"/>
  <c r="Y33" i="168"/>
  <c r="X33" i="168"/>
  <c r="W33" i="168"/>
  <c r="V33" i="168"/>
  <c r="U33" i="168"/>
  <c r="T33" i="168"/>
  <c r="S33" i="168"/>
  <c r="R33" i="168"/>
  <c r="Q33" i="168"/>
  <c r="P33" i="168"/>
  <c r="O33" i="168"/>
  <c r="N33" i="168"/>
  <c r="M33" i="168"/>
  <c r="L33" i="168"/>
  <c r="K33" i="168"/>
  <c r="J33" i="168"/>
  <c r="I33" i="168"/>
  <c r="H33" i="168"/>
  <c r="G33" i="168"/>
  <c r="F33" i="168"/>
  <c r="D30" i="168"/>
  <c r="AB29" i="168"/>
  <c r="X29" i="168"/>
  <c r="L29" i="168"/>
  <c r="H29" i="168"/>
  <c r="B29" i="168"/>
  <c r="D26" i="168"/>
  <c r="D25" i="168"/>
  <c r="D24" i="168"/>
  <c r="D23" i="168"/>
  <c r="E18" i="168"/>
  <c r="E51" i="168" s="1"/>
  <c r="AI7" i="168"/>
  <c r="AI12" i="168" s="1"/>
  <c r="AI40" i="168" s="1"/>
  <c r="AH7" i="168"/>
  <c r="AH12" i="168" s="1"/>
  <c r="AH40" i="168" s="1"/>
  <c r="AG7" i="168"/>
  <c r="AG12" i="168" s="1"/>
  <c r="AG40" i="168" s="1"/>
  <c r="AF7" i="168"/>
  <c r="AF12" i="168" s="1"/>
  <c r="AF40" i="168" s="1"/>
  <c r="AE7" i="168"/>
  <c r="AE12" i="168" s="1"/>
  <c r="AE40" i="168" s="1"/>
  <c r="AD7" i="168"/>
  <c r="AD12" i="168" s="1"/>
  <c r="AD40" i="168" s="1"/>
  <c r="AC7" i="168"/>
  <c r="AC12" i="168" s="1"/>
  <c r="AC40" i="168" s="1"/>
  <c r="AB7" i="168"/>
  <c r="AB12" i="168" s="1"/>
  <c r="AB40" i="168" s="1"/>
  <c r="AA7" i="168"/>
  <c r="AA12" i="168" s="1"/>
  <c r="AA40" i="168" s="1"/>
  <c r="Z7" i="168"/>
  <c r="Z12" i="168" s="1"/>
  <c r="Z40" i="168" s="1"/>
  <c r="Y7" i="168"/>
  <c r="Y12" i="168" s="1"/>
  <c r="Y40" i="168" s="1"/>
  <c r="X7" i="168"/>
  <c r="X12" i="168" s="1"/>
  <c r="X40" i="168" s="1"/>
  <c r="W7" i="168"/>
  <c r="W13" i="168" s="1"/>
  <c r="W41" i="168" s="1"/>
  <c r="V7" i="168"/>
  <c r="V12" i="168" s="1"/>
  <c r="V40" i="168" s="1"/>
  <c r="U7" i="168"/>
  <c r="U12" i="168" s="1"/>
  <c r="U40" i="168" s="1"/>
  <c r="T7" i="168"/>
  <c r="T12" i="168" s="1"/>
  <c r="T40" i="168" s="1"/>
  <c r="S7" i="168"/>
  <c r="S13" i="168" s="1"/>
  <c r="S41" i="168" s="1"/>
  <c r="R7" i="168"/>
  <c r="R12" i="168" s="1"/>
  <c r="R40" i="168" s="1"/>
  <c r="Q7" i="168"/>
  <c r="Q12" i="168" s="1"/>
  <c r="Q40" i="168" s="1"/>
  <c r="P7" i="168"/>
  <c r="P12" i="168" s="1"/>
  <c r="P40" i="168" s="1"/>
  <c r="O7" i="168"/>
  <c r="O12" i="168" s="1"/>
  <c r="O40" i="168" s="1"/>
  <c r="N7" i="168"/>
  <c r="N12" i="168" s="1"/>
  <c r="N40" i="168" s="1"/>
  <c r="M7" i="168"/>
  <c r="M12" i="168" s="1"/>
  <c r="M40" i="168" s="1"/>
  <c r="L7" i="168"/>
  <c r="L12" i="168" s="1"/>
  <c r="L40" i="168" s="1"/>
  <c r="K7" i="168"/>
  <c r="J7" i="168"/>
  <c r="J12" i="168" s="1"/>
  <c r="J40" i="168" s="1"/>
  <c r="I7" i="168"/>
  <c r="I12" i="168" s="1"/>
  <c r="I40" i="168" s="1"/>
  <c r="H7" i="168"/>
  <c r="H12" i="168" s="1"/>
  <c r="H40" i="168" s="1"/>
  <c r="G7" i="168"/>
  <c r="G13" i="168" s="1"/>
  <c r="G41" i="168" s="1"/>
  <c r="F7" i="168"/>
  <c r="F12" i="168" s="1"/>
  <c r="F40" i="168" s="1"/>
  <c r="D33" i="169" l="1"/>
  <c r="D34" i="169" s="1"/>
  <c r="T29" i="168"/>
  <c r="AI28" i="170"/>
  <c r="W28" i="170"/>
  <c r="S28" i="170"/>
  <c r="K28" i="170"/>
  <c r="G28" i="170"/>
  <c r="R28" i="170"/>
  <c r="X28" i="170"/>
  <c r="H28" i="170"/>
  <c r="N28" i="170"/>
  <c r="AE28" i="170"/>
  <c r="O28" i="170"/>
  <c r="Z28" i="170"/>
  <c r="V28" i="170"/>
  <c r="J28" i="170"/>
  <c r="AC28" i="170"/>
  <c r="U28" i="170"/>
  <c r="M28" i="170"/>
  <c r="T28" i="170"/>
  <c r="AD28" i="170"/>
  <c r="Y28" i="170"/>
  <c r="I28" i="170"/>
  <c r="F28" i="170"/>
  <c r="AF28" i="170"/>
  <c r="P28" i="170"/>
  <c r="AA28" i="170"/>
  <c r="AH28" i="170"/>
  <c r="AG28" i="170"/>
  <c r="Q28" i="170"/>
  <c r="AB28" i="170"/>
  <c r="L28" i="170"/>
  <c r="U35" i="169"/>
  <c r="AH35" i="171"/>
  <c r="G35" i="171"/>
  <c r="K13" i="169"/>
  <c r="K46" i="169" s="1"/>
  <c r="K12" i="169"/>
  <c r="K11" i="169"/>
  <c r="K10" i="169"/>
  <c r="S13" i="169"/>
  <c r="S46" i="169" s="1"/>
  <c r="S12" i="169"/>
  <c r="S11" i="169"/>
  <c r="S10" i="169"/>
  <c r="AA13" i="169"/>
  <c r="AA46" i="169" s="1"/>
  <c r="AA12" i="169"/>
  <c r="AA11" i="169"/>
  <c r="AA10" i="169"/>
  <c r="AI13" i="169"/>
  <c r="AI46" i="169" s="1"/>
  <c r="AI12" i="169"/>
  <c r="AI11" i="169"/>
  <c r="AI10" i="169"/>
  <c r="G13" i="171"/>
  <c r="G46" i="171" s="1"/>
  <c r="G11" i="171"/>
  <c r="G10" i="171"/>
  <c r="G16" i="171" s="1"/>
  <c r="G12" i="171"/>
  <c r="G18" i="171" s="1"/>
  <c r="O13" i="171"/>
  <c r="O46" i="171" s="1"/>
  <c r="O11" i="171"/>
  <c r="O10" i="171"/>
  <c r="O16" i="171" s="1"/>
  <c r="O12" i="171"/>
  <c r="W13" i="171"/>
  <c r="W46" i="171" s="1"/>
  <c r="W11" i="171"/>
  <c r="W10" i="171"/>
  <c r="W16" i="171" s="1"/>
  <c r="W12" i="171"/>
  <c r="W18" i="171" s="1"/>
  <c r="AA13" i="171"/>
  <c r="AA46" i="171" s="1"/>
  <c r="AA11" i="171"/>
  <c r="AA10" i="171"/>
  <c r="AA12" i="171"/>
  <c r="AA18" i="171" s="1"/>
  <c r="AI13" i="171"/>
  <c r="AI46" i="171" s="1"/>
  <c r="AI11" i="171"/>
  <c r="AI10" i="171"/>
  <c r="AI16" i="171" s="1"/>
  <c r="AI12" i="171"/>
  <c r="AI18" i="171" s="1"/>
  <c r="H13" i="169"/>
  <c r="H46" i="169" s="1"/>
  <c r="H11" i="169"/>
  <c r="H10" i="169"/>
  <c r="H12" i="169"/>
  <c r="L13" i="169"/>
  <c r="L46" i="169" s="1"/>
  <c r="L11" i="169"/>
  <c r="L10" i="169"/>
  <c r="L12" i="169"/>
  <c r="T13" i="169"/>
  <c r="T46" i="169" s="1"/>
  <c r="T11" i="169"/>
  <c r="T10" i="169"/>
  <c r="T12" i="169"/>
  <c r="X13" i="169"/>
  <c r="X46" i="169" s="1"/>
  <c r="X11" i="169"/>
  <c r="X10" i="169"/>
  <c r="X12" i="169"/>
  <c r="X18" i="169" s="1"/>
  <c r="AF13" i="169"/>
  <c r="AF46" i="169" s="1"/>
  <c r="AF12" i="169"/>
  <c r="AF11" i="169"/>
  <c r="AF10" i="169"/>
  <c r="H13" i="171"/>
  <c r="H46" i="171" s="1"/>
  <c r="H10" i="171"/>
  <c r="H11" i="171"/>
  <c r="H12" i="171"/>
  <c r="L13" i="171"/>
  <c r="L46" i="171" s="1"/>
  <c r="L10" i="171"/>
  <c r="L11" i="171"/>
  <c r="L12" i="171"/>
  <c r="P13" i="171"/>
  <c r="P46" i="171" s="1"/>
  <c r="P10" i="171"/>
  <c r="P11" i="171"/>
  <c r="P12" i="171"/>
  <c r="T13" i="171"/>
  <c r="T46" i="171" s="1"/>
  <c r="T10" i="171"/>
  <c r="T11" i="171"/>
  <c r="T12" i="171"/>
  <c r="X13" i="171"/>
  <c r="X46" i="171" s="1"/>
  <c r="X10" i="171"/>
  <c r="X11" i="171"/>
  <c r="X12" i="171"/>
  <c r="AB13" i="171"/>
  <c r="AB46" i="171" s="1"/>
  <c r="AB10" i="171"/>
  <c r="AB11" i="171"/>
  <c r="AB12" i="171"/>
  <c r="AF13" i="171"/>
  <c r="AF46" i="171" s="1"/>
  <c r="AF10" i="171"/>
  <c r="AF11" i="171"/>
  <c r="AF12" i="171"/>
  <c r="I14" i="169"/>
  <c r="I47" i="169" s="1"/>
  <c r="I10" i="169"/>
  <c r="I16" i="169" s="1"/>
  <c r="I12" i="169"/>
  <c r="I18" i="169" s="1"/>
  <c r="I11" i="169"/>
  <c r="M14" i="169"/>
  <c r="M47" i="169" s="1"/>
  <c r="M10" i="169"/>
  <c r="M16" i="169" s="1"/>
  <c r="M12" i="169"/>
  <c r="M18" i="169" s="1"/>
  <c r="M11" i="169"/>
  <c r="U14" i="169"/>
  <c r="U47" i="169" s="1"/>
  <c r="U10" i="169"/>
  <c r="U16" i="169" s="1"/>
  <c r="U12" i="169"/>
  <c r="U11" i="169"/>
  <c r="Y14" i="169"/>
  <c r="Y47" i="169" s="1"/>
  <c r="Y10" i="169"/>
  <c r="Y16" i="169" s="1"/>
  <c r="Y12" i="169"/>
  <c r="Y18" i="169" s="1"/>
  <c r="Y11" i="169"/>
  <c r="AC14" i="169"/>
  <c r="AC47" i="169" s="1"/>
  <c r="AC10" i="169"/>
  <c r="AC16" i="169" s="1"/>
  <c r="AC12" i="169"/>
  <c r="AC18" i="169" s="1"/>
  <c r="AC11" i="169"/>
  <c r="AG14" i="169"/>
  <c r="AG47" i="169" s="1"/>
  <c r="AG10" i="169"/>
  <c r="AG16" i="169" s="1"/>
  <c r="AG11" i="169"/>
  <c r="AG12" i="169"/>
  <c r="I13" i="171"/>
  <c r="I46" i="171" s="1"/>
  <c r="I12" i="171"/>
  <c r="I10" i="171"/>
  <c r="I11" i="171"/>
  <c r="M13" i="171"/>
  <c r="M46" i="171" s="1"/>
  <c r="M12" i="171"/>
  <c r="M10" i="171"/>
  <c r="M11" i="171"/>
  <c r="Q13" i="171"/>
  <c r="Q46" i="171" s="1"/>
  <c r="Q12" i="171"/>
  <c r="Q10" i="171"/>
  <c r="Q11" i="171"/>
  <c r="U13" i="171"/>
  <c r="U46" i="171" s="1"/>
  <c r="U12" i="171"/>
  <c r="U10" i="171"/>
  <c r="U11" i="171"/>
  <c r="Y13" i="171"/>
  <c r="Y46" i="171" s="1"/>
  <c r="Y12" i="171"/>
  <c r="Y10" i="171"/>
  <c r="Y11" i="171"/>
  <c r="AG13" i="171"/>
  <c r="AG46" i="171" s="1"/>
  <c r="AG12" i="171"/>
  <c r="AG10" i="171"/>
  <c r="AG11" i="171"/>
  <c r="F12" i="169"/>
  <c r="F11" i="169"/>
  <c r="F10" i="169"/>
  <c r="J13" i="169"/>
  <c r="J46" i="169" s="1"/>
  <c r="J11" i="169"/>
  <c r="J12" i="169"/>
  <c r="J18" i="169" s="1"/>
  <c r="J10" i="169"/>
  <c r="J16" i="169" s="1"/>
  <c r="N13" i="169"/>
  <c r="N46" i="169" s="1"/>
  <c r="N12" i="169"/>
  <c r="N18" i="169" s="1"/>
  <c r="N11" i="169"/>
  <c r="N10" i="169"/>
  <c r="R11" i="169"/>
  <c r="R12" i="169"/>
  <c r="R18" i="169" s="1"/>
  <c r="R10" i="169"/>
  <c r="R16" i="169" s="1"/>
  <c r="V12" i="169"/>
  <c r="V18" i="169" s="1"/>
  <c r="V11" i="169"/>
  <c r="V10" i="169"/>
  <c r="Z13" i="169"/>
  <c r="Z46" i="169" s="1"/>
  <c r="Z11" i="169"/>
  <c r="Z12" i="169"/>
  <c r="Z10" i="169"/>
  <c r="Z16" i="169" s="1"/>
  <c r="AD13" i="169"/>
  <c r="AD46" i="169" s="1"/>
  <c r="AD12" i="169"/>
  <c r="AD18" i="169" s="1"/>
  <c r="AD11" i="169"/>
  <c r="AD10" i="169"/>
  <c r="AD16" i="169" s="1"/>
  <c r="AH11" i="169"/>
  <c r="AH12" i="169"/>
  <c r="AH18" i="169" s="1"/>
  <c r="AH10" i="169"/>
  <c r="AH16" i="169" s="1"/>
  <c r="F14" i="171"/>
  <c r="F47" i="171" s="1"/>
  <c r="F11" i="171"/>
  <c r="F12" i="171"/>
  <c r="F10" i="171"/>
  <c r="J14" i="171"/>
  <c r="J47" i="171" s="1"/>
  <c r="J12" i="171"/>
  <c r="J18" i="171" s="1"/>
  <c r="J11" i="171"/>
  <c r="J10" i="171"/>
  <c r="J16" i="171" s="1"/>
  <c r="N14" i="171"/>
  <c r="N47" i="171" s="1"/>
  <c r="N12" i="171"/>
  <c r="N18" i="171" s="1"/>
  <c r="N11" i="171"/>
  <c r="N10" i="171"/>
  <c r="N16" i="171" s="1"/>
  <c r="R14" i="171"/>
  <c r="R47" i="171" s="1"/>
  <c r="R12" i="171"/>
  <c r="R11" i="171"/>
  <c r="R10" i="171"/>
  <c r="R16" i="171" s="1"/>
  <c r="V14" i="171"/>
  <c r="V47" i="171" s="1"/>
  <c r="V12" i="171"/>
  <c r="V18" i="171" s="1"/>
  <c r="V11" i="171"/>
  <c r="V10" i="171"/>
  <c r="Z14" i="171"/>
  <c r="Z47" i="171" s="1"/>
  <c r="Z12" i="171"/>
  <c r="Z18" i="171" s="1"/>
  <c r="Z11" i="171"/>
  <c r="Z10" i="171"/>
  <c r="AD14" i="171"/>
  <c r="AD47" i="171" s="1"/>
  <c r="AD12" i="171"/>
  <c r="AD11" i="171"/>
  <c r="AD10" i="171"/>
  <c r="AD16" i="171" s="1"/>
  <c r="AH14" i="171"/>
  <c r="AH47" i="171" s="1"/>
  <c r="AH12" i="171"/>
  <c r="AH18" i="171" s="1"/>
  <c r="AH11" i="171"/>
  <c r="AH10" i="171"/>
  <c r="AH16" i="171" s="1"/>
  <c r="G13" i="169"/>
  <c r="G46" i="169" s="1"/>
  <c r="G12" i="169"/>
  <c r="G18" i="169" s="1"/>
  <c r="G10" i="169"/>
  <c r="G11" i="169"/>
  <c r="O13" i="169"/>
  <c r="O46" i="169" s="1"/>
  <c r="O12" i="169"/>
  <c r="O18" i="169" s="1"/>
  <c r="O10" i="169"/>
  <c r="O11" i="169"/>
  <c r="W13" i="169"/>
  <c r="W46" i="169" s="1"/>
  <c r="W12" i="169"/>
  <c r="W18" i="169" s="1"/>
  <c r="W10" i="169"/>
  <c r="W11" i="169"/>
  <c r="AE13" i="169"/>
  <c r="AE46" i="169" s="1"/>
  <c r="AE12" i="169"/>
  <c r="AE18" i="169" s="1"/>
  <c r="AE10" i="169"/>
  <c r="AE11" i="169"/>
  <c r="K13" i="171"/>
  <c r="K46" i="171" s="1"/>
  <c r="K11" i="171"/>
  <c r="K10" i="171"/>
  <c r="K16" i="171" s="1"/>
  <c r="K12" i="171"/>
  <c r="K18" i="171" s="1"/>
  <c r="S13" i="171"/>
  <c r="S46" i="171" s="1"/>
  <c r="S11" i="171"/>
  <c r="S10" i="171"/>
  <c r="S16" i="171" s="1"/>
  <c r="S12" i="171"/>
  <c r="AE13" i="171"/>
  <c r="AE46" i="171" s="1"/>
  <c r="AE11" i="171"/>
  <c r="AE10" i="171"/>
  <c r="AE12" i="171"/>
  <c r="AE18" i="171" s="1"/>
  <c r="P13" i="169"/>
  <c r="P46" i="169" s="1"/>
  <c r="P11" i="169"/>
  <c r="P10" i="169"/>
  <c r="P12" i="169"/>
  <c r="AB13" i="169"/>
  <c r="AB46" i="169" s="1"/>
  <c r="AB11" i="169"/>
  <c r="AB10" i="169"/>
  <c r="AB12" i="169"/>
  <c r="Q14" i="169"/>
  <c r="Q47" i="169" s="1"/>
  <c r="Q10" i="169"/>
  <c r="Q16" i="169" s="1"/>
  <c r="Q12" i="169"/>
  <c r="Q11" i="169"/>
  <c r="AC13" i="171"/>
  <c r="AC46" i="171" s="1"/>
  <c r="AC12" i="171"/>
  <c r="AC10" i="171"/>
  <c r="AC11" i="171"/>
  <c r="F11" i="170"/>
  <c r="M13" i="170"/>
  <c r="M46" i="170" s="1"/>
  <c r="M10" i="170"/>
  <c r="M11" i="170"/>
  <c r="M12" i="170"/>
  <c r="Q13" i="170"/>
  <c r="Q46" i="170" s="1"/>
  <c r="Q10" i="170"/>
  <c r="Q11" i="170"/>
  <c r="Q12" i="170"/>
  <c r="Y10" i="170"/>
  <c r="Y11" i="170"/>
  <c r="Y12" i="170"/>
  <c r="AG14" i="170"/>
  <c r="AG47" i="170" s="1"/>
  <c r="AG10" i="170"/>
  <c r="AG11" i="170"/>
  <c r="AG12" i="170"/>
  <c r="J10" i="170"/>
  <c r="J11" i="170"/>
  <c r="J12" i="170"/>
  <c r="R10" i="170"/>
  <c r="R11" i="170"/>
  <c r="R12" i="170"/>
  <c r="V13" i="170"/>
  <c r="V46" i="170" s="1"/>
  <c r="V10" i="170"/>
  <c r="V11" i="170"/>
  <c r="V12" i="170"/>
  <c r="Z10" i="170"/>
  <c r="Z11" i="170"/>
  <c r="Z12" i="170"/>
  <c r="AD10" i="170"/>
  <c r="AD11" i="170"/>
  <c r="AD12" i="170"/>
  <c r="AH10" i="170"/>
  <c r="AH11" i="170"/>
  <c r="AH12" i="170"/>
  <c r="G11" i="170"/>
  <c r="G10" i="170"/>
  <c r="G12" i="170"/>
  <c r="K14" i="170"/>
  <c r="K47" i="170" s="1"/>
  <c r="K11" i="170"/>
  <c r="K10" i="170"/>
  <c r="K12" i="170"/>
  <c r="O14" i="170"/>
  <c r="O47" i="170" s="1"/>
  <c r="O11" i="170"/>
  <c r="O10" i="170"/>
  <c r="O12" i="170"/>
  <c r="S14" i="170"/>
  <c r="S47" i="170" s="1"/>
  <c r="S10" i="170"/>
  <c r="S11" i="170"/>
  <c r="S12" i="170"/>
  <c r="W14" i="170"/>
  <c r="W47" i="170" s="1"/>
  <c r="W11" i="170"/>
  <c r="W10" i="170"/>
  <c r="W12" i="170"/>
  <c r="AA14" i="170"/>
  <c r="AA47" i="170" s="1"/>
  <c r="AA11" i="170"/>
  <c r="AA10" i="170"/>
  <c r="AA12" i="170"/>
  <c r="AE14" i="170"/>
  <c r="AE47" i="170" s="1"/>
  <c r="AE11" i="170"/>
  <c r="AE10" i="170"/>
  <c r="AE12" i="170"/>
  <c r="AI14" i="170"/>
  <c r="AI47" i="170" s="1"/>
  <c r="AI10" i="170"/>
  <c r="AI11" i="170"/>
  <c r="AI12" i="170"/>
  <c r="H13" i="170"/>
  <c r="H46" i="170" s="1"/>
  <c r="H10" i="170"/>
  <c r="H11" i="170"/>
  <c r="H12" i="170"/>
  <c r="L13" i="170"/>
  <c r="L46" i="170" s="1"/>
  <c r="L10" i="170"/>
  <c r="L11" i="170"/>
  <c r="L12" i="170"/>
  <c r="P13" i="170"/>
  <c r="P46" i="170" s="1"/>
  <c r="P10" i="170"/>
  <c r="P11" i="170"/>
  <c r="P12" i="170"/>
  <c r="T13" i="170"/>
  <c r="T46" i="170" s="1"/>
  <c r="T10" i="170"/>
  <c r="T11" i="170"/>
  <c r="T12" i="170"/>
  <c r="X13" i="170"/>
  <c r="X46" i="170" s="1"/>
  <c r="X10" i="170"/>
  <c r="X11" i="170"/>
  <c r="X12" i="170"/>
  <c r="AB13" i="170"/>
  <c r="AB46" i="170" s="1"/>
  <c r="AB10" i="170"/>
  <c r="AB11" i="170"/>
  <c r="AB12" i="170"/>
  <c r="AF13" i="170"/>
  <c r="AF46" i="170" s="1"/>
  <c r="AF10" i="170"/>
  <c r="AF11" i="170"/>
  <c r="AF12" i="170"/>
  <c r="I10" i="170"/>
  <c r="I11" i="170"/>
  <c r="I12" i="170"/>
  <c r="U10" i="170"/>
  <c r="U11" i="170"/>
  <c r="U12" i="170"/>
  <c r="AC13" i="170"/>
  <c r="AC46" i="170" s="1"/>
  <c r="AC10" i="170"/>
  <c r="AC11" i="170"/>
  <c r="AC12" i="170"/>
  <c r="N10" i="170"/>
  <c r="N11" i="170"/>
  <c r="N12" i="170"/>
  <c r="F13" i="170"/>
  <c r="F46" i="170" s="1"/>
  <c r="F10" i="170"/>
  <c r="F12" i="170"/>
  <c r="G14" i="170"/>
  <c r="G47" i="170" s="1"/>
  <c r="P29" i="168"/>
  <c r="AF29" i="168"/>
  <c r="D27" i="168"/>
  <c r="D28" i="168" s="1"/>
  <c r="I29" i="168"/>
  <c r="Q29" i="168"/>
  <c r="Y29" i="168"/>
  <c r="AG29" i="168"/>
  <c r="I35" i="169"/>
  <c r="D33" i="171"/>
  <c r="D34" i="171" s="1"/>
  <c r="F29" i="168"/>
  <c r="J29" i="168"/>
  <c r="N29" i="168"/>
  <c r="R29" i="168"/>
  <c r="V29" i="168"/>
  <c r="Z29" i="168"/>
  <c r="AD29" i="168"/>
  <c r="AH29" i="168"/>
  <c r="H62" i="168"/>
  <c r="AF22" i="168" s="1"/>
  <c r="M35" i="169"/>
  <c r="AC35" i="169"/>
  <c r="I35" i="171"/>
  <c r="M29" i="168"/>
  <c r="U29" i="168"/>
  <c r="AC29" i="168"/>
  <c r="Y35" i="169"/>
  <c r="G29" i="168"/>
  <c r="K29" i="168"/>
  <c r="O29" i="168"/>
  <c r="S29" i="168"/>
  <c r="W29" i="168"/>
  <c r="AA29" i="168"/>
  <c r="AE29" i="168"/>
  <c r="Q35" i="169"/>
  <c r="AG35" i="169"/>
  <c r="U35" i="171"/>
  <c r="H68" i="169"/>
  <c r="AE28" i="169" s="1"/>
  <c r="Y35" i="171"/>
  <c r="H68" i="171"/>
  <c r="W28" i="171" s="1"/>
  <c r="Q35" i="171"/>
  <c r="AG35" i="171"/>
  <c r="M35" i="171"/>
  <c r="AC35" i="171"/>
  <c r="F11" i="168"/>
  <c r="F16" i="168" s="1"/>
  <c r="F9" i="168"/>
  <c r="F15" i="168" s="1"/>
  <c r="F13" i="168"/>
  <c r="F41" i="168" s="1"/>
  <c r="K13" i="168"/>
  <c r="K41" i="168" s="1"/>
  <c r="H14" i="170"/>
  <c r="H47" i="170" s="1"/>
  <c r="AD11" i="168"/>
  <c r="AD16" i="168" s="1"/>
  <c r="AD3" i="168" s="1"/>
  <c r="N11" i="168"/>
  <c r="N16" i="168" s="1"/>
  <c r="N3" i="168" s="1"/>
  <c r="Z13" i="168"/>
  <c r="Z41" i="168" s="1"/>
  <c r="AA14" i="169"/>
  <c r="AA47" i="169" s="1"/>
  <c r="J13" i="168"/>
  <c r="J41" i="168" s="1"/>
  <c r="V9" i="168"/>
  <c r="V15" i="168" s="1"/>
  <c r="K14" i="169"/>
  <c r="K47" i="169" s="1"/>
  <c r="M9" i="168"/>
  <c r="M15" i="168" s="1"/>
  <c r="AC9" i="168"/>
  <c r="AC15" i="168" s="1"/>
  <c r="Y11" i="168"/>
  <c r="Y16" i="168" s="1"/>
  <c r="Y13" i="168"/>
  <c r="Y41" i="168" s="1"/>
  <c r="U9" i="168"/>
  <c r="U15" i="168" s="1"/>
  <c r="V11" i="168"/>
  <c r="V16" i="168" s="1"/>
  <c r="V3" i="168" s="1"/>
  <c r="R13" i="168"/>
  <c r="R41" i="168" s="1"/>
  <c r="AH13" i="168"/>
  <c r="AH41" i="168" s="1"/>
  <c r="I11" i="168"/>
  <c r="I16" i="168" s="1"/>
  <c r="I13" i="168"/>
  <c r="I41" i="168" s="1"/>
  <c r="N9" i="168"/>
  <c r="N15" i="168" s="1"/>
  <c r="AD9" i="168"/>
  <c r="AD15" i="168" s="1"/>
  <c r="Q11" i="168"/>
  <c r="Q16" i="168" s="1"/>
  <c r="AG11" i="168"/>
  <c r="AG16" i="168" s="1"/>
  <c r="Q13" i="168"/>
  <c r="Q41" i="168" s="1"/>
  <c r="AG13" i="168"/>
  <c r="AG41" i="168" s="1"/>
  <c r="S14" i="169"/>
  <c r="S47" i="169" s="1"/>
  <c r="AI14" i="169"/>
  <c r="AI47" i="169" s="1"/>
  <c r="T14" i="169"/>
  <c r="T47" i="169" s="1"/>
  <c r="L14" i="169"/>
  <c r="L47" i="169" s="1"/>
  <c r="AB14" i="169"/>
  <c r="AB47" i="169" s="1"/>
  <c r="AB14" i="170"/>
  <c r="AB47" i="170" s="1"/>
  <c r="J9" i="168"/>
  <c r="J15" i="168" s="1"/>
  <c r="R9" i="168"/>
  <c r="R15" i="168" s="1"/>
  <c r="Z9" i="168"/>
  <c r="Z15" i="168" s="1"/>
  <c r="Z2" i="168" s="1"/>
  <c r="AH9" i="168"/>
  <c r="AH15" i="168" s="1"/>
  <c r="M11" i="168"/>
  <c r="M16" i="168" s="1"/>
  <c r="U11" i="168"/>
  <c r="U16" i="168" s="1"/>
  <c r="AC11" i="168"/>
  <c r="AC16" i="168" s="1"/>
  <c r="N13" i="168"/>
  <c r="N41" i="168" s="1"/>
  <c r="V13" i="168"/>
  <c r="V41" i="168" s="1"/>
  <c r="AD13" i="168"/>
  <c r="AD41" i="168" s="1"/>
  <c r="I9" i="168"/>
  <c r="I15" i="168" s="1"/>
  <c r="I2" i="168" s="1"/>
  <c r="Q9" i="168"/>
  <c r="Q15" i="168" s="1"/>
  <c r="Y9" i="168"/>
  <c r="Y15" i="168" s="1"/>
  <c r="Y14" i="168" s="1"/>
  <c r="Y1" i="168" s="1"/>
  <c r="AG9" i="168"/>
  <c r="AG15" i="168" s="1"/>
  <c r="J11" i="168"/>
  <c r="J16" i="168" s="1"/>
  <c r="J3" i="168" s="1"/>
  <c r="R11" i="168"/>
  <c r="R16" i="168" s="1"/>
  <c r="R3" i="168" s="1"/>
  <c r="Z11" i="168"/>
  <c r="Z16" i="168" s="1"/>
  <c r="Z3" i="168" s="1"/>
  <c r="AH11" i="168"/>
  <c r="AH16" i="168" s="1"/>
  <c r="AH3" i="168" s="1"/>
  <c r="M13" i="168"/>
  <c r="M41" i="168" s="1"/>
  <c r="U13" i="168"/>
  <c r="U41" i="168" s="1"/>
  <c r="AC13" i="168"/>
  <c r="AC41" i="168" s="1"/>
  <c r="G14" i="169"/>
  <c r="G47" i="169" s="1"/>
  <c r="O14" i="169"/>
  <c r="O47" i="169" s="1"/>
  <c r="W14" i="169"/>
  <c r="W47" i="169" s="1"/>
  <c r="AE14" i="169"/>
  <c r="AE47" i="169" s="1"/>
  <c r="H14" i="169"/>
  <c r="H47" i="169" s="1"/>
  <c r="P14" i="169"/>
  <c r="P47" i="169" s="1"/>
  <c r="X14" i="169"/>
  <c r="X47" i="169" s="1"/>
  <c r="AF14" i="169"/>
  <c r="AF47" i="169" s="1"/>
  <c r="Q14" i="171"/>
  <c r="Q47" i="171" s="1"/>
  <c r="AG14" i="171"/>
  <c r="AG47" i="171" s="1"/>
  <c r="H14" i="171"/>
  <c r="H47" i="171" s="1"/>
  <c r="X14" i="171"/>
  <c r="X47" i="171" s="1"/>
  <c r="AF14" i="171"/>
  <c r="AF47" i="171" s="1"/>
  <c r="L14" i="171"/>
  <c r="L47" i="171" s="1"/>
  <c r="T14" i="171"/>
  <c r="T47" i="171" s="1"/>
  <c r="AB14" i="171"/>
  <c r="AB47" i="171" s="1"/>
  <c r="I14" i="171"/>
  <c r="I47" i="171" s="1"/>
  <c r="Y14" i="171"/>
  <c r="Y47" i="171" s="1"/>
  <c r="P14" i="171"/>
  <c r="P47" i="171" s="1"/>
  <c r="M14" i="171"/>
  <c r="M47" i="171" s="1"/>
  <c r="U14" i="171"/>
  <c r="U47" i="171" s="1"/>
  <c r="AC14" i="171"/>
  <c r="AC47" i="171" s="1"/>
  <c r="AG13" i="170"/>
  <c r="AG46" i="170" s="1"/>
  <c r="P14" i="170"/>
  <c r="P47" i="170" s="1"/>
  <c r="Y14" i="170"/>
  <c r="Y47" i="170" s="1"/>
  <c r="I14" i="170"/>
  <c r="I47" i="170" s="1"/>
  <c r="T14" i="170"/>
  <c r="T47" i="170" s="1"/>
  <c r="AF14" i="170"/>
  <c r="AF47" i="170" s="1"/>
  <c r="U13" i="170"/>
  <c r="U46" i="170" s="1"/>
  <c r="Q14" i="170"/>
  <c r="Q47" i="170" s="1"/>
  <c r="L14" i="170"/>
  <c r="L47" i="170" s="1"/>
  <c r="X14" i="170"/>
  <c r="X47" i="170" s="1"/>
  <c r="E52" i="168"/>
  <c r="E53" i="168" s="1"/>
  <c r="E54" i="168" s="1"/>
  <c r="E58" i="169"/>
  <c r="E59" i="169" s="1"/>
  <c r="E60" i="169" s="1"/>
  <c r="E58" i="171"/>
  <c r="E59" i="171" s="1"/>
  <c r="E60" i="171" s="1"/>
  <c r="E58" i="170"/>
  <c r="E59" i="170" s="1"/>
  <c r="E60" i="170" s="1"/>
  <c r="E98" i="162"/>
  <c r="J13" i="171"/>
  <c r="J46" i="171" s="1"/>
  <c r="N13" i="171"/>
  <c r="N46" i="171" s="1"/>
  <c r="V13" i="171"/>
  <c r="V46" i="171" s="1"/>
  <c r="Z13" i="171"/>
  <c r="Z46" i="171" s="1"/>
  <c r="AH13" i="171"/>
  <c r="AH46" i="171" s="1"/>
  <c r="G14" i="171"/>
  <c r="G47" i="171" s="1"/>
  <c r="K14" i="171"/>
  <c r="K47" i="171" s="1"/>
  <c r="O14" i="171"/>
  <c r="O47" i="171" s="1"/>
  <c r="S14" i="171"/>
  <c r="S47" i="171" s="1"/>
  <c r="W14" i="171"/>
  <c r="W47" i="171" s="1"/>
  <c r="AA14" i="171"/>
  <c r="AA47" i="171" s="1"/>
  <c r="AE14" i="171"/>
  <c r="AE47" i="171" s="1"/>
  <c r="AI14" i="171"/>
  <c r="AI47" i="171" s="1"/>
  <c r="H35" i="171"/>
  <c r="L35" i="171"/>
  <c r="P35" i="171"/>
  <c r="T35" i="171"/>
  <c r="X35" i="171"/>
  <c r="AB35" i="171"/>
  <c r="AF35" i="171"/>
  <c r="F13" i="171"/>
  <c r="F46" i="171" s="1"/>
  <c r="R13" i="171"/>
  <c r="R46" i="171" s="1"/>
  <c r="AD13" i="171"/>
  <c r="AD46" i="171" s="1"/>
  <c r="K35" i="171"/>
  <c r="O35" i="171"/>
  <c r="S35" i="171"/>
  <c r="W35" i="171"/>
  <c r="AA35" i="171"/>
  <c r="AE35" i="171"/>
  <c r="AI35" i="171"/>
  <c r="F35" i="171"/>
  <c r="J35" i="171"/>
  <c r="N35" i="171"/>
  <c r="R35" i="171"/>
  <c r="V35" i="171"/>
  <c r="Z35" i="171"/>
  <c r="AD35" i="171"/>
  <c r="F14" i="170"/>
  <c r="F47" i="170" s="1"/>
  <c r="J14" i="170"/>
  <c r="J47" i="170" s="1"/>
  <c r="N14" i="170"/>
  <c r="N47" i="170" s="1"/>
  <c r="R14" i="170"/>
  <c r="R47" i="170" s="1"/>
  <c r="V14" i="170"/>
  <c r="V47" i="170" s="1"/>
  <c r="Z14" i="170"/>
  <c r="Z47" i="170" s="1"/>
  <c r="AD14" i="170"/>
  <c r="AD47" i="170" s="1"/>
  <c r="AH14" i="170"/>
  <c r="AH47" i="170" s="1"/>
  <c r="K13" i="170"/>
  <c r="K46" i="170" s="1"/>
  <c r="AA13" i="170"/>
  <c r="AA46" i="170" s="1"/>
  <c r="J13" i="170"/>
  <c r="J46" i="170" s="1"/>
  <c r="O13" i="170"/>
  <c r="O46" i="170" s="1"/>
  <c r="Z13" i="170"/>
  <c r="Z46" i="170" s="1"/>
  <c r="AE13" i="170"/>
  <c r="AE46" i="170" s="1"/>
  <c r="I13" i="170"/>
  <c r="I46" i="170" s="1"/>
  <c r="N13" i="170"/>
  <c r="N46" i="170" s="1"/>
  <c r="S13" i="170"/>
  <c r="S46" i="170" s="1"/>
  <c r="Y13" i="170"/>
  <c r="Y46" i="170" s="1"/>
  <c r="AD13" i="170"/>
  <c r="AD46" i="170" s="1"/>
  <c r="AI13" i="170"/>
  <c r="AI46" i="170" s="1"/>
  <c r="M14" i="170"/>
  <c r="M47" i="170" s="1"/>
  <c r="U14" i="170"/>
  <c r="U47" i="170" s="1"/>
  <c r="AC14" i="170"/>
  <c r="AC47" i="170" s="1"/>
  <c r="G13" i="170"/>
  <c r="G46" i="170" s="1"/>
  <c r="R13" i="170"/>
  <c r="R46" i="170" s="1"/>
  <c r="W13" i="170"/>
  <c r="W46" i="170" s="1"/>
  <c r="AH13" i="170"/>
  <c r="AH46" i="170" s="1"/>
  <c r="D33" i="170"/>
  <c r="D34" i="170" s="1"/>
  <c r="F14" i="169"/>
  <c r="F47" i="169" s="1"/>
  <c r="J14" i="169"/>
  <c r="J47" i="169" s="1"/>
  <c r="N14" i="169"/>
  <c r="N47" i="169" s="1"/>
  <c r="R14" i="169"/>
  <c r="R47" i="169" s="1"/>
  <c r="V14" i="169"/>
  <c r="V47" i="169" s="1"/>
  <c r="Z14" i="169"/>
  <c r="Z47" i="169" s="1"/>
  <c r="AD14" i="169"/>
  <c r="AD47" i="169" s="1"/>
  <c r="AH14" i="169"/>
  <c r="AH47" i="169" s="1"/>
  <c r="F13" i="169"/>
  <c r="F46" i="169" s="1"/>
  <c r="V13" i="169"/>
  <c r="V46" i="169" s="1"/>
  <c r="R13" i="169"/>
  <c r="R46" i="169" s="1"/>
  <c r="AH13" i="169"/>
  <c r="AH46" i="169" s="1"/>
  <c r="M13" i="169"/>
  <c r="M46" i="169" s="1"/>
  <c r="U13" i="169"/>
  <c r="U46" i="169" s="1"/>
  <c r="AC13" i="169"/>
  <c r="AC46" i="169" s="1"/>
  <c r="H35" i="169"/>
  <c r="P35" i="169"/>
  <c r="T35" i="169"/>
  <c r="AB35" i="169"/>
  <c r="AF35" i="169"/>
  <c r="G35" i="169"/>
  <c r="K35" i="169"/>
  <c r="O35" i="169"/>
  <c r="S35" i="169"/>
  <c r="W35" i="169"/>
  <c r="AA35" i="169"/>
  <c r="AE35" i="169"/>
  <c r="AI35" i="169"/>
  <c r="I13" i="169"/>
  <c r="I46" i="169" s="1"/>
  <c r="Q13" i="169"/>
  <c r="Q46" i="169" s="1"/>
  <c r="Y13" i="169"/>
  <c r="Y46" i="169" s="1"/>
  <c r="AG13" i="169"/>
  <c r="AG46" i="169" s="1"/>
  <c r="L35" i="169"/>
  <c r="X35" i="169"/>
  <c r="F35" i="169"/>
  <c r="J35" i="169"/>
  <c r="N35" i="169"/>
  <c r="R35" i="169"/>
  <c r="V35" i="169"/>
  <c r="Z35" i="169"/>
  <c r="AD35" i="169"/>
  <c r="T22" i="168"/>
  <c r="AG22" i="168"/>
  <c r="W22" i="168"/>
  <c r="J22" i="168"/>
  <c r="K12" i="168"/>
  <c r="K40" i="168" s="1"/>
  <c r="S12" i="168"/>
  <c r="S40" i="168" s="1"/>
  <c r="H9" i="168"/>
  <c r="L9" i="168"/>
  <c r="P9" i="168"/>
  <c r="T9" i="168"/>
  <c r="X9" i="168"/>
  <c r="AB9" i="168"/>
  <c r="AF9" i="168"/>
  <c r="H11" i="168"/>
  <c r="L11" i="168"/>
  <c r="P11" i="168"/>
  <c r="T11" i="168"/>
  <c r="X11" i="168"/>
  <c r="AB11" i="168"/>
  <c r="AF11" i="168"/>
  <c r="H13" i="168"/>
  <c r="H41" i="168" s="1"/>
  <c r="L13" i="168"/>
  <c r="L41" i="168" s="1"/>
  <c r="P13" i="168"/>
  <c r="P41" i="168" s="1"/>
  <c r="T13" i="168"/>
  <c r="T41" i="168" s="1"/>
  <c r="X13" i="168"/>
  <c r="X41" i="168" s="1"/>
  <c r="AB13" i="168"/>
  <c r="AB41" i="168" s="1"/>
  <c r="AF13" i="168"/>
  <c r="AF41" i="168" s="1"/>
  <c r="G12" i="168"/>
  <c r="G40" i="168" s="1"/>
  <c r="W12" i="168"/>
  <c r="W40" i="168" s="1"/>
  <c r="G9" i="168"/>
  <c r="K9" i="168"/>
  <c r="O9" i="168"/>
  <c r="S9" i="168"/>
  <c r="W9" i="168"/>
  <c r="AA9" i="168"/>
  <c r="AE9" i="168"/>
  <c r="AI9" i="168"/>
  <c r="G11" i="168"/>
  <c r="K11" i="168"/>
  <c r="O11" i="168"/>
  <c r="S11" i="168"/>
  <c r="W11" i="168"/>
  <c r="AA11" i="168"/>
  <c r="AE11" i="168"/>
  <c r="AI11" i="168"/>
  <c r="O13" i="168"/>
  <c r="O41" i="168" s="1"/>
  <c r="AA13" i="168"/>
  <c r="AA41" i="168" s="1"/>
  <c r="AE13" i="168"/>
  <c r="AE41" i="168" s="1"/>
  <c r="AI13" i="168"/>
  <c r="AI41" i="168" s="1"/>
  <c r="F24" i="170" l="1"/>
  <c r="K24" i="170"/>
  <c r="N22" i="168"/>
  <c r="AI22" i="168"/>
  <c r="G22" i="168"/>
  <c r="X22" i="168"/>
  <c r="Q22" i="168"/>
  <c r="Z22" i="168"/>
  <c r="AE22" i="168"/>
  <c r="AD22" i="168"/>
  <c r="U22" i="168"/>
  <c r="H22" i="168"/>
  <c r="AI28" i="169"/>
  <c r="AI24" i="169" s="1"/>
  <c r="J28" i="171"/>
  <c r="J24" i="171" s="1"/>
  <c r="L28" i="171"/>
  <c r="L24" i="171" s="1"/>
  <c r="G17" i="170"/>
  <c r="G3" i="170" s="1"/>
  <c r="L24" i="170"/>
  <c r="N62" i="170"/>
  <c r="AF28" i="169"/>
  <c r="AF24" i="169" s="1"/>
  <c r="J28" i="169"/>
  <c r="J24" i="169" s="1"/>
  <c r="U28" i="169"/>
  <c r="U24" i="169" s="1"/>
  <c r="AG28" i="169"/>
  <c r="AG24" i="169" s="1"/>
  <c r="AC28" i="169"/>
  <c r="AC24" i="169" s="1"/>
  <c r="G28" i="169"/>
  <c r="G24" i="169" s="1"/>
  <c r="R28" i="169"/>
  <c r="R24" i="169" s="1"/>
  <c r="P28" i="169"/>
  <c r="P24" i="169" s="1"/>
  <c r="AD28" i="169"/>
  <c r="AD24" i="169" s="1"/>
  <c r="S28" i="169"/>
  <c r="S24" i="169" s="1"/>
  <c r="Z28" i="169"/>
  <c r="Z24" i="169" s="1"/>
  <c r="T28" i="169"/>
  <c r="T24" i="169" s="1"/>
  <c r="I28" i="169"/>
  <c r="I24" i="169" s="1"/>
  <c r="W28" i="169"/>
  <c r="W24" i="169" s="1"/>
  <c r="AH28" i="169"/>
  <c r="AH24" i="169" s="1"/>
  <c r="H28" i="169"/>
  <c r="H24" i="169" s="1"/>
  <c r="X28" i="169"/>
  <c r="X24" i="169" s="1"/>
  <c r="N28" i="169"/>
  <c r="N24" i="169" s="1"/>
  <c r="Q28" i="169"/>
  <c r="Q24" i="169" s="1"/>
  <c r="K28" i="169"/>
  <c r="K24" i="169" s="1"/>
  <c r="AA28" i="169"/>
  <c r="AA24" i="169" s="1"/>
  <c r="F28" i="169"/>
  <c r="F24" i="169" s="1"/>
  <c r="M28" i="169"/>
  <c r="M24" i="169" s="1"/>
  <c r="L28" i="169"/>
  <c r="L24" i="169" s="1"/>
  <c r="AB28" i="169"/>
  <c r="AB24" i="169" s="1"/>
  <c r="V28" i="169"/>
  <c r="V24" i="169" s="1"/>
  <c r="Y28" i="169"/>
  <c r="Y24" i="169" s="1"/>
  <c r="O28" i="169"/>
  <c r="O24" i="169" s="1"/>
  <c r="Q28" i="171"/>
  <c r="Q24" i="171" s="1"/>
  <c r="H28" i="171"/>
  <c r="H24" i="171" s="1"/>
  <c r="K28" i="171"/>
  <c r="K24" i="171" s="1"/>
  <c r="U28" i="171"/>
  <c r="U24" i="171" s="1"/>
  <c r="O28" i="171"/>
  <c r="O24" i="171" s="1"/>
  <c r="W22" i="171"/>
  <c r="W4" i="171"/>
  <c r="S20" i="171"/>
  <c r="S2" i="171"/>
  <c r="W22" i="169"/>
  <c r="W4" i="169"/>
  <c r="W20" i="171"/>
  <c r="W2" i="171"/>
  <c r="AG18" i="169"/>
  <c r="AG4" i="169" s="1"/>
  <c r="AD18" i="171"/>
  <c r="AD4" i="171" s="1"/>
  <c r="Z16" i="171"/>
  <c r="Z2" i="171" s="1"/>
  <c r="O18" i="171"/>
  <c r="O22" i="171" s="1"/>
  <c r="AE16" i="171"/>
  <c r="AE20" i="171" s="1"/>
  <c r="V16" i="169"/>
  <c r="V20" i="169" s="1"/>
  <c r="V16" i="171"/>
  <c r="V20" i="171" s="1"/>
  <c r="AA16" i="171"/>
  <c r="AA2" i="171" s="1"/>
  <c r="AE22" i="171"/>
  <c r="AE4" i="171"/>
  <c r="G4" i="169"/>
  <c r="G22" i="169"/>
  <c r="D22" i="169" s="1"/>
  <c r="AD2" i="171"/>
  <c r="AD20" i="171"/>
  <c r="N2" i="171"/>
  <c r="N20" i="171"/>
  <c r="AH22" i="169"/>
  <c r="AH4" i="169"/>
  <c r="Z20" i="169"/>
  <c r="Z2" i="169"/>
  <c r="AC20" i="169"/>
  <c r="AC2" i="169"/>
  <c r="Y22" i="169"/>
  <c r="Y4" i="169"/>
  <c r="M2" i="169"/>
  <c r="M20" i="169"/>
  <c r="I20" i="169"/>
  <c r="I2" i="169"/>
  <c r="AI20" i="171"/>
  <c r="AI2" i="171"/>
  <c r="AA4" i="171"/>
  <c r="AA22" i="171"/>
  <c r="G20" i="171"/>
  <c r="G2" i="171"/>
  <c r="AE22" i="169"/>
  <c r="AE4" i="169"/>
  <c r="AH22" i="171"/>
  <c r="AH4" i="171"/>
  <c r="V22" i="171"/>
  <c r="V4" i="171"/>
  <c r="J2" i="171"/>
  <c r="J20" i="171"/>
  <c r="AD22" i="169"/>
  <c r="AD4" i="169"/>
  <c r="R20" i="169"/>
  <c r="R2" i="169"/>
  <c r="Y20" i="169"/>
  <c r="Y2" i="169"/>
  <c r="U18" i="169"/>
  <c r="U22" i="169" s="1"/>
  <c r="Z18" i="169"/>
  <c r="Z22" i="169" s="1"/>
  <c r="N16" i="169"/>
  <c r="N20" i="169" s="1"/>
  <c r="R18" i="171"/>
  <c r="R22" i="171" s="1"/>
  <c r="S18" i="171"/>
  <c r="S4" i="171" s="1"/>
  <c r="K22" i="171"/>
  <c r="K4" i="171"/>
  <c r="R4" i="169"/>
  <c r="R22" i="169"/>
  <c r="J20" i="169"/>
  <c r="J2" i="169"/>
  <c r="U2" i="169"/>
  <c r="U20" i="169"/>
  <c r="Q18" i="169"/>
  <c r="Q4" i="169" s="1"/>
  <c r="Q2" i="169"/>
  <c r="Q20" i="169"/>
  <c r="K20" i="171"/>
  <c r="K2" i="171"/>
  <c r="O22" i="169"/>
  <c r="O4" i="169"/>
  <c r="AH20" i="171"/>
  <c r="AH2" i="171"/>
  <c r="Z22" i="171"/>
  <c r="Z4" i="171"/>
  <c r="R20" i="171"/>
  <c r="R2" i="171"/>
  <c r="N22" i="171"/>
  <c r="N4" i="171"/>
  <c r="J22" i="171"/>
  <c r="J4" i="171"/>
  <c r="AH20" i="169"/>
  <c r="AH2" i="169"/>
  <c r="AD20" i="169"/>
  <c r="AD2" i="169"/>
  <c r="V22" i="169"/>
  <c r="V4" i="169"/>
  <c r="N22" i="169"/>
  <c r="N4" i="169"/>
  <c r="J22" i="169"/>
  <c r="J4" i="169"/>
  <c r="AG2" i="169"/>
  <c r="AG20" i="169"/>
  <c r="AC4" i="169"/>
  <c r="AC22" i="169"/>
  <c r="M4" i="169"/>
  <c r="M22" i="169"/>
  <c r="I22" i="169"/>
  <c r="I4" i="169"/>
  <c r="X22" i="169"/>
  <c r="X4" i="169"/>
  <c r="AI22" i="171"/>
  <c r="AI4" i="171"/>
  <c r="O20" i="171"/>
  <c r="O2" i="171"/>
  <c r="G22" i="171"/>
  <c r="G4" i="171"/>
  <c r="AG18" i="171"/>
  <c r="AG4" i="171" s="1"/>
  <c r="U18" i="171"/>
  <c r="U22" i="171" s="1"/>
  <c r="P18" i="171"/>
  <c r="P22" i="171" s="1"/>
  <c r="M18" i="171"/>
  <c r="M22" i="171" s="1"/>
  <c r="AB18" i="169"/>
  <c r="AB4" i="169" s="1"/>
  <c r="Y18" i="171"/>
  <c r="Y4" i="171" s="1"/>
  <c r="S18" i="169"/>
  <c r="S4" i="169" s="1"/>
  <c r="F18" i="171"/>
  <c r="F22" i="171" s="1"/>
  <c r="Q18" i="171"/>
  <c r="Q4" i="171" s="1"/>
  <c r="AF18" i="171"/>
  <c r="AF22" i="171" s="1"/>
  <c r="L18" i="169"/>
  <c r="L22" i="169" s="1"/>
  <c r="K18" i="169"/>
  <c r="K22" i="169" s="1"/>
  <c r="F18" i="169"/>
  <c r="F22" i="169" s="1"/>
  <c r="L18" i="171"/>
  <c r="L22" i="171" s="1"/>
  <c r="AB18" i="171"/>
  <c r="AB22" i="171" s="1"/>
  <c r="P18" i="169"/>
  <c r="P22" i="169" s="1"/>
  <c r="AA18" i="169"/>
  <c r="AA22" i="169" s="1"/>
  <c r="H18" i="171"/>
  <c r="H22" i="171" s="1"/>
  <c r="T18" i="171"/>
  <c r="T22" i="171" s="1"/>
  <c r="T18" i="169"/>
  <c r="T4" i="169" s="1"/>
  <c r="I18" i="171"/>
  <c r="I22" i="171" s="1"/>
  <c r="X18" i="171"/>
  <c r="X4" i="171" s="1"/>
  <c r="AC18" i="171"/>
  <c r="AC22" i="171" s="1"/>
  <c r="H18" i="169"/>
  <c r="H4" i="169" s="1"/>
  <c r="AF18" i="169"/>
  <c r="AF22" i="169" s="1"/>
  <c r="AI18" i="169"/>
  <c r="AI4" i="169" s="1"/>
  <c r="AC16" i="171"/>
  <c r="AC20" i="171" s="1"/>
  <c r="H16" i="171"/>
  <c r="H20" i="171" s="1"/>
  <c r="AA16" i="169"/>
  <c r="AA20" i="169" s="1"/>
  <c r="P17" i="169"/>
  <c r="P3" i="169" s="1"/>
  <c r="P16" i="169"/>
  <c r="P20" i="169" s="1"/>
  <c r="U16" i="171"/>
  <c r="U20" i="171" s="1"/>
  <c r="AG16" i="171"/>
  <c r="AG20" i="171" s="1"/>
  <c r="L16" i="169"/>
  <c r="L20" i="169" s="1"/>
  <c r="S16" i="169"/>
  <c r="S20" i="169" s="1"/>
  <c r="AE16" i="169"/>
  <c r="AE2" i="169" s="1"/>
  <c r="W16" i="169"/>
  <c r="W20" i="169" s="1"/>
  <c r="F16" i="171"/>
  <c r="F2" i="171" s="1"/>
  <c r="M16" i="171"/>
  <c r="M2" i="171" s="1"/>
  <c r="Q16" i="171"/>
  <c r="Q2" i="171" s="1"/>
  <c r="AB16" i="171"/>
  <c r="AB2" i="171" s="1"/>
  <c r="AF16" i="171"/>
  <c r="AF20" i="171" s="1"/>
  <c r="I16" i="171"/>
  <c r="I2" i="171" s="1"/>
  <c r="K16" i="169"/>
  <c r="K2" i="169" s="1"/>
  <c r="X17" i="169"/>
  <c r="X21" i="169" s="1"/>
  <c r="X16" i="169"/>
  <c r="X2" i="169" s="1"/>
  <c r="O16" i="169"/>
  <c r="O20" i="169" s="1"/>
  <c r="L16" i="171"/>
  <c r="L2" i="171" s="1"/>
  <c r="T17" i="169"/>
  <c r="T21" i="169" s="1"/>
  <c r="T16" i="169"/>
  <c r="T2" i="169" s="1"/>
  <c r="P16" i="171"/>
  <c r="P2" i="171" s="1"/>
  <c r="Y16" i="171"/>
  <c r="Y2" i="171" s="1"/>
  <c r="AF16" i="169"/>
  <c r="AF20" i="169" s="1"/>
  <c r="F16" i="169"/>
  <c r="F2" i="169" s="1"/>
  <c r="T16" i="171"/>
  <c r="T2" i="171" s="1"/>
  <c r="X16" i="171"/>
  <c r="X2" i="171" s="1"/>
  <c r="AB17" i="169"/>
  <c r="AB3" i="169" s="1"/>
  <c r="AB16" i="169"/>
  <c r="AB20" i="169" s="1"/>
  <c r="AI16" i="169"/>
  <c r="AI2" i="169" s="1"/>
  <c r="H17" i="169"/>
  <c r="H21" i="169" s="1"/>
  <c r="H16" i="169"/>
  <c r="H20" i="169" s="1"/>
  <c r="G16" i="169"/>
  <c r="G2" i="169" s="1"/>
  <c r="AB18" i="170"/>
  <c r="AB22" i="170" s="1"/>
  <c r="T18" i="170"/>
  <c r="T22" i="170" s="1"/>
  <c r="P18" i="170"/>
  <c r="P22" i="170" s="1"/>
  <c r="H18" i="170"/>
  <c r="H22" i="170" s="1"/>
  <c r="AA18" i="170"/>
  <c r="AA22" i="170" s="1"/>
  <c r="S18" i="170"/>
  <c r="S22" i="170" s="1"/>
  <c r="O18" i="170"/>
  <c r="O22" i="170" s="1"/>
  <c r="G18" i="170"/>
  <c r="G22" i="170" s="1"/>
  <c r="V18" i="170"/>
  <c r="V22" i="170" s="1"/>
  <c r="AC18" i="170"/>
  <c r="AC22" i="170" s="1"/>
  <c r="AD18" i="170"/>
  <c r="AD22" i="170" s="1"/>
  <c r="Y18" i="170"/>
  <c r="Y22" i="170" s="1"/>
  <c r="AH18" i="170"/>
  <c r="AH22" i="170" s="1"/>
  <c r="J18" i="170"/>
  <c r="J22" i="170" s="1"/>
  <c r="Q18" i="170"/>
  <c r="Q22" i="170" s="1"/>
  <c r="AE17" i="170"/>
  <c r="AE3" i="170" s="1"/>
  <c r="AA17" i="170"/>
  <c r="AA3" i="170" s="1"/>
  <c r="W17" i="170"/>
  <c r="W3" i="170" s="1"/>
  <c r="Q17" i="170"/>
  <c r="Q3" i="170" s="1"/>
  <c r="N17" i="170"/>
  <c r="N3" i="170" s="1"/>
  <c r="J17" i="170"/>
  <c r="J3" i="170" s="1"/>
  <c r="M17" i="170"/>
  <c r="M3" i="170" s="1"/>
  <c r="AF17" i="170"/>
  <c r="AF3" i="170" s="1"/>
  <c r="L17" i="170"/>
  <c r="L3" i="170" s="1"/>
  <c r="H17" i="170"/>
  <c r="H3" i="170" s="1"/>
  <c r="AI17" i="170"/>
  <c r="AI3" i="170" s="1"/>
  <c r="S17" i="170"/>
  <c r="S3" i="170" s="1"/>
  <c r="V17" i="170"/>
  <c r="V3" i="170" s="1"/>
  <c r="R17" i="170"/>
  <c r="R3" i="170" s="1"/>
  <c r="F17" i="170"/>
  <c r="F3" i="170" s="1"/>
  <c r="F16" i="170"/>
  <c r="N16" i="170"/>
  <c r="N2" i="170" s="1"/>
  <c r="I18" i="170"/>
  <c r="I22" i="170" s="1"/>
  <c r="AB17" i="170"/>
  <c r="AB3" i="170" s="1"/>
  <c r="X17" i="170"/>
  <c r="X3" i="170" s="1"/>
  <c r="T17" i="170"/>
  <c r="T3" i="170" s="1"/>
  <c r="P17" i="170"/>
  <c r="P21" i="170" s="1"/>
  <c r="AE16" i="170"/>
  <c r="AE2" i="170" s="1"/>
  <c r="AA16" i="170"/>
  <c r="AA2" i="170" s="1"/>
  <c r="W16" i="170"/>
  <c r="W2" i="170" s="1"/>
  <c r="O16" i="170"/>
  <c r="O2" i="170" s="1"/>
  <c r="K16" i="170"/>
  <c r="K2" i="170" s="1"/>
  <c r="G16" i="170"/>
  <c r="G2" i="170" s="1"/>
  <c r="AH16" i="170"/>
  <c r="AH2" i="170" s="1"/>
  <c r="Z18" i="170"/>
  <c r="Z22" i="170" s="1"/>
  <c r="J16" i="170"/>
  <c r="J2" i="170" s="1"/>
  <c r="M18" i="170"/>
  <c r="M22" i="170" s="1"/>
  <c r="U18" i="170"/>
  <c r="U22" i="170" s="1"/>
  <c r="I17" i="170"/>
  <c r="I3" i="170" s="1"/>
  <c r="AF16" i="170"/>
  <c r="AB16" i="170"/>
  <c r="AB2" i="170" s="1"/>
  <c r="X16" i="170"/>
  <c r="X2" i="170" s="1"/>
  <c r="T16" i="170"/>
  <c r="T2" i="170" s="1"/>
  <c r="P16" i="170"/>
  <c r="P2" i="170" s="1"/>
  <c r="L16" i="170"/>
  <c r="L2" i="170" s="1"/>
  <c r="H16" i="170"/>
  <c r="H2" i="170" s="1"/>
  <c r="AI16" i="170"/>
  <c r="AI2" i="170" s="1"/>
  <c r="S16" i="170"/>
  <c r="S2" i="170" s="1"/>
  <c r="O17" i="170"/>
  <c r="O3" i="170" s="1"/>
  <c r="K17" i="170"/>
  <c r="K3" i="170" s="1"/>
  <c r="Z17" i="170"/>
  <c r="Z3" i="170" s="1"/>
  <c r="V16" i="170"/>
  <c r="V2" i="170" s="1"/>
  <c r="R16" i="170"/>
  <c r="R2" i="170" s="1"/>
  <c r="AG18" i="170"/>
  <c r="AG22" i="170" s="1"/>
  <c r="N18" i="170"/>
  <c r="N22" i="170" s="1"/>
  <c r="AC17" i="170"/>
  <c r="AC3" i="170" s="1"/>
  <c r="U17" i="170"/>
  <c r="U3" i="170" s="1"/>
  <c r="I16" i="170"/>
  <c r="AD17" i="170"/>
  <c r="AD3" i="170" s="1"/>
  <c r="Z16" i="170"/>
  <c r="Z20" i="170" s="1"/>
  <c r="AG17" i="170"/>
  <c r="AG3" i="170" s="1"/>
  <c r="Y17" i="170"/>
  <c r="Y3" i="170" s="1"/>
  <c r="Q16" i="170"/>
  <c r="Q20" i="170" s="1"/>
  <c r="M16" i="170"/>
  <c r="M2" i="170" s="1"/>
  <c r="AC16" i="170"/>
  <c r="AC20" i="170" s="1"/>
  <c r="U16" i="170"/>
  <c r="U2" i="170" s="1"/>
  <c r="AF18" i="170"/>
  <c r="AF22" i="170" s="1"/>
  <c r="X18" i="170"/>
  <c r="X4" i="170" s="1"/>
  <c r="L18" i="170"/>
  <c r="L22" i="170" s="1"/>
  <c r="AI18" i="170"/>
  <c r="AI22" i="170" s="1"/>
  <c r="AE18" i="170"/>
  <c r="AE4" i="170" s="1"/>
  <c r="W18" i="170"/>
  <c r="W22" i="170" s="1"/>
  <c r="K18" i="170"/>
  <c r="K4" i="170" s="1"/>
  <c r="AH17" i="170"/>
  <c r="AH3" i="170" s="1"/>
  <c r="AD16" i="170"/>
  <c r="AD20" i="170" s="1"/>
  <c r="R18" i="170"/>
  <c r="R22" i="170" s="1"/>
  <c r="AG16" i="170"/>
  <c r="AG2" i="170" s="1"/>
  <c r="Y16" i="170"/>
  <c r="Y20" i="170" s="1"/>
  <c r="F18" i="170"/>
  <c r="F4" i="170" s="1"/>
  <c r="N14" i="168"/>
  <c r="N1" i="168" s="1"/>
  <c r="O22" i="168"/>
  <c r="O18" i="168" s="1"/>
  <c r="R22" i="168"/>
  <c r="AH22" i="168"/>
  <c r="AH18" i="168" s="1"/>
  <c r="I22" i="168"/>
  <c r="I18" i="168" s="1"/>
  <c r="Y22" i="168"/>
  <c r="Y18" i="168" s="1"/>
  <c r="Y51" i="168" s="1"/>
  <c r="S22" i="168"/>
  <c r="L22" i="168"/>
  <c r="AB22" i="168"/>
  <c r="AB18" i="168" s="1"/>
  <c r="Z28" i="171"/>
  <c r="Z24" i="171" s="1"/>
  <c r="AG28" i="171"/>
  <c r="AG24" i="171" s="1"/>
  <c r="X28" i="171"/>
  <c r="X24" i="171" s="1"/>
  <c r="AA28" i="171"/>
  <c r="AA24" i="171" s="1"/>
  <c r="F22" i="168"/>
  <c r="F18" i="168" s="1"/>
  <c r="V22" i="168"/>
  <c r="K22" i="168"/>
  <c r="K18" i="168" s="1"/>
  <c r="M22" i="168"/>
  <c r="AC22" i="168"/>
  <c r="AC18" i="168" s="1"/>
  <c r="AA22" i="168"/>
  <c r="P22" i="168"/>
  <c r="P18" i="168" s="1"/>
  <c r="AH28" i="171"/>
  <c r="AH24" i="171" s="1"/>
  <c r="F28" i="171"/>
  <c r="F24" i="171" s="1"/>
  <c r="AB28" i="171"/>
  <c r="AB24" i="171" s="1"/>
  <c r="AE28" i="171"/>
  <c r="AE24" i="171" s="1"/>
  <c r="N28" i="171"/>
  <c r="N24" i="171" s="1"/>
  <c r="I28" i="171"/>
  <c r="I24" i="171" s="1"/>
  <c r="Y28" i="171"/>
  <c r="Y24" i="171" s="1"/>
  <c r="R28" i="171"/>
  <c r="R24" i="171" s="1"/>
  <c r="P28" i="171"/>
  <c r="P24" i="171" s="1"/>
  <c r="AF28" i="171"/>
  <c r="AF24" i="171" s="1"/>
  <c r="S28" i="171"/>
  <c r="S24" i="171" s="1"/>
  <c r="AI28" i="171"/>
  <c r="AI24" i="171" s="1"/>
  <c r="V28" i="171"/>
  <c r="V24" i="171" s="1"/>
  <c r="M28" i="171"/>
  <c r="M24" i="171" s="1"/>
  <c r="AC28" i="171"/>
  <c r="AC24" i="171" s="1"/>
  <c r="AD28" i="171"/>
  <c r="AD24" i="171" s="1"/>
  <c r="T28" i="171"/>
  <c r="T24" i="171" s="1"/>
  <c r="G28" i="171"/>
  <c r="G24" i="171" s="1"/>
  <c r="F10" i="168"/>
  <c r="F14" i="168"/>
  <c r="F1" i="168" s="1"/>
  <c r="AF17" i="171"/>
  <c r="AF3" i="171" s="1"/>
  <c r="M17" i="171"/>
  <c r="M3" i="171" s="1"/>
  <c r="AB17" i="171"/>
  <c r="AB21" i="171" s="1"/>
  <c r="AD18" i="168"/>
  <c r="AF17" i="169"/>
  <c r="AF21" i="169" s="1"/>
  <c r="AG3" i="168"/>
  <c r="N10" i="168"/>
  <c r="Z18" i="168"/>
  <c r="W17" i="169"/>
  <c r="W21" i="169" s="1"/>
  <c r="R10" i="168"/>
  <c r="AG2" i="168"/>
  <c r="AC3" i="168"/>
  <c r="G17" i="169"/>
  <c r="G3" i="169" s="1"/>
  <c r="H24" i="170"/>
  <c r="R24" i="170"/>
  <c r="P17" i="171"/>
  <c r="P21" i="171" s="1"/>
  <c r="AI17" i="169"/>
  <c r="AI3" i="169" s="1"/>
  <c r="Q10" i="168"/>
  <c r="V2" i="168"/>
  <c r="AC10" i="168"/>
  <c r="M3" i="168"/>
  <c r="N18" i="168"/>
  <c r="AD14" i="168"/>
  <c r="AD1" i="168" s="1"/>
  <c r="V10" i="168"/>
  <c r="Y3" i="168"/>
  <c r="U14" i="168"/>
  <c r="U1" i="168" s="1"/>
  <c r="M14" i="168"/>
  <c r="M1" i="168" s="1"/>
  <c r="Q18" i="168"/>
  <c r="AD10" i="168"/>
  <c r="R18" i="168"/>
  <c r="AA17" i="169"/>
  <c r="AA21" i="169" s="1"/>
  <c r="AE24" i="169"/>
  <c r="AI24" i="170"/>
  <c r="AH24" i="170"/>
  <c r="Q14" i="168"/>
  <c r="Q1" i="168" s="1"/>
  <c r="AC14" i="168"/>
  <c r="AC1" i="168" s="1"/>
  <c r="J18" i="168"/>
  <c r="AG18" i="168"/>
  <c r="M18" i="168"/>
  <c r="AE17" i="169"/>
  <c r="AE3" i="169" s="1"/>
  <c r="K17" i="169"/>
  <c r="K3" i="169" s="1"/>
  <c r="O17" i="169"/>
  <c r="O3" i="169" s="1"/>
  <c r="L17" i="169"/>
  <c r="L3" i="169" s="1"/>
  <c r="Q17" i="171"/>
  <c r="Q3" i="171" s="1"/>
  <c r="X17" i="171"/>
  <c r="X21" i="171" s="1"/>
  <c r="AG17" i="171"/>
  <c r="AG21" i="171" s="1"/>
  <c r="U24" i="170"/>
  <c r="N2" i="168"/>
  <c r="AC2" i="168"/>
  <c r="Y2" i="168"/>
  <c r="M2" i="168"/>
  <c r="U10" i="168"/>
  <c r="Q2" i="168"/>
  <c r="J10" i="168"/>
  <c r="Q3" i="168"/>
  <c r="V18" i="168"/>
  <c r="R14" i="168"/>
  <c r="R1" i="168" s="1"/>
  <c r="Y10" i="168"/>
  <c r="I10" i="168"/>
  <c r="U2" i="168"/>
  <c r="AH10" i="168"/>
  <c r="AD2" i="168"/>
  <c r="J2" i="168"/>
  <c r="V14" i="168"/>
  <c r="V1" i="168" s="1"/>
  <c r="L18" i="168"/>
  <c r="AG14" i="168"/>
  <c r="Z14" i="168"/>
  <c r="M10" i="168"/>
  <c r="I3" i="168"/>
  <c r="U18" i="168"/>
  <c r="I14" i="168"/>
  <c r="I1" i="168" s="1"/>
  <c r="T17" i="171"/>
  <c r="T21" i="171" s="1"/>
  <c r="I17" i="171"/>
  <c r="I3" i="171" s="1"/>
  <c r="AA24" i="170"/>
  <c r="J24" i="170"/>
  <c r="AG24" i="170"/>
  <c r="AH14" i="168"/>
  <c r="AG10" i="168"/>
  <c r="Z10" i="168"/>
  <c r="U3" i="168"/>
  <c r="AH2" i="168"/>
  <c r="R2" i="168"/>
  <c r="J14" i="168"/>
  <c r="J1" i="168" s="1"/>
  <c r="AA18" i="168"/>
  <c r="S17" i="169"/>
  <c r="S21" i="169" s="1"/>
  <c r="U17" i="171"/>
  <c r="U3" i="171" s="1"/>
  <c r="L17" i="171"/>
  <c r="L21" i="171" s="1"/>
  <c r="AC17" i="171"/>
  <c r="AC3" i="171" s="1"/>
  <c r="H17" i="171"/>
  <c r="H21" i="171" s="1"/>
  <c r="Y17" i="171"/>
  <c r="Y21" i="171" s="1"/>
  <c r="N24" i="170"/>
  <c r="AD24" i="170"/>
  <c r="X24" i="170"/>
  <c r="Z24" i="170"/>
  <c r="Q24" i="170"/>
  <c r="T24" i="170"/>
  <c r="W24" i="170"/>
  <c r="V24" i="170"/>
  <c r="P24" i="170"/>
  <c r="AF24" i="170"/>
  <c r="E61" i="171"/>
  <c r="AA17" i="171"/>
  <c r="AA3" i="171" s="1"/>
  <c r="AH17" i="171"/>
  <c r="AH15" i="171" s="1"/>
  <c r="AH1" i="171" s="1"/>
  <c r="R17" i="171"/>
  <c r="R3" i="171" s="1"/>
  <c r="AI17" i="171"/>
  <c r="AI15" i="171" s="1"/>
  <c r="AI1" i="171" s="1"/>
  <c r="S17" i="171"/>
  <c r="S3" i="171" s="1"/>
  <c r="Z17" i="171"/>
  <c r="Z3" i="171" s="1"/>
  <c r="V17" i="171"/>
  <c r="V3" i="171" s="1"/>
  <c r="W17" i="171"/>
  <c r="W15" i="171" s="1"/>
  <c r="W1" i="171" s="1"/>
  <c r="G17" i="171"/>
  <c r="G15" i="171" s="1"/>
  <c r="G1" i="171" s="1"/>
  <c r="J17" i="171"/>
  <c r="J15" i="171" s="1"/>
  <c r="J1" i="171" s="1"/>
  <c r="K17" i="171"/>
  <c r="K15" i="171" s="1"/>
  <c r="K1" i="171" s="1"/>
  <c r="AD17" i="171"/>
  <c r="AD21" i="171" s="1"/>
  <c r="N17" i="171"/>
  <c r="N15" i="171" s="1"/>
  <c r="N1" i="171" s="1"/>
  <c r="AE17" i="171"/>
  <c r="AE3" i="171" s="1"/>
  <c r="O17" i="171"/>
  <c r="O3" i="171" s="1"/>
  <c r="W24" i="171"/>
  <c r="E61" i="170"/>
  <c r="G24" i="170"/>
  <c r="M24" i="170"/>
  <c r="AC24" i="170"/>
  <c r="S24" i="170"/>
  <c r="I24" i="170"/>
  <c r="Y24" i="170"/>
  <c r="AB24" i="170"/>
  <c r="O24" i="170"/>
  <c r="AE24" i="170"/>
  <c r="E61" i="169"/>
  <c r="Y17" i="169"/>
  <c r="Y15" i="169" s="1"/>
  <c r="Y1" i="169" s="1"/>
  <c r="AC17" i="169"/>
  <c r="AC15" i="169" s="1"/>
  <c r="AC1" i="169" s="1"/>
  <c r="M17" i="169"/>
  <c r="M3" i="169" s="1"/>
  <c r="AG17" i="169"/>
  <c r="Q17" i="169"/>
  <c r="AD17" i="169"/>
  <c r="AD15" i="169" s="1"/>
  <c r="AD1" i="169" s="1"/>
  <c r="V17" i="169"/>
  <c r="V3" i="169" s="1"/>
  <c r="R17" i="169"/>
  <c r="R15" i="169" s="1"/>
  <c r="R1" i="169" s="1"/>
  <c r="J17" i="169"/>
  <c r="J15" i="169" s="1"/>
  <c r="J1" i="169" s="1"/>
  <c r="U17" i="169"/>
  <c r="AH17" i="169"/>
  <c r="AH15" i="169" s="1"/>
  <c r="AH1" i="169" s="1"/>
  <c r="Z17" i="169"/>
  <c r="N17" i="169"/>
  <c r="I17" i="169"/>
  <c r="I15" i="169" s="1"/>
  <c r="I1" i="169" s="1"/>
  <c r="E55" i="168"/>
  <c r="O16" i="168"/>
  <c r="O3" i="168" s="1"/>
  <c r="AI16" i="168"/>
  <c r="AI3" i="168" s="1"/>
  <c r="S16" i="168"/>
  <c r="S3" i="168" s="1"/>
  <c r="AE10" i="168"/>
  <c r="AE15" i="168"/>
  <c r="AE2" i="168" s="1"/>
  <c r="O15" i="168"/>
  <c r="O10" i="168"/>
  <c r="AF16" i="168"/>
  <c r="AF3" i="168" s="1"/>
  <c r="P16" i="168"/>
  <c r="P3" i="168" s="1"/>
  <c r="AB15" i="168"/>
  <c r="AB2" i="168" s="1"/>
  <c r="AB10" i="168"/>
  <c r="W16" i="168"/>
  <c r="W3" i="168" s="1"/>
  <c r="G16" i="168"/>
  <c r="G3" i="168" s="1"/>
  <c r="AI10" i="168"/>
  <c r="AI15" i="168"/>
  <c r="S15" i="168"/>
  <c r="S2" i="168" s="1"/>
  <c r="S10" i="168"/>
  <c r="T16" i="168"/>
  <c r="T3" i="168" s="1"/>
  <c r="AF15" i="168"/>
  <c r="AF2" i="168" s="1"/>
  <c r="AF10" i="168"/>
  <c r="P15" i="168"/>
  <c r="P14" i="168" s="1"/>
  <c r="P10" i="168"/>
  <c r="AA16" i="168"/>
  <c r="AA3" i="168" s="1"/>
  <c r="K16" i="168"/>
  <c r="K3" i="168" s="1"/>
  <c r="W10" i="168"/>
  <c r="W15" i="168"/>
  <c r="G10" i="168"/>
  <c r="G15" i="168"/>
  <c r="X16" i="168"/>
  <c r="X3" i="168" s="1"/>
  <c r="H16" i="168"/>
  <c r="H3" i="168" s="1"/>
  <c r="T15" i="168"/>
  <c r="T2" i="168" s="1"/>
  <c r="T10" i="168"/>
  <c r="AI18" i="168"/>
  <c r="G18" i="168"/>
  <c r="H18" i="168"/>
  <c r="X18" i="168"/>
  <c r="W18" i="168"/>
  <c r="AE18" i="168"/>
  <c r="T18" i="168"/>
  <c r="AE16" i="168"/>
  <c r="AE3" i="168" s="1"/>
  <c r="AA15" i="168"/>
  <c r="AA10" i="168"/>
  <c r="K15" i="168"/>
  <c r="K10" i="168"/>
  <c r="AB16" i="168"/>
  <c r="AB3" i="168" s="1"/>
  <c r="L16" i="168"/>
  <c r="L3" i="168" s="1"/>
  <c r="X15" i="168"/>
  <c r="X2" i="168" s="1"/>
  <c r="X10" i="168"/>
  <c r="H15" i="168"/>
  <c r="H2" i="168" s="1"/>
  <c r="H10" i="168"/>
  <c r="AF18" i="168"/>
  <c r="L15" i="168"/>
  <c r="L10" i="168"/>
  <c r="S18" i="168"/>
  <c r="G3" i="171" l="1"/>
  <c r="N3" i="171"/>
  <c r="AD3" i="171"/>
  <c r="L3" i="171"/>
  <c r="AH3" i="171"/>
  <c r="X3" i="171"/>
  <c r="Y3" i="171"/>
  <c r="AI3" i="171"/>
  <c r="H3" i="171"/>
  <c r="AB3" i="171"/>
  <c r="W3" i="171"/>
  <c r="K3" i="171"/>
  <c r="P3" i="171"/>
  <c r="AG3" i="171"/>
  <c r="T3" i="171"/>
  <c r="J3" i="171"/>
  <c r="P3" i="170"/>
  <c r="N20" i="170"/>
  <c r="M20" i="170"/>
  <c r="U20" i="170"/>
  <c r="AE15" i="171"/>
  <c r="AE1" i="171" s="1"/>
  <c r="F1" i="170"/>
  <c r="AB4" i="170"/>
  <c r="X22" i="170"/>
  <c r="N4" i="170"/>
  <c r="J4" i="170"/>
  <c r="Y4" i="170"/>
  <c r="G4" i="170"/>
  <c r="AA4" i="170"/>
  <c r="V15" i="171"/>
  <c r="V1" i="171" s="1"/>
  <c r="AE22" i="170"/>
  <c r="R4" i="170"/>
  <c r="T4" i="170"/>
  <c r="Q4" i="170"/>
  <c r="AD4" i="170"/>
  <c r="S4" i="170"/>
  <c r="H4" i="170"/>
  <c r="U15" i="169"/>
  <c r="U1" i="169" s="1"/>
  <c r="S15" i="171"/>
  <c r="S1" i="171" s="1"/>
  <c r="G21" i="169"/>
  <c r="Z15" i="171"/>
  <c r="Z1" i="171" s="1"/>
  <c r="Q15" i="171"/>
  <c r="Q1" i="171" s="1"/>
  <c r="S3" i="169"/>
  <c r="AF4" i="169"/>
  <c r="U4" i="169"/>
  <c r="AA15" i="171"/>
  <c r="AA1" i="171" s="1"/>
  <c r="R15" i="171"/>
  <c r="R1" i="171" s="1"/>
  <c r="AA4" i="169"/>
  <c r="Q22" i="169"/>
  <c r="AG22" i="171"/>
  <c r="AG19" i="171" s="1"/>
  <c r="AG57" i="171" s="1"/>
  <c r="AI101" i="162" s="1"/>
  <c r="AI135" i="162" s="1"/>
  <c r="K20" i="169"/>
  <c r="AG2" i="171"/>
  <c r="V2" i="171"/>
  <c r="AC4" i="171"/>
  <c r="AC15" i="171"/>
  <c r="AC1" i="171" s="1"/>
  <c r="Q15" i="169"/>
  <c r="Q1" i="169" s="1"/>
  <c r="Y22" i="171"/>
  <c r="T4" i="171"/>
  <c r="AF2" i="171"/>
  <c r="AB4" i="171"/>
  <c r="W3" i="169"/>
  <c r="AA2" i="169"/>
  <c r="F4" i="171"/>
  <c r="M20" i="171"/>
  <c r="L21" i="169"/>
  <c r="L19" i="169" s="1"/>
  <c r="L57" i="169" s="1"/>
  <c r="S21" i="171"/>
  <c r="U3" i="169"/>
  <c r="AD21" i="169"/>
  <c r="AD19" i="169" s="1"/>
  <c r="P2" i="169"/>
  <c r="K4" i="169"/>
  <c r="AA20" i="171"/>
  <c r="P20" i="171"/>
  <c r="P19" i="171" s="1"/>
  <c r="P57" i="171" s="1"/>
  <c r="R101" i="162" s="1"/>
  <c r="R135" i="162" s="1"/>
  <c r="AG22" i="169"/>
  <c r="O21" i="169"/>
  <c r="O19" i="169" s="1"/>
  <c r="O57" i="169" s="1"/>
  <c r="AF19" i="169"/>
  <c r="M15" i="169"/>
  <c r="M1" i="169" s="1"/>
  <c r="AA3" i="169"/>
  <c r="X20" i="171"/>
  <c r="AE21" i="169"/>
  <c r="P4" i="169"/>
  <c r="U21" i="169"/>
  <c r="U19" i="169" s="1"/>
  <c r="J21" i="169"/>
  <c r="J19" i="169" s="1"/>
  <c r="V21" i="171"/>
  <c r="V19" i="171" s="1"/>
  <c r="V57" i="171" s="1"/>
  <c r="X101" i="162" s="1"/>
  <c r="X135" i="162" s="1"/>
  <c r="O4" i="171"/>
  <c r="U2" i="171"/>
  <c r="AI21" i="169"/>
  <c r="AI21" i="171"/>
  <c r="AI19" i="171" s="1"/>
  <c r="I20" i="171"/>
  <c r="R4" i="171"/>
  <c r="S22" i="171"/>
  <c r="H2" i="171"/>
  <c r="AH21" i="169"/>
  <c r="AH19" i="169" s="1"/>
  <c r="Z15" i="169"/>
  <c r="Z1" i="169" s="1"/>
  <c r="AG15" i="169"/>
  <c r="AG1" i="169" s="1"/>
  <c r="O15" i="171"/>
  <c r="O1" i="171" s="1"/>
  <c r="W19" i="169"/>
  <c r="W57" i="169" s="1"/>
  <c r="Q20" i="171"/>
  <c r="G20" i="169"/>
  <c r="D20" i="169" s="1"/>
  <c r="AB2" i="169"/>
  <c r="X20" i="169"/>
  <c r="X19" i="169" s="1"/>
  <c r="M4" i="171"/>
  <c r="H3" i="169"/>
  <c r="AC21" i="171"/>
  <c r="AC19" i="171" s="1"/>
  <c r="AC57" i="171" s="1"/>
  <c r="AE101" i="162" s="1"/>
  <c r="AE135" i="162" s="1"/>
  <c r="AA21" i="171"/>
  <c r="O2" i="169"/>
  <c r="T20" i="169"/>
  <c r="M21" i="169"/>
  <c r="M19" i="169" s="1"/>
  <c r="M57" i="169" s="1"/>
  <c r="Z20" i="171"/>
  <c r="AC2" i="171"/>
  <c r="AA19" i="169"/>
  <c r="AA57" i="169" s="1"/>
  <c r="H19" i="171"/>
  <c r="H57" i="171" s="1"/>
  <c r="J101" i="162" s="1"/>
  <c r="J135" i="162" s="1"/>
  <c r="AF3" i="169"/>
  <c r="P4" i="171"/>
  <c r="Q21" i="171"/>
  <c r="X22" i="171"/>
  <c r="L2" i="169"/>
  <c r="AD22" i="171"/>
  <c r="AD19" i="171" s="1"/>
  <c r="U21" i="171"/>
  <c r="U19" i="171" s="1"/>
  <c r="U57" i="171" s="1"/>
  <c r="W101" i="162" s="1"/>
  <c r="W135" i="162" s="1"/>
  <c r="P21" i="169"/>
  <c r="P19" i="169" s="1"/>
  <c r="V15" i="169"/>
  <c r="V1" i="169" s="1"/>
  <c r="M21" i="171"/>
  <c r="U4" i="171"/>
  <c r="Z21" i="169"/>
  <c r="Z19" i="169" s="1"/>
  <c r="Z57" i="169" s="1"/>
  <c r="H4" i="171"/>
  <c r="K21" i="169"/>
  <c r="K21" i="171"/>
  <c r="K19" i="171" s="1"/>
  <c r="AE2" i="171"/>
  <c r="N15" i="169"/>
  <c r="N1" i="169" s="1"/>
  <c r="AD15" i="171"/>
  <c r="AD1" i="171" s="1"/>
  <c r="Y3" i="169"/>
  <c r="L20" i="171"/>
  <c r="L19" i="171" s="1"/>
  <c r="L57" i="171" s="1"/>
  <c r="N101" i="162" s="1"/>
  <c r="N135" i="162" s="1"/>
  <c r="AB20" i="171"/>
  <c r="AB19" i="171" s="1"/>
  <c r="AB57" i="171" s="1"/>
  <c r="AD101" i="162" s="1"/>
  <c r="AD135" i="162" s="1"/>
  <c r="AC21" i="169"/>
  <c r="AC19" i="169" s="1"/>
  <c r="Y20" i="171"/>
  <c r="J21" i="171"/>
  <c r="J19" i="171" s="1"/>
  <c r="AB22" i="169"/>
  <c r="F4" i="169"/>
  <c r="N21" i="171"/>
  <c r="N19" i="171" s="1"/>
  <c r="Q21" i="169"/>
  <c r="S22" i="169"/>
  <c r="S19" i="169" s="1"/>
  <c r="S57" i="169" s="1"/>
  <c r="AI20" i="169"/>
  <c r="O21" i="171"/>
  <c r="O19" i="171" s="1"/>
  <c r="T22" i="169"/>
  <c r="L4" i="171"/>
  <c r="T20" i="171"/>
  <c r="T19" i="171" s="1"/>
  <c r="T57" i="171" s="1"/>
  <c r="V101" i="162" s="1"/>
  <c r="V135" i="162" s="1"/>
  <c r="AF21" i="171"/>
  <c r="AF19" i="171" s="1"/>
  <c r="AF57" i="171" s="1"/>
  <c r="AH101" i="162" s="1"/>
  <c r="AH135" i="162" s="1"/>
  <c r="Q22" i="171"/>
  <c r="J3" i="169"/>
  <c r="AD3" i="169"/>
  <c r="R21" i="171"/>
  <c r="R19" i="171" s="1"/>
  <c r="AE20" i="169"/>
  <c r="AB21" i="169"/>
  <c r="AB19" i="169" s="1"/>
  <c r="AB57" i="169" s="1"/>
  <c r="S2" i="169"/>
  <c r="AI22" i="169"/>
  <c r="H22" i="169"/>
  <c r="H19" i="169" s="1"/>
  <c r="T3" i="169"/>
  <c r="I21" i="169"/>
  <c r="I19" i="169" s="1"/>
  <c r="I4" i="171"/>
  <c r="N3" i="169"/>
  <c r="V2" i="169"/>
  <c r="AH3" i="169"/>
  <c r="Y21" i="169"/>
  <c r="Y19" i="169" s="1"/>
  <c r="R3" i="169"/>
  <c r="X3" i="169"/>
  <c r="Z3" i="169"/>
  <c r="AF2" i="169"/>
  <c r="AG3" i="169"/>
  <c r="H2" i="169"/>
  <c r="AF4" i="171"/>
  <c r="R21" i="169"/>
  <c r="R19" i="169" s="1"/>
  <c r="AE21" i="171"/>
  <c r="AE19" i="171" s="1"/>
  <c r="AH21" i="171"/>
  <c r="AH19" i="171" s="1"/>
  <c r="AH57" i="171" s="1"/>
  <c r="AG21" i="169"/>
  <c r="V21" i="169"/>
  <c r="V19" i="169" s="1"/>
  <c r="L4" i="169"/>
  <c r="N2" i="169"/>
  <c r="Z4" i="169"/>
  <c r="W2" i="169"/>
  <c r="I15" i="171"/>
  <c r="I1" i="171" s="1"/>
  <c r="W21" i="171"/>
  <c r="W19" i="171" s="1"/>
  <c r="AC3" i="169"/>
  <c r="Q3" i="169"/>
  <c r="I21" i="171"/>
  <c r="I3" i="169"/>
  <c r="N21" i="169"/>
  <c r="N19" i="169" s="1"/>
  <c r="Z21" i="171"/>
  <c r="G21" i="171"/>
  <c r="G19" i="171" s="1"/>
  <c r="AG15" i="171"/>
  <c r="AG1" i="171" s="1"/>
  <c r="T15" i="169"/>
  <c r="T1" i="169" s="1"/>
  <c r="AE15" i="169"/>
  <c r="AE1" i="169" s="1"/>
  <c r="Y15" i="171"/>
  <c r="Y1" i="171" s="1"/>
  <c r="AF15" i="169"/>
  <c r="AF1" i="169" s="1"/>
  <c r="P15" i="171"/>
  <c r="P1" i="171" s="1"/>
  <c r="X15" i="169"/>
  <c r="X1" i="169" s="1"/>
  <c r="L15" i="169"/>
  <c r="L1" i="169" s="1"/>
  <c r="AI15" i="169"/>
  <c r="AI1" i="169" s="1"/>
  <c r="P15" i="169"/>
  <c r="P1" i="169" s="1"/>
  <c r="X15" i="171"/>
  <c r="X1" i="171" s="1"/>
  <c r="M15" i="171"/>
  <c r="M1" i="171" s="1"/>
  <c r="H15" i="169"/>
  <c r="H1" i="169" s="1"/>
  <c r="AB15" i="169"/>
  <c r="AB1" i="169" s="1"/>
  <c r="T15" i="171"/>
  <c r="T1" i="171" s="1"/>
  <c r="F20" i="171"/>
  <c r="W15" i="169"/>
  <c r="W1" i="169" s="1"/>
  <c r="S15" i="169"/>
  <c r="S1" i="169" s="1"/>
  <c r="G15" i="169"/>
  <c r="G1" i="169" s="1"/>
  <c r="F17" i="171"/>
  <c r="F3" i="171" s="1"/>
  <c r="U15" i="171"/>
  <c r="U1" i="171" s="1"/>
  <c r="F20" i="169"/>
  <c r="AB15" i="171"/>
  <c r="AB1" i="171" s="1"/>
  <c r="H15" i="171"/>
  <c r="H1" i="171" s="1"/>
  <c r="F17" i="169"/>
  <c r="L15" i="171"/>
  <c r="L1" i="171" s="1"/>
  <c r="O15" i="169"/>
  <c r="O1" i="169" s="1"/>
  <c r="K15" i="169"/>
  <c r="K1" i="169" s="1"/>
  <c r="AF15" i="171"/>
  <c r="AF1" i="171" s="1"/>
  <c r="AA15" i="169"/>
  <c r="AA1" i="169" s="1"/>
  <c r="P20" i="170"/>
  <c r="P19" i="170" s="1"/>
  <c r="W20" i="170"/>
  <c r="X20" i="170"/>
  <c r="AE20" i="170"/>
  <c r="AD15" i="170"/>
  <c r="AD2" i="170"/>
  <c r="AF20" i="170"/>
  <c r="AF2" i="170"/>
  <c r="T1" i="170"/>
  <c r="F20" i="170"/>
  <c r="F2" i="170"/>
  <c r="Y15" i="170"/>
  <c r="Y2" i="170"/>
  <c r="I15" i="170"/>
  <c r="I2" i="170"/>
  <c r="AC15" i="170"/>
  <c r="AC2" i="170"/>
  <c r="Q15" i="170"/>
  <c r="Q2" i="170"/>
  <c r="Z15" i="170"/>
  <c r="Z2" i="170"/>
  <c r="S15" i="170"/>
  <c r="T21" i="170"/>
  <c r="AG15" i="170"/>
  <c r="K22" i="170"/>
  <c r="M15" i="170"/>
  <c r="P1" i="170"/>
  <c r="Z4" i="170"/>
  <c r="AH4" i="170"/>
  <c r="U4" i="170"/>
  <c r="V4" i="170"/>
  <c r="L4" i="170"/>
  <c r="AF4" i="170"/>
  <c r="M4" i="170"/>
  <c r="I4" i="170"/>
  <c r="AG4" i="170"/>
  <c r="AC4" i="170"/>
  <c r="O4" i="170"/>
  <c r="W4" i="170"/>
  <c r="AI4" i="170"/>
  <c r="P4" i="170"/>
  <c r="N21" i="170"/>
  <c r="N1" i="170"/>
  <c r="AH21" i="170"/>
  <c r="AH1" i="170"/>
  <c r="AD21" i="170"/>
  <c r="AD19" i="170" s="1"/>
  <c r="AD1" i="170"/>
  <c r="X21" i="170"/>
  <c r="X1" i="170"/>
  <c r="R21" i="170"/>
  <c r="R1" i="170"/>
  <c r="S21" i="170"/>
  <c r="S1" i="170"/>
  <c r="H21" i="170"/>
  <c r="H1" i="170"/>
  <c r="AF21" i="170"/>
  <c r="AF1" i="170"/>
  <c r="J21" i="170"/>
  <c r="J1" i="170"/>
  <c r="AG21" i="170"/>
  <c r="AG1" i="170"/>
  <c r="K21" i="170"/>
  <c r="K1" i="170"/>
  <c r="H15" i="170"/>
  <c r="K15" i="170"/>
  <c r="AB21" i="170"/>
  <c r="AB1" i="170"/>
  <c r="G21" i="170"/>
  <c r="G1" i="170"/>
  <c r="W21" i="170"/>
  <c r="W1" i="170"/>
  <c r="AE21" i="170"/>
  <c r="AE1" i="170"/>
  <c r="AC21" i="170"/>
  <c r="AC19" i="170" s="1"/>
  <c r="AC1" i="170"/>
  <c r="AA21" i="170"/>
  <c r="AA1" i="170"/>
  <c r="Y21" i="170"/>
  <c r="Y19" i="170" s="1"/>
  <c r="Y1" i="170"/>
  <c r="Z21" i="170"/>
  <c r="Z19" i="170" s="1"/>
  <c r="Z1" i="170"/>
  <c r="N51" i="168"/>
  <c r="N52" i="168" s="1"/>
  <c r="N54" i="168" s="1"/>
  <c r="U21" i="170"/>
  <c r="U1" i="170"/>
  <c r="R15" i="170"/>
  <c r="O21" i="170"/>
  <c r="O1" i="170"/>
  <c r="I21" i="170"/>
  <c r="I1" i="170"/>
  <c r="F21" i="170"/>
  <c r="V21" i="170"/>
  <c r="V1" i="170"/>
  <c r="AI21" i="170"/>
  <c r="AI1" i="170"/>
  <c r="L21" i="170"/>
  <c r="L1" i="170"/>
  <c r="M21" i="170"/>
  <c r="M1" i="170"/>
  <c r="Q21" i="170"/>
  <c r="Q19" i="170" s="1"/>
  <c r="Q1" i="170"/>
  <c r="J20" i="170"/>
  <c r="J15" i="170"/>
  <c r="V20" i="170"/>
  <c r="V15" i="170"/>
  <c r="H20" i="170"/>
  <c r="K20" i="170"/>
  <c r="AA20" i="170"/>
  <c r="AA15" i="170"/>
  <c r="N15" i="170"/>
  <c r="S20" i="170"/>
  <c r="L20" i="170"/>
  <c r="L15" i="170"/>
  <c r="X15" i="170"/>
  <c r="AH20" i="170"/>
  <c r="AH15" i="170"/>
  <c r="O20" i="170"/>
  <c r="O15" i="170"/>
  <c r="AE15" i="170"/>
  <c r="AB20" i="170"/>
  <c r="AB15" i="170"/>
  <c r="T20" i="170"/>
  <c r="T15" i="170"/>
  <c r="AF15" i="170"/>
  <c r="AG20" i="170"/>
  <c r="U15" i="170"/>
  <c r="I20" i="170"/>
  <c r="R20" i="170"/>
  <c r="AI20" i="170"/>
  <c r="AI15" i="170"/>
  <c r="P15" i="170"/>
  <c r="G20" i="170"/>
  <c r="G15" i="170"/>
  <c r="W15" i="170"/>
  <c r="F15" i="170"/>
  <c r="F22" i="170"/>
  <c r="F51" i="168"/>
  <c r="F52" i="168" s="1"/>
  <c r="F54" i="168" s="1"/>
  <c r="F55" i="168" s="1"/>
  <c r="AD51" i="168"/>
  <c r="Y52" i="168"/>
  <c r="Y54" i="168" s="1"/>
  <c r="E57" i="168" s="1"/>
  <c r="M51" i="168"/>
  <c r="Q51" i="168"/>
  <c r="U51" i="168"/>
  <c r="K14" i="168"/>
  <c r="K1" i="168" s="1"/>
  <c r="AC51" i="168"/>
  <c r="L14" i="168"/>
  <c r="L51" i="168" s="1"/>
  <c r="W14" i="168"/>
  <c r="W1" i="168" s="1"/>
  <c r="V51" i="168"/>
  <c r="J51" i="168"/>
  <c r="I51" i="168"/>
  <c r="AG1" i="168"/>
  <c r="AG51" i="168"/>
  <c r="AG52" i="168" s="1"/>
  <c r="AG54" i="168" s="1"/>
  <c r="Z51" i="168"/>
  <c r="Z1" i="168"/>
  <c r="L2" i="168"/>
  <c r="AA14" i="168"/>
  <c r="AA1" i="168" s="1"/>
  <c r="G14" i="168"/>
  <c r="G1" i="168" s="1"/>
  <c r="AI14" i="168"/>
  <c r="AI51" i="168" s="1"/>
  <c r="AI52" i="168" s="1"/>
  <c r="D16" i="168"/>
  <c r="R51" i="168"/>
  <c r="AH51" i="168"/>
  <c r="AH52" i="168" s="1"/>
  <c r="AH54" i="168" s="1"/>
  <c r="AH1" i="168"/>
  <c r="G2" i="168"/>
  <c r="P2" i="168"/>
  <c r="X14" i="168"/>
  <c r="X51" i="168" s="1"/>
  <c r="T14" i="168"/>
  <c r="T1" i="168" s="1"/>
  <c r="D15" i="168"/>
  <c r="O14" i="168"/>
  <c r="O1" i="168" s="1"/>
  <c r="D22" i="171"/>
  <c r="D20" i="171"/>
  <c r="H14" i="168"/>
  <c r="K2" i="168"/>
  <c r="AA2" i="168"/>
  <c r="W2" i="168"/>
  <c r="AI2" i="168"/>
  <c r="P51" i="168"/>
  <c r="P1" i="168"/>
  <c r="S14" i="168"/>
  <c r="O2" i="168"/>
  <c r="AF14" i="168"/>
  <c r="AB14" i="168"/>
  <c r="AE14" i="168"/>
  <c r="Y57" i="170" l="1"/>
  <c r="Y58" i="170" s="1"/>
  <c r="Y60" i="170" s="1"/>
  <c r="E63" i="170" s="1"/>
  <c r="Z57" i="170"/>
  <c r="Z58" i="170" s="1"/>
  <c r="Z60" i="170" s="1"/>
  <c r="N19" i="170"/>
  <c r="U19" i="170"/>
  <c r="M19" i="170"/>
  <c r="H58" i="171"/>
  <c r="H60" i="171" s="1"/>
  <c r="AF58" i="171"/>
  <c r="AF60" i="171" s="1"/>
  <c r="AC58" i="171"/>
  <c r="AC60" i="171" s="1"/>
  <c r="T19" i="169"/>
  <c r="T57" i="169" s="1"/>
  <c r="AA19" i="171"/>
  <c r="AA57" i="171" s="1"/>
  <c r="AC101" i="162" s="1"/>
  <c r="AC135" i="162" s="1"/>
  <c r="I19" i="171"/>
  <c r="I57" i="171" s="1"/>
  <c r="K101" i="162" s="1"/>
  <c r="K135" i="162" s="1"/>
  <c r="M19" i="171"/>
  <c r="M57" i="171" s="1"/>
  <c r="O101" i="162" s="1"/>
  <c r="O135" i="162" s="1"/>
  <c r="AE19" i="170"/>
  <c r="Y19" i="171"/>
  <c r="Y57" i="171" s="1"/>
  <c r="AA101" i="162" s="1"/>
  <c r="AA135" i="162" s="1"/>
  <c r="AF19" i="170"/>
  <c r="X19" i="170"/>
  <c r="AI19" i="170"/>
  <c r="O19" i="170"/>
  <c r="K19" i="169"/>
  <c r="K57" i="169" s="1"/>
  <c r="K58" i="169" s="1"/>
  <c r="K60" i="169" s="1"/>
  <c r="AG19" i="170"/>
  <c r="AE19" i="169"/>
  <c r="AE57" i="169" s="1"/>
  <c r="AE58" i="169" s="1"/>
  <c r="AE60" i="169" s="1"/>
  <c r="Q19" i="169"/>
  <c r="Q57" i="169" s="1"/>
  <c r="G19" i="169"/>
  <c r="D19" i="169" s="1"/>
  <c r="X19" i="171"/>
  <c r="X57" i="171" s="1"/>
  <c r="Z101" i="162" s="1"/>
  <c r="Z135" i="162" s="1"/>
  <c r="S19" i="171"/>
  <c r="S57" i="171" s="1"/>
  <c r="U101" i="162" s="1"/>
  <c r="U135" i="162" s="1"/>
  <c r="AI19" i="169"/>
  <c r="AI57" i="169" s="1"/>
  <c r="AI58" i="169" s="1"/>
  <c r="AI59" i="169" s="1"/>
  <c r="AI60" i="169" s="1"/>
  <c r="AG19" i="169"/>
  <c r="AG57" i="169" s="1"/>
  <c r="AG58" i="169" s="1"/>
  <c r="AG60" i="169" s="1"/>
  <c r="Q19" i="171"/>
  <c r="Q57" i="171" s="1"/>
  <c r="S101" i="162" s="1"/>
  <c r="S135" i="162" s="1"/>
  <c r="Z19" i="171"/>
  <c r="Z57" i="171" s="1"/>
  <c r="AB101" i="162" s="1"/>
  <c r="AB135" i="162" s="1"/>
  <c r="F21" i="169"/>
  <c r="F19" i="169" s="1"/>
  <c r="F3" i="169"/>
  <c r="F21" i="171"/>
  <c r="F19" i="171" s="1"/>
  <c r="F15" i="171"/>
  <c r="F1" i="171" s="1"/>
  <c r="AF57" i="169"/>
  <c r="AF58" i="169" s="1"/>
  <c r="AF60" i="169" s="1"/>
  <c r="H57" i="169"/>
  <c r="H58" i="169" s="1"/>
  <c r="H60" i="169" s="1"/>
  <c r="F15" i="169"/>
  <c r="F1" i="169" s="1"/>
  <c r="W19" i="170"/>
  <c r="S19" i="170"/>
  <c r="AH19" i="170"/>
  <c r="T19" i="170"/>
  <c r="L19" i="170"/>
  <c r="V19" i="170"/>
  <c r="I19" i="170"/>
  <c r="AA19" i="170"/>
  <c r="G19" i="170"/>
  <c r="AB19" i="170"/>
  <c r="K19" i="170"/>
  <c r="J19" i="170"/>
  <c r="H19" i="170"/>
  <c r="R19" i="170"/>
  <c r="F19" i="170"/>
  <c r="P57" i="170"/>
  <c r="P98" i="162" s="1"/>
  <c r="AC57" i="170"/>
  <c r="AC98" i="162" s="1"/>
  <c r="T58" i="171"/>
  <c r="T60" i="171" s="1"/>
  <c r="J57" i="171"/>
  <c r="L101" i="162" s="1"/>
  <c r="L135" i="162" s="1"/>
  <c r="V57" i="169"/>
  <c r="K51" i="168"/>
  <c r="K52" i="168" s="1"/>
  <c r="K54" i="168" s="1"/>
  <c r="AD52" i="168"/>
  <c r="AD54" i="168" s="1"/>
  <c r="L58" i="171"/>
  <c r="L60" i="171" s="1"/>
  <c r="W51" i="168"/>
  <c r="V52" i="168"/>
  <c r="V54" i="168" s="1"/>
  <c r="Q52" i="168"/>
  <c r="Q54" i="168" s="1"/>
  <c r="U52" i="168"/>
  <c r="U54" i="168" s="1"/>
  <c r="M52" i="168"/>
  <c r="M54" i="168" s="1"/>
  <c r="O58" i="169"/>
  <c r="O60" i="169" s="1"/>
  <c r="W58" i="169"/>
  <c r="W60" i="169" s="1"/>
  <c r="S58" i="169"/>
  <c r="S60" i="169" s="1"/>
  <c r="P57" i="169"/>
  <c r="AB58" i="171"/>
  <c r="AB60" i="171" s="1"/>
  <c r="K57" i="171"/>
  <c r="M101" i="162" s="1"/>
  <c r="M135" i="162" s="1"/>
  <c r="AH57" i="169"/>
  <c r="AA58" i="169"/>
  <c r="AA60" i="169" s="1"/>
  <c r="L1" i="168"/>
  <c r="AC52" i="168"/>
  <c r="AC54" i="168" s="1"/>
  <c r="G51" i="168"/>
  <c r="AE57" i="171"/>
  <c r="AG101" i="162" s="1"/>
  <c r="AG135" i="162" s="1"/>
  <c r="AG58" i="171"/>
  <c r="AG60" i="171" s="1"/>
  <c r="J52" i="168"/>
  <c r="J54" i="168" s="1"/>
  <c r="AI1" i="168"/>
  <c r="U58" i="171"/>
  <c r="U60" i="171" s="1"/>
  <c r="P58" i="171"/>
  <c r="P60" i="171" s="1"/>
  <c r="Y98" i="162"/>
  <c r="X1" i="168"/>
  <c r="O57" i="171"/>
  <c r="Q101" i="162" s="1"/>
  <c r="Q135" i="162" s="1"/>
  <c r="I52" i="168"/>
  <c r="I54" i="168" s="1"/>
  <c r="I57" i="169"/>
  <c r="N57" i="171"/>
  <c r="P101" i="162" s="1"/>
  <c r="P135" i="162" s="1"/>
  <c r="Q57" i="170"/>
  <c r="Q58" i="170" s="1"/>
  <c r="Q60" i="170" s="1"/>
  <c r="AD57" i="170"/>
  <c r="AD98" i="162" s="1"/>
  <c r="R52" i="168"/>
  <c r="R54" i="168" s="1"/>
  <c r="Z52" i="168"/>
  <c r="Z54" i="168" s="1"/>
  <c r="AA51" i="168"/>
  <c r="D14" i="168"/>
  <c r="T51" i="168"/>
  <c r="N57" i="169"/>
  <c r="U57" i="169"/>
  <c r="X57" i="169"/>
  <c r="W57" i="171"/>
  <c r="Y101" i="162" s="1"/>
  <c r="Y135" i="162" s="1"/>
  <c r="G57" i="171"/>
  <c r="I101" i="162" s="1"/>
  <c r="I135" i="162" s="1"/>
  <c r="P52" i="168"/>
  <c r="P54" i="168" s="1"/>
  <c r="X52" i="168"/>
  <c r="X54" i="168" s="1"/>
  <c r="L52" i="168"/>
  <c r="L54" i="168" s="1"/>
  <c r="O51" i="168"/>
  <c r="AB58" i="169"/>
  <c r="AB60" i="169" s="1"/>
  <c r="L58" i="169"/>
  <c r="L60" i="169" s="1"/>
  <c r="Z58" i="169"/>
  <c r="Z60" i="169" s="1"/>
  <c r="M58" i="169"/>
  <c r="M60" i="169" s="1"/>
  <c r="J57" i="169"/>
  <c r="V58" i="171"/>
  <c r="V60" i="171" s="1"/>
  <c r="AH58" i="171"/>
  <c r="AH60" i="171" s="1"/>
  <c r="D19" i="171"/>
  <c r="R57" i="171"/>
  <c r="T101" i="162" s="1"/>
  <c r="T135" i="162" s="1"/>
  <c r="AI57" i="171"/>
  <c r="AI58" i="171" s="1"/>
  <c r="AD57" i="171"/>
  <c r="AF101" i="162" s="1"/>
  <c r="AF135" i="162" s="1"/>
  <c r="AD57" i="169"/>
  <c r="AC57" i="169"/>
  <c r="Y57" i="169"/>
  <c r="R57" i="169"/>
  <c r="AE51" i="168"/>
  <c r="AE1" i="168"/>
  <c r="AI53" i="168"/>
  <c r="AI54" i="168" s="1"/>
  <c r="AF51" i="168"/>
  <c r="AF1" i="168"/>
  <c r="H51" i="168"/>
  <c r="H1" i="168"/>
  <c r="AB51" i="168"/>
  <c r="AB1" i="168"/>
  <c r="S51" i="168"/>
  <c r="S1" i="168"/>
  <c r="Z98" i="162" l="1"/>
  <c r="K57" i="170"/>
  <c r="K98" i="162" s="1"/>
  <c r="I57" i="170"/>
  <c r="I98" i="162" s="1"/>
  <c r="AH57" i="170"/>
  <c r="AH58" i="170" s="1"/>
  <c r="AH60" i="170" s="1"/>
  <c r="AF57" i="170"/>
  <c r="AF98" i="162" s="1"/>
  <c r="AB57" i="170"/>
  <c r="AB98" i="162" s="1"/>
  <c r="S57" i="170"/>
  <c r="S58" i="170" s="1"/>
  <c r="S60" i="170" s="1"/>
  <c r="O57" i="170"/>
  <c r="O58" i="170" s="1"/>
  <c r="O60" i="170" s="1"/>
  <c r="J57" i="170"/>
  <c r="J98" i="162" s="1"/>
  <c r="AA57" i="170"/>
  <c r="AA58" i="170" s="1"/>
  <c r="AA60" i="170" s="1"/>
  <c r="T57" i="170"/>
  <c r="T58" i="170" s="1"/>
  <c r="T60" i="170" s="1"/>
  <c r="AG57" i="170"/>
  <c r="AG98" i="162" s="1"/>
  <c r="X57" i="170"/>
  <c r="X58" i="170" s="1"/>
  <c r="X60" i="170" s="1"/>
  <c r="U57" i="170"/>
  <c r="U98" i="162" s="1"/>
  <c r="F57" i="170"/>
  <c r="F58" i="170" s="1"/>
  <c r="F60" i="170" s="1"/>
  <c r="F61" i="170" s="1"/>
  <c r="N57" i="170"/>
  <c r="N58" i="170" s="1"/>
  <c r="N60" i="170" s="1"/>
  <c r="R57" i="170"/>
  <c r="R58" i="170" s="1"/>
  <c r="R60" i="170" s="1"/>
  <c r="V57" i="170"/>
  <c r="V58" i="170" s="1"/>
  <c r="V60" i="170" s="1"/>
  <c r="H57" i="170"/>
  <c r="H98" i="162" s="1"/>
  <c r="G57" i="170"/>
  <c r="G98" i="162" s="1"/>
  <c r="L57" i="170"/>
  <c r="L58" i="170" s="1"/>
  <c r="L60" i="170" s="1"/>
  <c r="W57" i="170"/>
  <c r="W98" i="162" s="1"/>
  <c r="AI57" i="170"/>
  <c r="AI58" i="170" s="1"/>
  <c r="AI59" i="170" s="1"/>
  <c r="AI60" i="170" s="1"/>
  <c r="AE57" i="170"/>
  <c r="AE98" i="162" s="1"/>
  <c r="M57" i="170"/>
  <c r="M98" i="162" s="1"/>
  <c r="G58" i="171"/>
  <c r="G60" i="171" s="1"/>
  <c r="J58" i="171"/>
  <c r="J60" i="171" s="1"/>
  <c r="O58" i="171"/>
  <c r="O60" i="171" s="1"/>
  <c r="X58" i="171"/>
  <c r="X60" i="171" s="1"/>
  <c r="M58" i="171"/>
  <c r="M60" i="171" s="1"/>
  <c r="N58" i="171"/>
  <c r="N60" i="171" s="1"/>
  <c r="Y58" i="171"/>
  <c r="Y60" i="171" s="1"/>
  <c r="E63" i="171" s="1"/>
  <c r="I58" i="171"/>
  <c r="I60" i="171" s="1"/>
  <c r="G57" i="169"/>
  <c r="G58" i="169" s="1"/>
  <c r="G60" i="169" s="1"/>
  <c r="Q58" i="171"/>
  <c r="Q60" i="171" s="1"/>
  <c r="F57" i="171"/>
  <c r="H101" i="162" s="1"/>
  <c r="H135" i="162" s="1"/>
  <c r="F57" i="169"/>
  <c r="F58" i="169" s="1"/>
  <c r="F60" i="169" s="1"/>
  <c r="F61" i="169" s="1"/>
  <c r="AC58" i="170"/>
  <c r="AC60" i="170" s="1"/>
  <c r="P58" i="170"/>
  <c r="P60" i="170" s="1"/>
  <c r="L98" i="162"/>
  <c r="T58" i="169"/>
  <c r="T60" i="169" s="1"/>
  <c r="AH58" i="169"/>
  <c r="AH60" i="169" s="1"/>
  <c r="V58" i="169"/>
  <c r="V60" i="169" s="1"/>
  <c r="AE58" i="171"/>
  <c r="AE60" i="171" s="1"/>
  <c r="T52" i="168"/>
  <c r="T54" i="168" s="1"/>
  <c r="Q58" i="169"/>
  <c r="Q60" i="169" s="1"/>
  <c r="W52" i="168"/>
  <c r="W54" i="168" s="1"/>
  <c r="G52" i="168"/>
  <c r="G54" i="168" s="1"/>
  <c r="G55" i="168" s="1"/>
  <c r="AA52" i="168"/>
  <c r="AA54" i="168" s="1"/>
  <c r="I58" i="169"/>
  <c r="I60" i="169" s="1"/>
  <c r="P58" i="169"/>
  <c r="P60" i="169" s="1"/>
  <c r="N58" i="169"/>
  <c r="N60" i="169" s="1"/>
  <c r="K58" i="171"/>
  <c r="K60" i="171" s="1"/>
  <c r="W58" i="171"/>
  <c r="W60" i="171" s="1"/>
  <c r="U58" i="169"/>
  <c r="U60" i="169" s="1"/>
  <c r="AD58" i="170"/>
  <c r="AD60" i="170" s="1"/>
  <c r="Q98" i="162"/>
  <c r="X58" i="169"/>
  <c r="X60" i="169" s="1"/>
  <c r="AB52" i="168"/>
  <c r="AB54" i="168" s="1"/>
  <c r="AF52" i="168"/>
  <c r="AF54" i="168" s="1"/>
  <c r="O52" i="168"/>
  <c r="O54" i="168" s="1"/>
  <c r="AE52" i="168"/>
  <c r="AE54" i="168" s="1"/>
  <c r="S52" i="168"/>
  <c r="S54" i="168" s="1"/>
  <c r="H52" i="168"/>
  <c r="H54" i="168" s="1"/>
  <c r="Y58" i="169"/>
  <c r="Y60" i="169" s="1"/>
  <c r="E63" i="169" s="1"/>
  <c r="AD58" i="169"/>
  <c r="AD60" i="169" s="1"/>
  <c r="J58" i="169"/>
  <c r="J60" i="169" s="1"/>
  <c r="R58" i="169"/>
  <c r="R60" i="169" s="1"/>
  <c r="AC58" i="169"/>
  <c r="AC60" i="169" s="1"/>
  <c r="R58" i="171"/>
  <c r="R60" i="171" s="1"/>
  <c r="AA58" i="171"/>
  <c r="AA60" i="171" s="1"/>
  <c r="AD58" i="171"/>
  <c r="AD60" i="171" s="1"/>
  <c r="S58" i="171"/>
  <c r="S60" i="171" s="1"/>
  <c r="Z58" i="171"/>
  <c r="Z60" i="171" s="1"/>
  <c r="AI59" i="171"/>
  <c r="AI60" i="171" s="1"/>
  <c r="J58" i="170" l="1"/>
  <c r="J60" i="170" s="1"/>
  <c r="W58" i="170"/>
  <c r="W60" i="170" s="1"/>
  <c r="AA98" i="162"/>
  <c r="N98" i="162"/>
  <c r="AE58" i="170"/>
  <c r="AE60" i="170" s="1"/>
  <c r="O98" i="162"/>
  <c r="AG58" i="170"/>
  <c r="AG60" i="170" s="1"/>
  <c r="G58" i="170"/>
  <c r="G60" i="170" s="1"/>
  <c r="G61" i="170" s="1"/>
  <c r="AH98" i="162"/>
  <c r="V98" i="162"/>
  <c r="K58" i="170"/>
  <c r="K60" i="170" s="1"/>
  <c r="AB58" i="170"/>
  <c r="AB60" i="170" s="1"/>
  <c r="F98" i="162"/>
  <c r="U58" i="170"/>
  <c r="U60" i="170" s="1"/>
  <c r="S98" i="162"/>
  <c r="R98" i="162"/>
  <c r="I58" i="170"/>
  <c r="I60" i="170" s="1"/>
  <c r="AF58" i="170"/>
  <c r="AF60" i="170" s="1"/>
  <c r="T98" i="162"/>
  <c r="M58" i="170"/>
  <c r="M60" i="170" s="1"/>
  <c r="H58" i="170"/>
  <c r="H60" i="170" s="1"/>
  <c r="X98" i="162"/>
  <c r="AI98" i="162"/>
  <c r="M55" i="168"/>
  <c r="F58" i="171"/>
  <c r="F60" i="171" s="1"/>
  <c r="K61" i="171" s="1"/>
  <c r="AI55" i="168"/>
  <c r="U55" i="168"/>
  <c r="V61" i="169"/>
  <c r="AE55" i="168"/>
  <c r="X55" i="168"/>
  <c r="W61" i="169"/>
  <c r="X61" i="169"/>
  <c r="AA61" i="169"/>
  <c r="P55" i="168"/>
  <c r="S55" i="168"/>
  <c r="AG55" i="168"/>
  <c r="Z55" i="168"/>
  <c r="AD55" i="168"/>
  <c r="N55" i="168"/>
  <c r="Y55" i="168"/>
  <c r="J55" i="168"/>
  <c r="AB55" i="168"/>
  <c r="K55" i="168"/>
  <c r="T55" i="168"/>
  <c r="AF55" i="168"/>
  <c r="V55" i="168"/>
  <c r="L55" i="168"/>
  <c r="H55" i="168"/>
  <c r="I55" i="168"/>
  <c r="R61" i="169"/>
  <c r="E62" i="169" s="1"/>
  <c r="AF61" i="169"/>
  <c r="Z61" i="169"/>
  <c r="S61" i="169"/>
  <c r="Y61" i="169"/>
  <c r="AH55" i="168"/>
  <c r="Q55" i="168"/>
  <c r="W55" i="168"/>
  <c r="R55" i="168"/>
  <c r="E56" i="168" s="1"/>
  <c r="AC55" i="168"/>
  <c r="O55" i="168"/>
  <c r="AA55" i="168"/>
  <c r="P61" i="169"/>
  <c r="L61" i="169"/>
  <c r="I61" i="169"/>
  <c r="J61" i="169"/>
  <c r="N61" i="169"/>
  <c r="Q61" i="169"/>
  <c r="H61" i="169"/>
  <c r="G61" i="169"/>
  <c r="K61" i="169"/>
  <c r="O61" i="169"/>
  <c r="M61" i="169"/>
  <c r="AH61" i="169"/>
  <c r="AG61" i="169"/>
  <c r="AE61" i="169"/>
  <c r="AB61" i="169"/>
  <c r="AD61" i="169"/>
  <c r="U61" i="169"/>
  <c r="AC61" i="169"/>
  <c r="T61" i="169"/>
  <c r="AI61" i="169"/>
  <c r="J61" i="170" l="1"/>
  <c r="V61" i="170"/>
  <c r="U61" i="170"/>
  <c r="L61" i="170"/>
  <c r="O61" i="170"/>
  <c r="I61" i="170"/>
  <c r="AG61" i="170"/>
  <c r="AC61" i="170"/>
  <c r="S61" i="170"/>
  <c r="Z61" i="170"/>
  <c r="X61" i="170"/>
  <c r="AI61" i="170"/>
  <c r="P61" i="170"/>
  <c r="R61" i="170"/>
  <c r="E62" i="170" s="1"/>
  <c r="H61" i="170"/>
  <c r="AA61" i="170"/>
  <c r="AH61" i="170"/>
  <c r="AB61" i="170"/>
  <c r="AD61" i="170"/>
  <c r="AF61" i="170"/>
  <c r="Y61" i="170"/>
  <c r="W61" i="170"/>
  <c r="T61" i="170"/>
  <c r="M61" i="170"/>
  <c r="N61" i="170"/>
  <c r="AE61" i="170"/>
  <c r="Q61" i="170"/>
  <c r="K61" i="170"/>
  <c r="AF61" i="171"/>
  <c r="V61" i="171"/>
  <c r="Z61" i="171"/>
  <c r="AC61" i="171"/>
  <c r="AG61" i="171"/>
  <c r="AI61" i="171"/>
  <c r="P61" i="171"/>
  <c r="AE61" i="171"/>
  <c r="L61" i="171"/>
  <c r="AA61" i="171"/>
  <c r="Y61" i="171"/>
  <c r="S61" i="171"/>
  <c r="W61" i="171"/>
  <c r="U61" i="171"/>
  <c r="AD61" i="171"/>
  <c r="X61" i="171"/>
  <c r="T61" i="171"/>
  <c r="M61" i="171"/>
  <c r="Q61" i="171"/>
  <c r="R61" i="171"/>
  <c r="E62" i="171" s="1"/>
  <c r="AB61" i="171"/>
  <c r="N61" i="171"/>
  <c r="AH61" i="171"/>
  <c r="F61" i="171"/>
  <c r="H61" i="171"/>
  <c r="G61" i="171"/>
  <c r="I61" i="171"/>
  <c r="J61" i="171"/>
  <c r="O61" i="171"/>
  <c r="I69" i="162"/>
  <c r="I68" i="162"/>
  <c r="F73" i="162"/>
  <c r="E69" i="162"/>
  <c r="E70" i="162"/>
  <c r="F70" i="162"/>
  <c r="E68" i="162"/>
  <c r="H70" i="167" l="1"/>
  <c r="AI35" i="167" s="1"/>
  <c r="H67" i="167"/>
  <c r="H66" i="167"/>
  <c r="H65" i="167"/>
  <c r="AI40" i="167"/>
  <c r="AH40" i="167"/>
  <c r="AG40" i="167"/>
  <c r="AF40" i="167"/>
  <c r="AE40" i="167"/>
  <c r="AD40" i="167"/>
  <c r="AC40" i="167"/>
  <c r="AB40" i="167"/>
  <c r="AA40" i="167"/>
  <c r="Z40" i="167"/>
  <c r="Y40" i="167"/>
  <c r="X40" i="167"/>
  <c r="W40" i="167"/>
  <c r="V40" i="167"/>
  <c r="U40" i="167"/>
  <c r="T40" i="167"/>
  <c r="S40" i="167"/>
  <c r="R40" i="167"/>
  <c r="Q40" i="167"/>
  <c r="P40" i="167"/>
  <c r="O40" i="167"/>
  <c r="N40" i="167"/>
  <c r="M40" i="167"/>
  <c r="L40" i="167"/>
  <c r="K40" i="167"/>
  <c r="J40" i="167"/>
  <c r="I40" i="167"/>
  <c r="H40" i="167"/>
  <c r="G40" i="167"/>
  <c r="F40" i="167"/>
  <c r="AI39" i="167"/>
  <c r="AH39" i="167"/>
  <c r="AG39" i="167"/>
  <c r="AF39" i="167"/>
  <c r="AE39" i="167"/>
  <c r="AD39" i="167"/>
  <c r="AC39" i="167"/>
  <c r="AB39" i="167"/>
  <c r="AA39" i="167"/>
  <c r="Z39" i="167"/>
  <c r="Y39" i="167"/>
  <c r="X39" i="167"/>
  <c r="W39" i="167"/>
  <c r="V39" i="167"/>
  <c r="U39" i="167"/>
  <c r="T39" i="167"/>
  <c r="S39" i="167"/>
  <c r="R39" i="167"/>
  <c r="Q39" i="167"/>
  <c r="P39" i="167"/>
  <c r="O39" i="167"/>
  <c r="N39" i="167"/>
  <c r="M39" i="167"/>
  <c r="L39" i="167"/>
  <c r="K39" i="167"/>
  <c r="J39" i="167"/>
  <c r="I39" i="167"/>
  <c r="H39" i="167"/>
  <c r="G39" i="167"/>
  <c r="F39" i="167"/>
  <c r="D36" i="167"/>
  <c r="AA35" i="167"/>
  <c r="W35" i="167"/>
  <c r="K35" i="167"/>
  <c r="G35" i="167"/>
  <c r="B35" i="167"/>
  <c r="D32" i="167"/>
  <c r="D31" i="167"/>
  <c r="D30" i="167"/>
  <c r="D29" i="167"/>
  <c r="E24" i="167"/>
  <c r="E57" i="167" s="1"/>
  <c r="AI8" i="167"/>
  <c r="AH8" i="167"/>
  <c r="AG8" i="167"/>
  <c r="AF8" i="167"/>
  <c r="AE8" i="167"/>
  <c r="AD8" i="167"/>
  <c r="AC8" i="167"/>
  <c r="AB8" i="167"/>
  <c r="AA8" i="167"/>
  <c r="Z8" i="167"/>
  <c r="Y8" i="167"/>
  <c r="X8" i="167"/>
  <c r="W8" i="167"/>
  <c r="V8" i="167"/>
  <c r="U8" i="167"/>
  <c r="T8" i="167"/>
  <c r="S8" i="167"/>
  <c r="R8" i="167"/>
  <c r="Q8" i="167"/>
  <c r="P8" i="167"/>
  <c r="O8" i="167"/>
  <c r="N8" i="167"/>
  <c r="M8" i="167"/>
  <c r="L8" i="167"/>
  <c r="K8" i="167"/>
  <c r="J8" i="167"/>
  <c r="I8" i="167"/>
  <c r="H8" i="167"/>
  <c r="G14" i="167"/>
  <c r="G47" i="167" s="1"/>
  <c r="F8" i="167"/>
  <c r="F100" i="162" l="1"/>
  <c r="F134" i="162" s="1"/>
  <c r="E100" i="162"/>
  <c r="E134" i="162" s="1"/>
  <c r="D33" i="167"/>
  <c r="D34" i="167" s="1"/>
  <c r="S35" i="167"/>
  <c r="I14" i="167"/>
  <c r="I47" i="167" s="1"/>
  <c r="I12" i="167"/>
  <c r="I18" i="167" s="1"/>
  <c r="I11" i="167"/>
  <c r="I10" i="167"/>
  <c r="I16" i="167" s="1"/>
  <c r="Q14" i="167"/>
  <c r="Q47" i="167" s="1"/>
  <c r="Q12" i="167"/>
  <c r="Q18" i="167" s="1"/>
  <c r="Q11" i="167"/>
  <c r="Q10" i="167"/>
  <c r="Q16" i="167" s="1"/>
  <c r="Y14" i="167"/>
  <c r="Y47" i="167" s="1"/>
  <c r="Y12" i="167"/>
  <c r="Y18" i="167" s="1"/>
  <c r="Y11" i="167"/>
  <c r="Y10" i="167"/>
  <c r="AG14" i="167"/>
  <c r="AG47" i="167" s="1"/>
  <c r="AG12" i="167"/>
  <c r="AG11" i="167"/>
  <c r="AG10" i="167"/>
  <c r="AG16" i="167" s="1"/>
  <c r="N14" i="167"/>
  <c r="N47" i="167" s="1"/>
  <c r="N11" i="167"/>
  <c r="N10" i="167"/>
  <c r="N16" i="167" s="1"/>
  <c r="N12" i="167"/>
  <c r="N18" i="167" s="1"/>
  <c r="V14" i="167"/>
  <c r="V47" i="167" s="1"/>
  <c r="V11" i="167"/>
  <c r="V10" i="167"/>
  <c r="V16" i="167" s="1"/>
  <c r="V12" i="167"/>
  <c r="V18" i="167" s="1"/>
  <c r="AD14" i="167"/>
  <c r="AD47" i="167" s="1"/>
  <c r="AD11" i="167"/>
  <c r="AD10" i="167"/>
  <c r="AD16" i="167" s="1"/>
  <c r="AD12" i="167"/>
  <c r="AD18" i="167" s="1"/>
  <c r="O14" i="167"/>
  <c r="O47" i="167" s="1"/>
  <c r="O10" i="167"/>
  <c r="O11" i="167"/>
  <c r="O12" i="167"/>
  <c r="O18" i="167" s="1"/>
  <c r="W14" i="167"/>
  <c r="W47" i="167" s="1"/>
  <c r="W10" i="167"/>
  <c r="W11" i="167"/>
  <c r="W12" i="167"/>
  <c r="W18" i="167" s="1"/>
  <c r="H14" i="167"/>
  <c r="H47" i="167" s="1"/>
  <c r="H12" i="167"/>
  <c r="H10" i="167"/>
  <c r="H11" i="167"/>
  <c r="L12" i="167"/>
  <c r="L18" i="167" s="1"/>
  <c r="L10" i="167"/>
  <c r="L11" i="167"/>
  <c r="P12" i="167"/>
  <c r="P10" i="167"/>
  <c r="P11" i="167"/>
  <c r="T12" i="167"/>
  <c r="T18" i="167" s="1"/>
  <c r="T10" i="167"/>
  <c r="T11" i="167"/>
  <c r="X14" i="167"/>
  <c r="X47" i="167" s="1"/>
  <c r="X12" i="167"/>
  <c r="X10" i="167"/>
  <c r="X11" i="167"/>
  <c r="AB12" i="167"/>
  <c r="AB18" i="167" s="1"/>
  <c r="AB10" i="167"/>
  <c r="AB11" i="167"/>
  <c r="AF12" i="167"/>
  <c r="AF18" i="167" s="1"/>
  <c r="AF10" i="167"/>
  <c r="AF11" i="167"/>
  <c r="M14" i="167"/>
  <c r="M47" i="167" s="1"/>
  <c r="M12" i="167"/>
  <c r="M18" i="167" s="1"/>
  <c r="M11" i="167"/>
  <c r="M10" i="167"/>
  <c r="M16" i="167" s="1"/>
  <c r="U14" i="167"/>
  <c r="U47" i="167" s="1"/>
  <c r="U12" i="167"/>
  <c r="U18" i="167" s="1"/>
  <c r="U11" i="167"/>
  <c r="U10" i="167"/>
  <c r="U16" i="167" s="1"/>
  <c r="AC14" i="167"/>
  <c r="AC47" i="167" s="1"/>
  <c r="AC12" i="167"/>
  <c r="AC18" i="167" s="1"/>
  <c r="AC11" i="167"/>
  <c r="AC10" i="167"/>
  <c r="F14" i="167"/>
  <c r="F47" i="167" s="1"/>
  <c r="F11" i="167"/>
  <c r="F12" i="167"/>
  <c r="F10" i="167"/>
  <c r="J14" i="167"/>
  <c r="J47" i="167" s="1"/>
  <c r="J11" i="167"/>
  <c r="J10" i="167"/>
  <c r="J12" i="167"/>
  <c r="J18" i="167" s="1"/>
  <c r="R14" i="167"/>
  <c r="R47" i="167" s="1"/>
  <c r="R11" i="167"/>
  <c r="R10" i="167"/>
  <c r="R16" i="167" s="1"/>
  <c r="R12" i="167"/>
  <c r="R18" i="167" s="1"/>
  <c r="Z14" i="167"/>
  <c r="Z47" i="167" s="1"/>
  <c r="Z11" i="167"/>
  <c r="Z10" i="167"/>
  <c r="Z16" i="167" s="1"/>
  <c r="Z12" i="167"/>
  <c r="Z18" i="167" s="1"/>
  <c r="AH14" i="167"/>
  <c r="AH47" i="167" s="1"/>
  <c r="AH11" i="167"/>
  <c r="AH10" i="167"/>
  <c r="AH16" i="167" s="1"/>
  <c r="AH12" i="167"/>
  <c r="AH18" i="167" s="1"/>
  <c r="K10" i="167"/>
  <c r="K11" i="167"/>
  <c r="K12" i="167"/>
  <c r="S10" i="167"/>
  <c r="S16" i="167" s="1"/>
  <c r="S11" i="167"/>
  <c r="S12" i="167"/>
  <c r="S18" i="167" s="1"/>
  <c r="AA10" i="167"/>
  <c r="AA16" i="167" s="1"/>
  <c r="AA11" i="167"/>
  <c r="AA12" i="167"/>
  <c r="AA18" i="167" s="1"/>
  <c r="AE14" i="167"/>
  <c r="AE47" i="167" s="1"/>
  <c r="AE10" i="167"/>
  <c r="AE11" i="167"/>
  <c r="AE12" i="167"/>
  <c r="AE18" i="167" s="1"/>
  <c r="AI10" i="167"/>
  <c r="AI11" i="167"/>
  <c r="AI12" i="167"/>
  <c r="AI18" i="167" s="1"/>
  <c r="K16" i="167"/>
  <c r="O35" i="167"/>
  <c r="AF35" i="167"/>
  <c r="H68" i="167"/>
  <c r="AI28" i="167" s="1"/>
  <c r="F35" i="167"/>
  <c r="J35" i="167"/>
  <c r="N35" i="167"/>
  <c r="R35" i="167"/>
  <c r="V35" i="167"/>
  <c r="Z35" i="167"/>
  <c r="AD35" i="167"/>
  <c r="I35" i="167"/>
  <c r="M35" i="167"/>
  <c r="Q35" i="167"/>
  <c r="U35" i="167"/>
  <c r="Y35" i="167"/>
  <c r="AC35" i="167"/>
  <c r="AH35" i="167"/>
  <c r="H35" i="167"/>
  <c r="L35" i="167"/>
  <c r="P35" i="167"/>
  <c r="T35" i="167"/>
  <c r="X35" i="167"/>
  <c r="AB35" i="167"/>
  <c r="AG35" i="167"/>
  <c r="AE35" i="167"/>
  <c r="AA14" i="167"/>
  <c r="AA47" i="167" s="1"/>
  <c r="O13" i="167"/>
  <c r="O46" i="167" s="1"/>
  <c r="K14" i="167"/>
  <c r="K47" i="167" s="1"/>
  <c r="AE13" i="167"/>
  <c r="AE46" i="167" s="1"/>
  <c r="AI14" i="167"/>
  <c r="AI47" i="167" s="1"/>
  <c r="S14" i="167"/>
  <c r="S47" i="167" s="1"/>
  <c r="AA13" i="167"/>
  <c r="AA46" i="167" s="1"/>
  <c r="P14" i="167"/>
  <c r="P47" i="167" s="1"/>
  <c r="AF14" i="167"/>
  <c r="AF47" i="167" s="1"/>
  <c r="S13" i="167"/>
  <c r="S46" i="167" s="1"/>
  <c r="AI13" i="167"/>
  <c r="AI46" i="167" s="1"/>
  <c r="L14" i="167"/>
  <c r="L47" i="167" s="1"/>
  <c r="T14" i="167"/>
  <c r="T47" i="167" s="1"/>
  <c r="AB14" i="167"/>
  <c r="AB47" i="167" s="1"/>
  <c r="G18" i="167"/>
  <c r="K13" i="167"/>
  <c r="K46" i="167" s="1"/>
  <c r="G13" i="167"/>
  <c r="G46" i="167" s="1"/>
  <c r="W13" i="167"/>
  <c r="W46" i="167" s="1"/>
  <c r="E58" i="167"/>
  <c r="E59" i="167" s="1"/>
  <c r="E60" i="167" s="1"/>
  <c r="F13" i="167"/>
  <c r="F46" i="167" s="1"/>
  <c r="J13" i="167"/>
  <c r="J46" i="167" s="1"/>
  <c r="N13" i="167"/>
  <c r="N46" i="167" s="1"/>
  <c r="R13" i="167"/>
  <c r="R46" i="167" s="1"/>
  <c r="V13" i="167"/>
  <c r="V46" i="167" s="1"/>
  <c r="Z13" i="167"/>
  <c r="Z46" i="167" s="1"/>
  <c r="AD13" i="167"/>
  <c r="AD46" i="167" s="1"/>
  <c r="AH13" i="167"/>
  <c r="AH46" i="167" s="1"/>
  <c r="I13" i="167"/>
  <c r="I46" i="167" s="1"/>
  <c r="M13" i="167"/>
  <c r="M46" i="167" s="1"/>
  <c r="Q13" i="167"/>
  <c r="Q46" i="167" s="1"/>
  <c r="U13" i="167"/>
  <c r="U46" i="167" s="1"/>
  <c r="Y13" i="167"/>
  <c r="Y46" i="167" s="1"/>
  <c r="AC13" i="167"/>
  <c r="AC46" i="167" s="1"/>
  <c r="AG13" i="167"/>
  <c r="AG46" i="167" s="1"/>
  <c r="H13" i="167"/>
  <c r="H46" i="167" s="1"/>
  <c r="L13" i="167"/>
  <c r="L46" i="167" s="1"/>
  <c r="P13" i="167"/>
  <c r="P46" i="167" s="1"/>
  <c r="T13" i="167"/>
  <c r="T46" i="167" s="1"/>
  <c r="X13" i="167"/>
  <c r="X46" i="167" s="1"/>
  <c r="AB13" i="167"/>
  <c r="AB46" i="167" s="1"/>
  <c r="AF13" i="167"/>
  <c r="AF46" i="167" s="1"/>
  <c r="O28" i="167"/>
  <c r="K17" i="167" l="1"/>
  <c r="K3" i="167" s="1"/>
  <c r="Y28" i="167"/>
  <c r="Y24" i="167" s="1"/>
  <c r="L28" i="167"/>
  <c r="L24" i="167" s="1"/>
  <c r="M28" i="167"/>
  <c r="M24" i="167" s="1"/>
  <c r="AB28" i="167"/>
  <c r="AB24" i="167" s="1"/>
  <c r="AE28" i="167"/>
  <c r="AE24" i="167" s="1"/>
  <c r="K28" i="167"/>
  <c r="K24" i="167" s="1"/>
  <c r="H28" i="167"/>
  <c r="H24" i="167" s="1"/>
  <c r="Q28" i="167"/>
  <c r="Q24" i="167" s="1"/>
  <c r="W28" i="167"/>
  <c r="W24" i="167" s="1"/>
  <c r="G28" i="167"/>
  <c r="G24" i="167" s="1"/>
  <c r="T28" i="167"/>
  <c r="T24" i="167" s="1"/>
  <c r="I28" i="167"/>
  <c r="I24" i="167" s="1"/>
  <c r="AD28" i="167"/>
  <c r="R28" i="167"/>
  <c r="R24" i="167" s="1"/>
  <c r="Z28" i="167"/>
  <c r="Z24" i="167" s="1"/>
  <c r="AA28" i="167"/>
  <c r="AA24" i="167" s="1"/>
  <c r="X28" i="167"/>
  <c r="X24" i="167" s="1"/>
  <c r="V28" i="167"/>
  <c r="V24" i="167" s="1"/>
  <c r="S28" i="167"/>
  <c r="S24" i="167" s="1"/>
  <c r="AF28" i="167"/>
  <c r="AF24" i="167" s="1"/>
  <c r="P28" i="167"/>
  <c r="P24" i="167" s="1"/>
  <c r="U28" i="167"/>
  <c r="U24" i="167" s="1"/>
  <c r="J28" i="167"/>
  <c r="J24" i="167" s="1"/>
  <c r="AH28" i="167"/>
  <c r="AH24" i="167" s="1"/>
  <c r="AD24" i="167"/>
  <c r="AA22" i="167"/>
  <c r="AA4" i="167"/>
  <c r="I22" i="167"/>
  <c r="I4" i="167"/>
  <c r="AI17" i="167"/>
  <c r="AI21" i="167" s="1"/>
  <c r="AH2" i="167"/>
  <c r="AH20" i="167"/>
  <c r="Z22" i="167"/>
  <c r="Z4" i="167"/>
  <c r="V22" i="167"/>
  <c r="V4" i="167"/>
  <c r="Q20" i="167"/>
  <c r="Q2" i="167"/>
  <c r="AG18" i="167"/>
  <c r="AG4" i="167" s="1"/>
  <c r="AA17" i="167"/>
  <c r="AA15" i="167" s="1"/>
  <c r="AA1" i="167" s="1"/>
  <c r="AC16" i="167"/>
  <c r="AC2" i="167" s="1"/>
  <c r="K18" i="167"/>
  <c r="K22" i="167" s="1"/>
  <c r="S17" i="167"/>
  <c r="S3" i="167" s="1"/>
  <c r="Y16" i="167"/>
  <c r="Y2" i="167" s="1"/>
  <c r="J16" i="167"/>
  <c r="J20" i="167" s="1"/>
  <c r="AI22" i="167"/>
  <c r="AI4" i="167"/>
  <c r="AE22" i="167"/>
  <c r="AE4" i="167"/>
  <c r="R2" i="167"/>
  <c r="R20" i="167"/>
  <c r="J22" i="167"/>
  <c r="J4" i="167"/>
  <c r="AC22" i="167"/>
  <c r="AC4" i="167"/>
  <c r="M20" i="167"/>
  <c r="M2" i="167"/>
  <c r="AF4" i="167"/>
  <c r="AF22" i="167"/>
  <c r="T22" i="167"/>
  <c r="T4" i="167"/>
  <c r="L4" i="167"/>
  <c r="L22" i="167"/>
  <c r="O22" i="167"/>
  <c r="O4" i="167"/>
  <c r="N2" i="167"/>
  <c r="N20" i="167"/>
  <c r="AG20" i="167"/>
  <c r="AG2" i="167"/>
  <c r="Y22" i="167"/>
  <c r="Y4" i="167"/>
  <c r="Q22" i="167"/>
  <c r="Q4" i="167"/>
  <c r="S4" i="167"/>
  <c r="S22" i="167"/>
  <c r="AH22" i="167"/>
  <c r="AH4" i="167"/>
  <c r="U22" i="167"/>
  <c r="U4" i="167"/>
  <c r="AD22" i="167"/>
  <c r="AD4" i="167"/>
  <c r="G22" i="167"/>
  <c r="D22" i="167" s="1"/>
  <c r="G4" i="167"/>
  <c r="AI16" i="167"/>
  <c r="AI2" i="167" s="1"/>
  <c r="P18" i="167"/>
  <c r="P22" i="167" s="1"/>
  <c r="AA20" i="167"/>
  <c r="AA2" i="167"/>
  <c r="S20" i="167"/>
  <c r="S2" i="167"/>
  <c r="K2" i="167"/>
  <c r="K20" i="167"/>
  <c r="Z20" i="167"/>
  <c r="Z2" i="167"/>
  <c r="R22" i="167"/>
  <c r="R4" i="167"/>
  <c r="U20" i="167"/>
  <c r="U2" i="167"/>
  <c r="M22" i="167"/>
  <c r="M4" i="167"/>
  <c r="AB22" i="167"/>
  <c r="AB4" i="167"/>
  <c r="W22" i="167"/>
  <c r="W4" i="167"/>
  <c r="AD2" i="167"/>
  <c r="AD20" i="167"/>
  <c r="V2" i="167"/>
  <c r="V20" i="167"/>
  <c r="N22" i="167"/>
  <c r="N4" i="167"/>
  <c r="I2" i="167"/>
  <c r="I20" i="167"/>
  <c r="F18" i="167"/>
  <c r="F22" i="167" s="1"/>
  <c r="X18" i="167"/>
  <c r="X22" i="167" s="1"/>
  <c r="H18" i="167"/>
  <c r="H4" i="167" s="1"/>
  <c r="P16" i="167"/>
  <c r="P20" i="167" s="1"/>
  <c r="H16" i="167"/>
  <c r="H20" i="167" s="1"/>
  <c r="AF16" i="167"/>
  <c r="AF20" i="167" s="1"/>
  <c r="O16" i="167"/>
  <c r="O20" i="167" s="1"/>
  <c r="F16" i="167"/>
  <c r="F2" i="167" s="1"/>
  <c r="L16" i="167"/>
  <c r="L20" i="167" s="1"/>
  <c r="W16" i="167"/>
  <c r="W20" i="167" s="1"/>
  <c r="G16" i="167"/>
  <c r="AB16" i="167"/>
  <c r="AB20" i="167" s="1"/>
  <c r="X16" i="167"/>
  <c r="X20" i="167" s="1"/>
  <c r="T16" i="167"/>
  <c r="T20" i="167" s="1"/>
  <c r="AE16" i="167"/>
  <c r="AE2" i="167" s="1"/>
  <c r="AG28" i="167"/>
  <c r="AG24" i="167" s="1"/>
  <c r="AC28" i="167"/>
  <c r="AC24" i="167" s="1"/>
  <c r="N28" i="167"/>
  <c r="N24" i="167" s="1"/>
  <c r="F28" i="167"/>
  <c r="F24" i="167" s="1"/>
  <c r="H17" i="167"/>
  <c r="H21" i="167" s="1"/>
  <c r="AI24" i="167"/>
  <c r="O24" i="167"/>
  <c r="G17" i="167"/>
  <c r="G3" i="167" s="1"/>
  <c r="AF17" i="167"/>
  <c r="AF3" i="167" s="1"/>
  <c r="AE17" i="167"/>
  <c r="AE21" i="167" s="1"/>
  <c r="O17" i="167"/>
  <c r="O3" i="167" s="1"/>
  <c r="W17" i="167"/>
  <c r="W21" i="167" s="1"/>
  <c r="T17" i="167"/>
  <c r="T3" i="167" s="1"/>
  <c r="P17" i="167"/>
  <c r="P21" i="167" s="1"/>
  <c r="AB17" i="167"/>
  <c r="AB3" i="167" s="1"/>
  <c r="X17" i="167"/>
  <c r="X3" i="167" s="1"/>
  <c r="L17" i="167"/>
  <c r="L3" i="167" s="1"/>
  <c r="E61" i="167"/>
  <c r="AC17" i="167"/>
  <c r="AC3" i="167" s="1"/>
  <c r="M17" i="167"/>
  <c r="M15" i="167" s="1"/>
  <c r="M1" i="167" s="1"/>
  <c r="AD17" i="167"/>
  <c r="AD15" i="167" s="1"/>
  <c r="AD1" i="167" s="1"/>
  <c r="N17" i="167"/>
  <c r="N15" i="167" s="1"/>
  <c r="N1" i="167" s="1"/>
  <c r="U17" i="167"/>
  <c r="U15" i="167" s="1"/>
  <c r="U1" i="167" s="1"/>
  <c r="V17" i="167"/>
  <c r="V15" i="167" s="1"/>
  <c r="V1" i="167" s="1"/>
  <c r="Y17" i="167"/>
  <c r="Y3" i="167" s="1"/>
  <c r="I17" i="167"/>
  <c r="I15" i="167" s="1"/>
  <c r="I1" i="167" s="1"/>
  <c r="Z17" i="167"/>
  <c r="Z3" i="167" s="1"/>
  <c r="J17" i="167"/>
  <c r="J3" i="167" s="1"/>
  <c r="AG17" i="167"/>
  <c r="AG21" i="167" s="1"/>
  <c r="Q17" i="167"/>
  <c r="Q15" i="167" s="1"/>
  <c r="Q1" i="167" s="1"/>
  <c r="AH17" i="167"/>
  <c r="AH15" i="167" s="1"/>
  <c r="AH1" i="167" s="1"/>
  <c r="R17" i="167"/>
  <c r="R15" i="167" s="1"/>
  <c r="R1" i="167" s="1"/>
  <c r="V3" i="167" l="1"/>
  <c r="R3" i="167"/>
  <c r="W3" i="167"/>
  <c r="Q3" i="167"/>
  <c r="N3" i="167"/>
  <c r="I3" i="167"/>
  <c r="H3" i="167"/>
  <c r="P3" i="167"/>
  <c r="AH3" i="167"/>
  <c r="AD3" i="167"/>
  <c r="AI3" i="167"/>
  <c r="K21" i="167"/>
  <c r="K19" i="167" s="1"/>
  <c r="K57" i="167" s="1"/>
  <c r="M3" i="167"/>
  <c r="AA3" i="167"/>
  <c r="U3" i="167"/>
  <c r="AG3" i="167"/>
  <c r="AE3" i="167"/>
  <c r="AB15" i="167"/>
  <c r="AB1" i="167" s="1"/>
  <c r="J15" i="167"/>
  <c r="J1" i="167" s="1"/>
  <c r="AF15" i="167"/>
  <c r="AF1" i="167" s="1"/>
  <c r="L15" i="167"/>
  <c r="L1" i="167" s="1"/>
  <c r="Y15" i="167"/>
  <c r="Y1" i="167" s="1"/>
  <c r="AC15" i="167"/>
  <c r="AC1" i="167" s="1"/>
  <c r="AI20" i="167"/>
  <c r="AI19" i="167" s="1"/>
  <c r="AI57" i="167" s="1"/>
  <c r="X21" i="167"/>
  <c r="X19" i="167" s="1"/>
  <c r="AC20" i="167"/>
  <c r="AI15" i="167"/>
  <c r="AI1" i="167" s="1"/>
  <c r="H2" i="167"/>
  <c r="P2" i="167"/>
  <c r="AD21" i="167"/>
  <c r="AD19" i="167" s="1"/>
  <c r="Y21" i="167"/>
  <c r="X4" i="167"/>
  <c r="P4" i="167"/>
  <c r="R21" i="167"/>
  <c r="R19" i="167" s="1"/>
  <c r="AE20" i="167"/>
  <c r="AE19" i="167" s="1"/>
  <c r="M21" i="167"/>
  <c r="M19" i="167" s="1"/>
  <c r="T15" i="167"/>
  <c r="T1" i="167" s="1"/>
  <c r="AF2" i="167"/>
  <c r="I21" i="167"/>
  <c r="I19" i="167" s="1"/>
  <c r="W19" i="167"/>
  <c r="W57" i="167" s="1"/>
  <c r="X100" i="162" s="1"/>
  <c r="X134" i="162" s="1"/>
  <c r="X2" i="167"/>
  <c r="U21" i="167"/>
  <c r="U19" i="167" s="1"/>
  <c r="Z21" i="167"/>
  <c r="Z19" i="167" s="1"/>
  <c r="Z57" i="167" s="1"/>
  <c r="AA100" i="162" s="1"/>
  <c r="AA134" i="162" s="1"/>
  <c r="O21" i="167"/>
  <c r="O19" i="167" s="1"/>
  <c r="O57" i="167" s="1"/>
  <c r="P100" i="162" s="1"/>
  <c r="P134" i="162" s="1"/>
  <c r="AG15" i="167"/>
  <c r="AG1" i="167" s="1"/>
  <c r="G21" i="167"/>
  <c r="Z15" i="167"/>
  <c r="Z1" i="167" s="1"/>
  <c r="K15" i="167"/>
  <c r="K1" i="167" s="1"/>
  <c r="L2" i="167"/>
  <c r="T2" i="167"/>
  <c r="AF21" i="167"/>
  <c r="AF19" i="167" s="1"/>
  <c r="AF57" i="167" s="1"/>
  <c r="AG100" i="162" s="1"/>
  <c r="AG134" i="162" s="1"/>
  <c r="H22" i="167"/>
  <c r="H19" i="167" s="1"/>
  <c r="H57" i="167" s="1"/>
  <c r="I100" i="162" s="1"/>
  <c r="I134" i="162" s="1"/>
  <c r="AG22" i="167"/>
  <c r="AG19" i="167" s="1"/>
  <c r="O2" i="167"/>
  <c r="AB2" i="167"/>
  <c r="F4" i="167"/>
  <c r="AA21" i="167"/>
  <c r="AA19" i="167" s="1"/>
  <c r="AA57" i="167" s="1"/>
  <c r="AB100" i="162" s="1"/>
  <c r="AB134" i="162" s="1"/>
  <c r="Y20" i="167"/>
  <c r="W2" i="167"/>
  <c r="J2" i="167"/>
  <c r="K4" i="167"/>
  <c r="S21" i="167"/>
  <c r="S19" i="167" s="1"/>
  <c r="S57" i="167" s="1"/>
  <c r="T100" i="162" s="1"/>
  <c r="T134" i="162" s="1"/>
  <c r="F20" i="167"/>
  <c r="S15" i="167"/>
  <c r="S1" i="167" s="1"/>
  <c r="P19" i="167"/>
  <c r="P57" i="167" s="1"/>
  <c r="Q100" i="162" s="1"/>
  <c r="Q134" i="162" s="1"/>
  <c r="AH21" i="167"/>
  <c r="AH19" i="167" s="1"/>
  <c r="G2" i="167"/>
  <c r="G20" i="167"/>
  <c r="Q21" i="167"/>
  <c r="Q19" i="167" s="1"/>
  <c r="AC21" i="167"/>
  <c r="V21" i="167"/>
  <c r="V19" i="167" s="1"/>
  <c r="L21" i="167"/>
  <c r="L19" i="167" s="1"/>
  <c r="L57" i="167" s="1"/>
  <c r="M100" i="162" s="1"/>
  <c r="M134" i="162" s="1"/>
  <c r="T21" i="167"/>
  <c r="T19" i="167" s="1"/>
  <c r="T57" i="167" s="1"/>
  <c r="U100" i="162" s="1"/>
  <c r="U134" i="162" s="1"/>
  <c r="J21" i="167"/>
  <c r="J19" i="167" s="1"/>
  <c r="N21" i="167"/>
  <c r="N19" i="167" s="1"/>
  <c r="AB21" i="167"/>
  <c r="AB19" i="167" s="1"/>
  <c r="AB57" i="167" s="1"/>
  <c r="AC100" i="162" s="1"/>
  <c r="AC134" i="162" s="1"/>
  <c r="O15" i="167"/>
  <c r="O1" i="167" s="1"/>
  <c r="X15" i="167"/>
  <c r="X1" i="167" s="1"/>
  <c r="H15" i="167"/>
  <c r="H1" i="167" s="1"/>
  <c r="F17" i="167"/>
  <c r="F3" i="167" s="1"/>
  <c r="G15" i="167"/>
  <c r="G1" i="167" s="1"/>
  <c r="P15" i="167"/>
  <c r="P1" i="167" s="1"/>
  <c r="AE15" i="167"/>
  <c r="AE1" i="167" s="1"/>
  <c r="W15" i="167"/>
  <c r="W1" i="167" s="1"/>
  <c r="L100" i="162" l="1"/>
  <c r="L134" i="162" s="1"/>
  <c r="S58" i="167"/>
  <c r="S60" i="167" s="1"/>
  <c r="AA58" i="167"/>
  <c r="AA60" i="167" s="1"/>
  <c r="P58" i="167"/>
  <c r="P60" i="167" s="1"/>
  <c r="O58" i="167"/>
  <c r="O60" i="167" s="1"/>
  <c r="AC19" i="167"/>
  <c r="AC57" i="167" s="1"/>
  <c r="AD100" i="162" s="1"/>
  <c r="AD134" i="162" s="1"/>
  <c r="Y19" i="167"/>
  <c r="Y57" i="167" s="1"/>
  <c r="Z100" i="162" s="1"/>
  <c r="Z134" i="162" s="1"/>
  <c r="T58" i="167"/>
  <c r="T60" i="167" s="1"/>
  <c r="AB58" i="167"/>
  <c r="AB60" i="167" s="1"/>
  <c r="H58" i="167"/>
  <c r="H60" i="167" s="1"/>
  <c r="AF58" i="167"/>
  <c r="AF60" i="167" s="1"/>
  <c r="L58" i="167"/>
  <c r="L60" i="167" s="1"/>
  <c r="F21" i="167"/>
  <c r="F19" i="167" s="1"/>
  <c r="F57" i="167" s="1"/>
  <c r="G100" i="162" s="1"/>
  <c r="G134" i="162" s="1"/>
  <c r="G19" i="167"/>
  <c r="D19" i="167" s="1"/>
  <c r="D20" i="167"/>
  <c r="F15" i="167"/>
  <c r="F1" i="167" s="1"/>
  <c r="AE57" i="167"/>
  <c r="AF100" i="162" s="1"/>
  <c r="AF134" i="162" s="1"/>
  <c r="X57" i="167"/>
  <c r="Y100" i="162" s="1"/>
  <c r="Y134" i="162" s="1"/>
  <c r="I57" i="167"/>
  <c r="J100" i="162" s="1"/>
  <c r="J134" i="162" s="1"/>
  <c r="R57" i="167"/>
  <c r="S100" i="162" s="1"/>
  <c r="S134" i="162" s="1"/>
  <c r="W58" i="167"/>
  <c r="W60" i="167" s="1"/>
  <c r="M57" i="167"/>
  <c r="N100" i="162" s="1"/>
  <c r="N134" i="162" s="1"/>
  <c r="Z58" i="167"/>
  <c r="Z60" i="167" s="1"/>
  <c r="K58" i="167"/>
  <c r="K60" i="167" s="1"/>
  <c r="AI58" i="167"/>
  <c r="AI59" i="167" s="1"/>
  <c r="AI60" i="167" s="1"/>
  <c r="AG57" i="167"/>
  <c r="AH100" i="162" s="1"/>
  <c r="AH134" i="162" s="1"/>
  <c r="J57" i="167"/>
  <c r="K100" i="162" s="1"/>
  <c r="K134" i="162" s="1"/>
  <c r="Q57" i="167"/>
  <c r="R100" i="162" s="1"/>
  <c r="R134" i="162" s="1"/>
  <c r="N57" i="167"/>
  <c r="O100" i="162" s="1"/>
  <c r="O134" i="162" s="1"/>
  <c r="AD57" i="167"/>
  <c r="AE100" i="162" s="1"/>
  <c r="AE134" i="162" s="1"/>
  <c r="AH57" i="167"/>
  <c r="AI100" i="162" s="1"/>
  <c r="AI134" i="162" s="1"/>
  <c r="V57" i="167"/>
  <c r="W100" i="162" s="1"/>
  <c r="W134" i="162" s="1"/>
  <c r="U57" i="167"/>
  <c r="V100" i="162" s="1"/>
  <c r="V134" i="162" s="1"/>
  <c r="R58" i="167" l="1"/>
  <c r="R60" i="167" s="1"/>
  <c r="F58" i="167"/>
  <c r="F60" i="167" s="1"/>
  <c r="F61" i="167" s="1"/>
  <c r="AE58" i="167"/>
  <c r="AE60" i="167" s="1"/>
  <c r="Y58" i="167"/>
  <c r="Y60" i="167" s="1"/>
  <c r="E63" i="167" s="1"/>
  <c r="X58" i="167"/>
  <c r="X60" i="167" s="1"/>
  <c r="G57" i="167"/>
  <c r="H100" i="162" s="1"/>
  <c r="H134" i="162" s="1"/>
  <c r="I58" i="167"/>
  <c r="I60" i="167" s="1"/>
  <c r="M58" i="167"/>
  <c r="M60" i="167" s="1"/>
  <c r="V58" i="167"/>
  <c r="V60" i="167" s="1"/>
  <c r="AC58" i="167"/>
  <c r="AC60" i="167" s="1"/>
  <c r="N58" i="167"/>
  <c r="N60" i="167" s="1"/>
  <c r="U58" i="167"/>
  <c r="U60" i="167" s="1"/>
  <c r="AH58" i="167"/>
  <c r="AH60" i="167" s="1"/>
  <c r="AD58" i="167"/>
  <c r="AD60" i="167" s="1"/>
  <c r="Q58" i="167"/>
  <c r="Q60" i="167" s="1"/>
  <c r="AG58" i="167"/>
  <c r="AG60" i="167" s="1"/>
  <c r="J58" i="167"/>
  <c r="J60" i="167" s="1"/>
  <c r="G58" i="167" l="1"/>
  <c r="G60" i="167" s="1"/>
  <c r="L61" i="167" s="1"/>
  <c r="AI39" i="162"/>
  <c r="AJ13" i="179" s="1"/>
  <c r="AH39" i="162"/>
  <c r="AI13" i="179" s="1"/>
  <c r="AG39" i="162"/>
  <c r="AH13" i="179" s="1"/>
  <c r="AF39" i="162"/>
  <c r="AG13" i="179" s="1"/>
  <c r="AE39" i="162"/>
  <c r="AF13" i="179" s="1"/>
  <c r="AD39" i="162"/>
  <c r="AE13" i="179" s="1"/>
  <c r="AC39" i="162"/>
  <c r="AD13" i="179" s="1"/>
  <c r="AB39" i="162"/>
  <c r="AC13" i="179" s="1"/>
  <c r="AA39" i="162"/>
  <c r="AB13" i="179" s="1"/>
  <c r="Z39" i="162"/>
  <c r="AA13" i="179" s="1"/>
  <c r="Y39" i="162"/>
  <c r="Z13" i="179" s="1"/>
  <c r="X39" i="162"/>
  <c r="Y13" i="179" s="1"/>
  <c r="W39" i="162"/>
  <c r="X13" i="179" s="1"/>
  <c r="V39" i="162"/>
  <c r="W13" i="179" s="1"/>
  <c r="U39" i="162"/>
  <c r="V13" i="179" s="1"/>
  <c r="T39" i="162"/>
  <c r="U13" i="179" s="1"/>
  <c r="S39" i="162"/>
  <c r="T13" i="179" s="1"/>
  <c r="R39" i="162"/>
  <c r="S13" i="179" s="1"/>
  <c r="Q39" i="162"/>
  <c r="R13" i="179" s="1"/>
  <c r="P39" i="162"/>
  <c r="Q13" i="179" s="1"/>
  <c r="O39" i="162"/>
  <c r="P13" i="179" s="1"/>
  <c r="N39" i="162"/>
  <c r="O13" i="179" s="1"/>
  <c r="M39" i="162"/>
  <c r="N13" i="179" s="1"/>
  <c r="L39" i="162"/>
  <c r="M13" i="179" s="1"/>
  <c r="K39" i="162"/>
  <c r="L13" i="179" s="1"/>
  <c r="J39" i="162"/>
  <c r="K13" i="179" s="1"/>
  <c r="I39" i="162"/>
  <c r="J13" i="179" s="1"/>
  <c r="H39" i="162"/>
  <c r="I13" i="179" s="1"/>
  <c r="G39" i="162"/>
  <c r="H13" i="179" s="1"/>
  <c r="G112" i="162"/>
  <c r="G70" i="162" s="1"/>
  <c r="H70" i="165"/>
  <c r="AB35" i="165" s="1"/>
  <c r="F39" i="165"/>
  <c r="H67" i="165"/>
  <c r="H66" i="165"/>
  <c r="H65" i="165"/>
  <c r="G35" i="165" l="1"/>
  <c r="AE35" i="165"/>
  <c r="M35" i="165"/>
  <c r="AI61" i="167"/>
  <c r="AE61" i="167"/>
  <c r="X61" i="167"/>
  <c r="AB61" i="167"/>
  <c r="K61" i="167"/>
  <c r="S61" i="167"/>
  <c r="P61" i="167"/>
  <c r="AF61" i="167"/>
  <c r="H61" i="167"/>
  <c r="W61" i="167"/>
  <c r="AD61" i="167"/>
  <c r="AA61" i="167"/>
  <c r="U61" i="167"/>
  <c r="N61" i="167"/>
  <c r="V61" i="167"/>
  <c r="AC61" i="167"/>
  <c r="Y61" i="167"/>
  <c r="T61" i="167"/>
  <c r="O61" i="167"/>
  <c r="I61" i="167"/>
  <c r="AH61" i="167"/>
  <c r="Q61" i="167"/>
  <c r="M61" i="167"/>
  <c r="R61" i="167"/>
  <c r="E62" i="167" s="1"/>
  <c r="G61" i="167"/>
  <c r="Z61" i="167"/>
  <c r="AG61" i="167"/>
  <c r="J61" i="167"/>
  <c r="AC35" i="165"/>
  <c r="S35" i="165"/>
  <c r="AG35" i="165"/>
  <c r="H35" i="165"/>
  <c r="W35" i="165"/>
  <c r="AI35" i="165"/>
  <c r="H68" i="165"/>
  <c r="AG28" i="165" s="1"/>
  <c r="L35" i="165"/>
  <c r="X35" i="165"/>
  <c r="Q35" i="165"/>
  <c r="K35" i="165"/>
  <c r="P35" i="165"/>
  <c r="U35" i="165"/>
  <c r="AA35" i="165"/>
  <c r="AF35" i="165"/>
  <c r="AH35" i="165"/>
  <c r="I35" i="165"/>
  <c r="O35" i="165"/>
  <c r="T35" i="165"/>
  <c r="Y35" i="165"/>
  <c r="F35" i="165"/>
  <c r="J35" i="165"/>
  <c r="N35" i="165"/>
  <c r="R35" i="165"/>
  <c r="V35" i="165"/>
  <c r="Z35" i="165"/>
  <c r="AD35" i="165"/>
  <c r="F8" i="165"/>
  <c r="F40" i="165"/>
  <c r="H38" i="162"/>
  <c r="V28" i="165" l="1"/>
  <c r="P28" i="165"/>
  <c r="Y28" i="165"/>
  <c r="K28" i="165"/>
  <c r="S28" i="165"/>
  <c r="M28" i="165"/>
  <c r="R28" i="165"/>
  <c r="AF28" i="165"/>
  <c r="H28" i="165"/>
  <c r="G28" i="165"/>
  <c r="AI28" i="165"/>
  <c r="AH28" i="165"/>
  <c r="N28" i="165"/>
  <c r="X28" i="165"/>
  <c r="U28" i="165"/>
  <c r="W28" i="165"/>
  <c r="AC28" i="165"/>
  <c r="AD28" i="165"/>
  <c r="F28" i="165"/>
  <c r="T28" i="165"/>
  <c r="I28" i="165"/>
  <c r="AA28" i="165"/>
  <c r="F12" i="165"/>
  <c r="F11" i="165"/>
  <c r="F10" i="165"/>
  <c r="Q28" i="165"/>
  <c r="Z28" i="165"/>
  <c r="J28" i="165"/>
  <c r="AB28" i="165"/>
  <c r="L28" i="165"/>
  <c r="AE28" i="165"/>
  <c r="O28" i="165"/>
  <c r="F13" i="165"/>
  <c r="F46" i="165" s="1"/>
  <c r="G17" i="179" s="1"/>
  <c r="F14" i="165"/>
  <c r="F47" i="165" s="1"/>
  <c r="G18" i="179" s="1"/>
  <c r="F18" i="165" l="1"/>
  <c r="F22" i="165" s="1"/>
  <c r="F16" i="165"/>
  <c r="F2" i="165" s="1"/>
  <c r="F4" i="165" l="1"/>
  <c r="F17" i="165"/>
  <c r="F3" i="165" s="1"/>
  <c r="F20" i="165"/>
  <c r="F21" i="165" l="1"/>
  <c r="F19" i="165" s="1"/>
  <c r="G6" i="179" s="1"/>
  <c r="F15" i="165"/>
  <c r="G5" i="179" s="1"/>
  <c r="K38" i="162"/>
  <c r="J38" i="162"/>
  <c r="F1" i="165" l="1"/>
  <c r="E94" i="162" s="1"/>
  <c r="AI40" i="165" l="1"/>
  <c r="AH40" i="165"/>
  <c r="AG40" i="165"/>
  <c r="AF40" i="165"/>
  <c r="AE40" i="165"/>
  <c r="AD40" i="165"/>
  <c r="AC40" i="165"/>
  <c r="AB40" i="165"/>
  <c r="AA40" i="165"/>
  <c r="Z40" i="165"/>
  <c r="Y40" i="165"/>
  <c r="X40" i="165"/>
  <c r="W40" i="165"/>
  <c r="V40" i="165"/>
  <c r="U40" i="165"/>
  <c r="T40" i="165"/>
  <c r="S40" i="165"/>
  <c r="R40" i="165"/>
  <c r="Q40" i="165"/>
  <c r="P40" i="165"/>
  <c r="O40" i="165"/>
  <c r="N40" i="165"/>
  <c r="M40" i="165"/>
  <c r="L40" i="165"/>
  <c r="K40" i="165"/>
  <c r="J40" i="165"/>
  <c r="I40" i="165"/>
  <c r="H40" i="165"/>
  <c r="G40" i="165"/>
  <c r="AI39" i="165"/>
  <c r="AH39" i="165"/>
  <c r="AG39" i="165"/>
  <c r="AF39" i="165"/>
  <c r="AE39" i="165"/>
  <c r="AD39" i="165"/>
  <c r="AC39" i="165"/>
  <c r="AB39" i="165"/>
  <c r="AA39" i="165"/>
  <c r="Z39" i="165"/>
  <c r="Y39" i="165"/>
  <c r="X39" i="165"/>
  <c r="W39" i="165"/>
  <c r="V39" i="165"/>
  <c r="U39" i="165"/>
  <c r="T39" i="165"/>
  <c r="S39" i="165"/>
  <c r="R39" i="165"/>
  <c r="Q39" i="165"/>
  <c r="P39" i="165"/>
  <c r="O39" i="165"/>
  <c r="N39" i="165"/>
  <c r="M39" i="165"/>
  <c r="L39" i="165"/>
  <c r="K39" i="165"/>
  <c r="J39" i="165"/>
  <c r="I39" i="165"/>
  <c r="H39" i="165"/>
  <c r="G39" i="165"/>
  <c r="D36" i="165"/>
  <c r="B35" i="165"/>
  <c r="D32" i="165"/>
  <c r="D31" i="165"/>
  <c r="D30" i="165"/>
  <c r="D29" i="165"/>
  <c r="E24" i="165"/>
  <c r="E57" i="165" s="1"/>
  <c r="E99" i="162" s="1"/>
  <c r="AI8" i="165"/>
  <c r="AH8" i="165"/>
  <c r="AG8" i="165"/>
  <c r="AF8" i="165"/>
  <c r="AE8" i="165"/>
  <c r="AD8" i="165"/>
  <c r="AC8" i="165"/>
  <c r="AB8" i="165"/>
  <c r="AA8" i="165"/>
  <c r="Z8" i="165"/>
  <c r="Y8" i="165"/>
  <c r="X8" i="165"/>
  <c r="W8" i="165"/>
  <c r="V8" i="165"/>
  <c r="U8" i="165"/>
  <c r="T8" i="165"/>
  <c r="S8" i="165"/>
  <c r="R8" i="165"/>
  <c r="Q8" i="165"/>
  <c r="P8" i="165"/>
  <c r="O8" i="165"/>
  <c r="N8" i="165"/>
  <c r="M8" i="165"/>
  <c r="L8" i="165"/>
  <c r="K8" i="165"/>
  <c r="J8" i="165"/>
  <c r="I8" i="165"/>
  <c r="H8" i="165"/>
  <c r="G8" i="165"/>
  <c r="E133" i="162" l="1"/>
  <c r="G12" i="165"/>
  <c r="G18" i="165" s="1"/>
  <c r="G10" i="165"/>
  <c r="G16" i="165" s="1"/>
  <c r="G11" i="165"/>
  <c r="K12" i="165"/>
  <c r="K18" i="165" s="1"/>
  <c r="K10" i="165"/>
  <c r="K16" i="165" s="1"/>
  <c r="K11" i="165"/>
  <c r="O13" i="165"/>
  <c r="O46" i="165" s="1"/>
  <c r="P17" i="179" s="1"/>
  <c r="O12" i="165"/>
  <c r="O10" i="165"/>
  <c r="O11" i="165"/>
  <c r="S12" i="165"/>
  <c r="S10" i="165"/>
  <c r="S16" i="165" s="1"/>
  <c r="S11" i="165"/>
  <c r="W12" i="165"/>
  <c r="W18" i="165" s="1"/>
  <c r="W10" i="165"/>
  <c r="W16" i="165" s="1"/>
  <c r="W11" i="165"/>
  <c r="AA13" i="165"/>
  <c r="AA46" i="165" s="1"/>
  <c r="AB17" i="179" s="1"/>
  <c r="AA12" i="165"/>
  <c r="AA18" i="165" s="1"/>
  <c r="AA10" i="165"/>
  <c r="AA16" i="165" s="1"/>
  <c r="AA11" i="165"/>
  <c r="AE12" i="165"/>
  <c r="AE18" i="165" s="1"/>
  <c r="AE10" i="165"/>
  <c r="AE11" i="165"/>
  <c r="AI12" i="165"/>
  <c r="AI10" i="165"/>
  <c r="AI16" i="165" s="1"/>
  <c r="AI11" i="165"/>
  <c r="H14" i="165"/>
  <c r="H47" i="165" s="1"/>
  <c r="I18" i="179" s="1"/>
  <c r="H12" i="165"/>
  <c r="H11" i="165"/>
  <c r="H10" i="165"/>
  <c r="L14" i="165"/>
  <c r="L47" i="165" s="1"/>
  <c r="M18" i="179" s="1"/>
  <c r="L12" i="165"/>
  <c r="L11" i="165"/>
  <c r="L10" i="165"/>
  <c r="P14" i="165"/>
  <c r="P47" i="165" s="1"/>
  <c r="Q18" i="179" s="1"/>
  <c r="P12" i="165"/>
  <c r="P11" i="165"/>
  <c r="P10" i="165"/>
  <c r="P16" i="165" s="1"/>
  <c r="T14" i="165"/>
  <c r="T47" i="165" s="1"/>
  <c r="U18" i="179" s="1"/>
  <c r="T12" i="165"/>
  <c r="T11" i="165"/>
  <c r="T10" i="165"/>
  <c r="T16" i="165" s="1"/>
  <c r="X14" i="165"/>
  <c r="X47" i="165" s="1"/>
  <c r="Y18" i="179" s="1"/>
  <c r="X12" i="165"/>
  <c r="X11" i="165"/>
  <c r="X10" i="165"/>
  <c r="AB14" i="165"/>
  <c r="AB47" i="165" s="1"/>
  <c r="AC18" i="179" s="1"/>
  <c r="AB12" i="165"/>
  <c r="AB11" i="165"/>
  <c r="AB10" i="165"/>
  <c r="AF14" i="165"/>
  <c r="AF47" i="165" s="1"/>
  <c r="AG18" i="179" s="1"/>
  <c r="AF12" i="165"/>
  <c r="AF11" i="165"/>
  <c r="AF10" i="165"/>
  <c r="AF16" i="165" s="1"/>
  <c r="I13" i="165"/>
  <c r="I46" i="165" s="1"/>
  <c r="J17" i="179" s="1"/>
  <c r="I11" i="165"/>
  <c r="I10" i="165"/>
  <c r="I12" i="165"/>
  <c r="I18" i="165" s="1"/>
  <c r="M11" i="165"/>
  <c r="M10" i="165"/>
  <c r="M16" i="165" s="1"/>
  <c r="M12" i="165"/>
  <c r="M18" i="165" s="1"/>
  <c r="Q13" i="165"/>
  <c r="Q46" i="165" s="1"/>
  <c r="R17" i="179" s="1"/>
  <c r="Q11" i="165"/>
  <c r="Q10" i="165"/>
  <c r="Q12" i="165"/>
  <c r="Q18" i="165" s="1"/>
  <c r="U13" i="165"/>
  <c r="U46" i="165" s="1"/>
  <c r="V17" i="179" s="1"/>
  <c r="U11" i="165"/>
  <c r="U10" i="165"/>
  <c r="U12" i="165"/>
  <c r="Y13" i="165"/>
  <c r="Y46" i="165" s="1"/>
  <c r="Z17" i="179" s="1"/>
  <c r="Y11" i="165"/>
  <c r="Y10" i="165"/>
  <c r="Y12" i="165"/>
  <c r="Y18" i="165" s="1"/>
  <c r="AC13" i="165"/>
  <c r="AC46" i="165" s="1"/>
  <c r="AD17" i="179" s="1"/>
  <c r="AC11" i="165"/>
  <c r="AC10" i="165"/>
  <c r="AC12" i="165"/>
  <c r="AC18" i="165" s="1"/>
  <c r="AG13" i="165"/>
  <c r="AG46" i="165" s="1"/>
  <c r="AH17" i="179" s="1"/>
  <c r="AG11" i="165"/>
  <c r="AG10" i="165"/>
  <c r="AG12" i="165"/>
  <c r="AG18" i="165" s="1"/>
  <c r="J10" i="165"/>
  <c r="J11" i="165"/>
  <c r="J12" i="165"/>
  <c r="N10" i="165"/>
  <c r="N11" i="165"/>
  <c r="N12" i="165"/>
  <c r="R10" i="165"/>
  <c r="R11" i="165"/>
  <c r="R12" i="165"/>
  <c r="V10" i="165"/>
  <c r="V11" i="165"/>
  <c r="V12" i="165"/>
  <c r="Z10" i="165"/>
  <c r="Z11" i="165"/>
  <c r="Z12" i="165"/>
  <c r="AD10" i="165"/>
  <c r="AD11" i="165"/>
  <c r="AD12" i="165"/>
  <c r="AH10" i="165"/>
  <c r="AH11" i="165"/>
  <c r="AH12" i="165"/>
  <c r="E58" i="165"/>
  <c r="E59" i="165" s="1"/>
  <c r="E60" i="165" s="1"/>
  <c r="D33" i="165"/>
  <c r="D34" i="165" s="1"/>
  <c r="M13" i="165"/>
  <c r="M46" i="165" s="1"/>
  <c r="N17" i="179" s="1"/>
  <c r="Z14" i="165"/>
  <c r="Z47" i="165" s="1"/>
  <c r="AA18" i="179" s="1"/>
  <c r="V14" i="165"/>
  <c r="V47" i="165" s="1"/>
  <c r="W18" i="179" s="1"/>
  <c r="J14" i="165"/>
  <c r="J47" i="165" s="1"/>
  <c r="K18" i="179" s="1"/>
  <c r="R14" i="165"/>
  <c r="R47" i="165" s="1"/>
  <c r="S18" i="179" s="1"/>
  <c r="AH14" i="165"/>
  <c r="AH47" i="165" s="1"/>
  <c r="AI18" i="179" s="1"/>
  <c r="N14" i="165"/>
  <c r="N47" i="165" s="1"/>
  <c r="O18" i="179" s="1"/>
  <c r="AD14" i="165"/>
  <c r="AD47" i="165" s="1"/>
  <c r="AE18" i="179" s="1"/>
  <c r="G13" i="165"/>
  <c r="G46" i="165" s="1"/>
  <c r="H17" i="179" s="1"/>
  <c r="W13" i="165"/>
  <c r="W46" i="165" s="1"/>
  <c r="X17" i="179" s="1"/>
  <c r="AI13" i="165"/>
  <c r="AI46" i="165" s="1"/>
  <c r="AJ17" i="179" s="1"/>
  <c r="H13" i="165"/>
  <c r="H46" i="165" s="1"/>
  <c r="I17" i="179" s="1"/>
  <c r="L13" i="165"/>
  <c r="L46" i="165" s="1"/>
  <c r="M17" i="179" s="1"/>
  <c r="P13" i="165"/>
  <c r="P46" i="165" s="1"/>
  <c r="Q17" i="179" s="1"/>
  <c r="T13" i="165"/>
  <c r="T46" i="165" s="1"/>
  <c r="U17" i="179" s="1"/>
  <c r="X13" i="165"/>
  <c r="X46" i="165" s="1"/>
  <c r="Y17" i="179" s="1"/>
  <c r="AB13" i="165"/>
  <c r="AB46" i="165" s="1"/>
  <c r="AC17" i="179" s="1"/>
  <c r="AF13" i="165"/>
  <c r="AF46" i="165" s="1"/>
  <c r="AG17" i="179" s="1"/>
  <c r="G14" i="165"/>
  <c r="G47" i="165" s="1"/>
  <c r="H18" i="179" s="1"/>
  <c r="K14" i="165"/>
  <c r="K47" i="165" s="1"/>
  <c r="L18" i="179" s="1"/>
  <c r="O14" i="165"/>
  <c r="O47" i="165" s="1"/>
  <c r="P18" i="179" s="1"/>
  <c r="S14" i="165"/>
  <c r="S47" i="165" s="1"/>
  <c r="T18" i="179" s="1"/>
  <c r="W14" i="165"/>
  <c r="W47" i="165" s="1"/>
  <c r="X18" i="179" s="1"/>
  <c r="AA14" i="165"/>
  <c r="AA47" i="165" s="1"/>
  <c r="AB18" i="179" s="1"/>
  <c r="AE14" i="165"/>
  <c r="AE47" i="165" s="1"/>
  <c r="AF18" i="179" s="1"/>
  <c r="AI14" i="165"/>
  <c r="AI47" i="165" s="1"/>
  <c r="AJ18" i="179" s="1"/>
  <c r="K13" i="165"/>
  <c r="K46" i="165" s="1"/>
  <c r="L17" i="179" s="1"/>
  <c r="S13" i="165"/>
  <c r="S46" i="165" s="1"/>
  <c r="T17" i="179" s="1"/>
  <c r="AE13" i="165"/>
  <c r="AE46" i="165" s="1"/>
  <c r="AF17" i="179" s="1"/>
  <c r="J13" i="165"/>
  <c r="J46" i="165" s="1"/>
  <c r="K17" i="179" s="1"/>
  <c r="N13" i="165"/>
  <c r="N46" i="165" s="1"/>
  <c r="O17" i="179" s="1"/>
  <c r="R13" i="165"/>
  <c r="R46" i="165" s="1"/>
  <c r="S17" i="179" s="1"/>
  <c r="V13" i="165"/>
  <c r="V46" i="165" s="1"/>
  <c r="W17" i="179" s="1"/>
  <c r="Z13" i="165"/>
  <c r="Z46" i="165" s="1"/>
  <c r="AA17" i="179" s="1"/>
  <c r="AD13" i="165"/>
  <c r="AD46" i="165" s="1"/>
  <c r="AE17" i="179" s="1"/>
  <c r="AH13" i="165"/>
  <c r="AH46" i="165" s="1"/>
  <c r="AI17" i="179" s="1"/>
  <c r="I14" i="165"/>
  <c r="I47" i="165" s="1"/>
  <c r="J18" i="179" s="1"/>
  <c r="M14" i="165"/>
  <c r="M47" i="165" s="1"/>
  <c r="N18" i="179" s="1"/>
  <c r="Q14" i="165"/>
  <c r="Q47" i="165" s="1"/>
  <c r="R18" i="179" s="1"/>
  <c r="U14" i="165"/>
  <c r="U47" i="165" s="1"/>
  <c r="V18" i="179" s="1"/>
  <c r="Y14" i="165"/>
  <c r="Y47" i="165" s="1"/>
  <c r="Z18" i="179" s="1"/>
  <c r="AC14" i="165"/>
  <c r="AC47" i="165" s="1"/>
  <c r="AD18" i="179" s="1"/>
  <c r="AG14" i="165"/>
  <c r="AG47" i="165" s="1"/>
  <c r="AH18" i="179" s="1"/>
  <c r="N62" i="165" l="1"/>
  <c r="N24" i="165"/>
  <c r="I24" i="165"/>
  <c r="Z18" i="165"/>
  <c r="Z22" i="165" s="1"/>
  <c r="J18" i="165"/>
  <c r="J22" i="165" s="1"/>
  <c r="AB16" i="165"/>
  <c r="AB20" i="165" s="1"/>
  <c r="L16" i="165"/>
  <c r="L20" i="165" s="1"/>
  <c r="L24" i="165"/>
  <c r="V18" i="165"/>
  <c r="V4" i="165" s="1"/>
  <c r="AG22" i="165"/>
  <c r="AG4" i="165"/>
  <c r="Q22" i="165"/>
  <c r="Q4" i="165"/>
  <c r="AE22" i="165"/>
  <c r="AE4" i="165"/>
  <c r="AA20" i="165"/>
  <c r="AA2" i="165"/>
  <c r="K20" i="165"/>
  <c r="K2" i="165"/>
  <c r="G20" i="165"/>
  <c r="G2" i="165"/>
  <c r="X16" i="165"/>
  <c r="X20" i="165" s="1"/>
  <c r="H16" i="165"/>
  <c r="H2" i="165" s="1"/>
  <c r="O18" i="165"/>
  <c r="O4" i="165" s="1"/>
  <c r="U18" i="165"/>
  <c r="U4" i="165" s="1"/>
  <c r="AH18" i="165"/>
  <c r="AH22" i="165" s="1"/>
  <c r="R18" i="165"/>
  <c r="R4" i="165" s="1"/>
  <c r="AC22" i="165"/>
  <c r="AC4" i="165"/>
  <c r="M22" i="165"/>
  <c r="M4" i="165"/>
  <c r="I22" i="165"/>
  <c r="I4" i="165"/>
  <c r="T20" i="165"/>
  <c r="T2" i="165"/>
  <c r="AI18" i="165"/>
  <c r="AI22" i="165" s="1"/>
  <c r="AA22" i="165"/>
  <c r="AA4" i="165"/>
  <c r="W2" i="165"/>
  <c r="W20" i="165"/>
  <c r="S18" i="165"/>
  <c r="S4" i="165" s="1"/>
  <c r="K22" i="165"/>
  <c r="K4" i="165"/>
  <c r="G22" i="165"/>
  <c r="D22" i="165" s="1"/>
  <c r="G4" i="165"/>
  <c r="AE16" i="165"/>
  <c r="AE20" i="165" s="1"/>
  <c r="O16" i="165"/>
  <c r="O20" i="165" s="1"/>
  <c r="AD18" i="165"/>
  <c r="AD4" i="165" s="1"/>
  <c r="N18" i="165"/>
  <c r="N4" i="165" s="1"/>
  <c r="Y22" i="165"/>
  <c r="Y4" i="165"/>
  <c r="M20" i="165"/>
  <c r="M2" i="165"/>
  <c r="AF20" i="165"/>
  <c r="AF2" i="165"/>
  <c r="P20" i="165"/>
  <c r="P2" i="165"/>
  <c r="AI20" i="165"/>
  <c r="AI2" i="165"/>
  <c r="W22" i="165"/>
  <c r="W4" i="165"/>
  <c r="S20" i="165"/>
  <c r="S2" i="165"/>
  <c r="T18" i="165"/>
  <c r="T22" i="165" s="1"/>
  <c r="H18" i="165"/>
  <c r="H4" i="165" s="1"/>
  <c r="L18" i="165"/>
  <c r="L22" i="165" s="1"/>
  <c r="AF18" i="165"/>
  <c r="AF4" i="165" s="1"/>
  <c r="P18" i="165"/>
  <c r="P4" i="165" s="1"/>
  <c r="X18" i="165"/>
  <c r="X22" i="165" s="1"/>
  <c r="AB18" i="165"/>
  <c r="AB22" i="165" s="1"/>
  <c r="Z16" i="165"/>
  <c r="Z20" i="165" s="1"/>
  <c r="U16" i="165"/>
  <c r="U20" i="165" s="1"/>
  <c r="I16" i="165"/>
  <c r="I20" i="165" s="1"/>
  <c r="R16" i="165"/>
  <c r="R20" i="165" s="1"/>
  <c r="N17" i="165"/>
  <c r="N3" i="165" s="1"/>
  <c r="N16" i="165"/>
  <c r="N2" i="165" s="1"/>
  <c r="Q16" i="165"/>
  <c r="Q2" i="165" s="1"/>
  <c r="J16" i="165"/>
  <c r="J20" i="165" s="1"/>
  <c r="AG16" i="165"/>
  <c r="AG20" i="165" s="1"/>
  <c r="Y16" i="165"/>
  <c r="Y2" i="165" s="1"/>
  <c r="AC16" i="165"/>
  <c r="AH16" i="165"/>
  <c r="AH20" i="165" s="1"/>
  <c r="AD17" i="165"/>
  <c r="AD21" i="165" s="1"/>
  <c r="AD16" i="165"/>
  <c r="AD20" i="165" s="1"/>
  <c r="V16" i="165"/>
  <c r="V2" i="165" s="1"/>
  <c r="Q17" i="165"/>
  <c r="Q21" i="165" s="1"/>
  <c r="Y17" i="165"/>
  <c r="Y21" i="165" s="1"/>
  <c r="J24" i="165"/>
  <c r="F24" i="165"/>
  <c r="F57" i="165" s="1"/>
  <c r="F99" i="162" s="1"/>
  <c r="Z17" i="165"/>
  <c r="Z21" i="165" s="1"/>
  <c r="AH17" i="165"/>
  <c r="AH21" i="165" s="1"/>
  <c r="AG17" i="165"/>
  <c r="AG21" i="165" s="1"/>
  <c r="R17" i="165"/>
  <c r="R21" i="165" s="1"/>
  <c r="V17" i="165"/>
  <c r="V21" i="165" s="1"/>
  <c r="AG24" i="165"/>
  <c r="U17" i="165"/>
  <c r="U3" i="165" s="1"/>
  <c r="AC17" i="165"/>
  <c r="AC21" i="165" s="1"/>
  <c r="M17" i="165"/>
  <c r="M15" i="165" s="1"/>
  <c r="I17" i="165"/>
  <c r="I21" i="165" s="1"/>
  <c r="Q24" i="165"/>
  <c r="O24" i="165"/>
  <c r="X24" i="165"/>
  <c r="AE24" i="165"/>
  <c r="J17" i="165"/>
  <c r="J3" i="165" s="1"/>
  <c r="AB24" i="165"/>
  <c r="X17" i="165"/>
  <c r="X21" i="165" s="1"/>
  <c r="H17" i="165"/>
  <c r="H3" i="165" s="1"/>
  <c r="AA17" i="165"/>
  <c r="AA15" i="165" s="1"/>
  <c r="K17" i="165"/>
  <c r="K15" i="165" s="1"/>
  <c r="AB17" i="165"/>
  <c r="AB3" i="165" s="1"/>
  <c r="L17" i="165"/>
  <c r="L21" i="165" s="1"/>
  <c r="AE17" i="165"/>
  <c r="AE3" i="165" s="1"/>
  <c r="O17" i="165"/>
  <c r="O3" i="165" s="1"/>
  <c r="E61" i="165"/>
  <c r="AF17" i="165"/>
  <c r="AF3" i="165" s="1"/>
  <c r="P17" i="165"/>
  <c r="P3" i="165" s="1"/>
  <c r="AI17" i="165"/>
  <c r="AI3" i="165" s="1"/>
  <c r="S17" i="165"/>
  <c r="S3" i="165" s="1"/>
  <c r="U24" i="165"/>
  <c r="P24" i="165"/>
  <c r="AD24" i="165"/>
  <c r="K24" i="165"/>
  <c r="AA24" i="165"/>
  <c r="Z24" i="165"/>
  <c r="M24" i="165"/>
  <c r="AC24" i="165"/>
  <c r="G24" i="165"/>
  <c r="W24" i="165"/>
  <c r="H24" i="165"/>
  <c r="AF24" i="165"/>
  <c r="V24" i="165"/>
  <c r="T17" i="165"/>
  <c r="T21" i="165" s="1"/>
  <c r="W17" i="165"/>
  <c r="W15" i="165" s="1"/>
  <c r="G17" i="165"/>
  <c r="G15" i="165" s="1"/>
  <c r="Y24" i="165"/>
  <c r="T24" i="165"/>
  <c r="S24" i="165"/>
  <c r="AI24" i="165"/>
  <c r="R24" i="165"/>
  <c r="AH24" i="165"/>
  <c r="G1" i="165" l="1"/>
  <c r="F94" i="162" s="1"/>
  <c r="H5" i="179"/>
  <c r="M1" i="165"/>
  <c r="L94" i="162" s="1"/>
  <c r="N5" i="179"/>
  <c r="AA1" i="165"/>
  <c r="Z94" i="162" s="1"/>
  <c r="AB5" i="179"/>
  <c r="W1" i="165"/>
  <c r="V94" i="162" s="1"/>
  <c r="X5" i="179"/>
  <c r="K1" i="165"/>
  <c r="J94" i="162" s="1"/>
  <c r="L5" i="179"/>
  <c r="F95" i="162"/>
  <c r="F96" i="162" s="1"/>
  <c r="F133" i="162"/>
  <c r="L3" i="165"/>
  <c r="AH3" i="165"/>
  <c r="AC3" i="165"/>
  <c r="X3" i="165"/>
  <c r="V3" i="165"/>
  <c r="M3" i="165"/>
  <c r="K3" i="165"/>
  <c r="AD3" i="165"/>
  <c r="W3" i="165"/>
  <c r="G3" i="165"/>
  <c r="Z3" i="165"/>
  <c r="AG3" i="165"/>
  <c r="Q3" i="165"/>
  <c r="T3" i="165"/>
  <c r="R3" i="165"/>
  <c r="I3" i="165"/>
  <c r="Y3" i="165"/>
  <c r="AA3" i="165"/>
  <c r="P21" i="165"/>
  <c r="AG2" i="165"/>
  <c r="AH19" i="165"/>
  <c r="AI6" i="179" s="1"/>
  <c r="N22" i="165"/>
  <c r="AC15" i="165"/>
  <c r="O22" i="165"/>
  <c r="AD22" i="165"/>
  <c r="AD19" i="165" s="1"/>
  <c r="AE6" i="179" s="1"/>
  <c r="P22" i="165"/>
  <c r="N20" i="165"/>
  <c r="Y20" i="165"/>
  <c r="Y19" i="165" s="1"/>
  <c r="Z6" i="179" s="1"/>
  <c r="J21" i="165"/>
  <c r="J19" i="165" s="1"/>
  <c r="AE2" i="165"/>
  <c r="AB2" i="165"/>
  <c r="S15" i="165"/>
  <c r="H15" i="165"/>
  <c r="V22" i="165"/>
  <c r="AI15" i="165"/>
  <c r="K21" i="165"/>
  <c r="K19" i="165" s="1"/>
  <c r="I2" i="165"/>
  <c r="Z4" i="165"/>
  <c r="R22" i="165"/>
  <c r="R19" i="165" s="1"/>
  <c r="H20" i="165"/>
  <c r="S22" i="165"/>
  <c r="N21" i="165"/>
  <c r="X4" i="165"/>
  <c r="AB15" i="165"/>
  <c r="H22" i="165"/>
  <c r="U21" i="165"/>
  <c r="Z2" i="165"/>
  <c r="X19" i="165"/>
  <c r="Z19" i="165"/>
  <c r="L19" i="165"/>
  <c r="V20" i="165"/>
  <c r="S21" i="165"/>
  <c r="L2" i="165"/>
  <c r="U22" i="165"/>
  <c r="H21" i="165"/>
  <c r="AF22" i="165"/>
  <c r="AB21" i="165"/>
  <c r="AB19" i="165" s="1"/>
  <c r="AC6" i="179" s="1"/>
  <c r="AD2" i="165"/>
  <c r="J4" i="165"/>
  <c r="R2" i="165"/>
  <c r="AE15" i="165"/>
  <c r="AC2" i="165"/>
  <c r="L4" i="165"/>
  <c r="AB4" i="165"/>
  <c r="Q20" i="165"/>
  <c r="Q19" i="165" s="1"/>
  <c r="J2" i="165"/>
  <c r="AH4" i="165"/>
  <c r="X2" i="165"/>
  <c r="U2" i="165"/>
  <c r="G21" i="165"/>
  <c r="G19" i="165" s="1"/>
  <c r="O2" i="165"/>
  <c r="AI4" i="165"/>
  <c r="T4" i="165"/>
  <c r="AH2" i="165"/>
  <c r="O15" i="165"/>
  <c r="O21" i="165"/>
  <c r="AF15" i="165"/>
  <c r="AE21" i="165"/>
  <c r="AE19" i="165" s="1"/>
  <c r="AC20" i="165"/>
  <c r="AC19" i="165" s="1"/>
  <c r="AF21" i="165"/>
  <c r="AI21" i="165"/>
  <c r="AI19" i="165" s="1"/>
  <c r="T19" i="165"/>
  <c r="I19" i="165"/>
  <c r="W21" i="165"/>
  <c r="W19" i="165" s="1"/>
  <c r="AG19" i="165"/>
  <c r="AA21" i="165"/>
  <c r="AA19" i="165" s="1"/>
  <c r="M21" i="165"/>
  <c r="M19" i="165" s="1"/>
  <c r="T15" i="165"/>
  <c r="L15" i="165"/>
  <c r="P15" i="165"/>
  <c r="N15" i="165"/>
  <c r="X15" i="165"/>
  <c r="AH15" i="165"/>
  <c r="V15" i="165"/>
  <c r="AG15" i="165"/>
  <c r="I15" i="165"/>
  <c r="J5" i="179" s="1"/>
  <c r="Z15" i="165"/>
  <c r="AD15" i="165"/>
  <c r="Y15" i="165"/>
  <c r="J15" i="165"/>
  <c r="Q15" i="165"/>
  <c r="R15" i="165"/>
  <c r="U15" i="165"/>
  <c r="F58" i="165"/>
  <c r="F60" i="165" s="1"/>
  <c r="F61" i="165" s="1"/>
  <c r="D20" i="165"/>
  <c r="J1" i="165" l="1"/>
  <c r="I94" i="162" s="1"/>
  <c r="K5" i="179"/>
  <c r="X1" i="165"/>
  <c r="W94" i="162" s="1"/>
  <c r="Y5" i="179"/>
  <c r="W57" i="165"/>
  <c r="W99" i="162" s="1"/>
  <c r="W95" i="162" s="1"/>
  <c r="X6" i="179"/>
  <c r="Y1" i="165"/>
  <c r="X94" i="162" s="1"/>
  <c r="Z5" i="179"/>
  <c r="N1" i="165"/>
  <c r="M94" i="162" s="1"/>
  <c r="O5" i="179"/>
  <c r="I57" i="165"/>
  <c r="I99" i="162" s="1"/>
  <c r="I95" i="162" s="1"/>
  <c r="I96" i="162" s="1"/>
  <c r="J6" i="179"/>
  <c r="O1" i="165"/>
  <c r="N94" i="162" s="1"/>
  <c r="P5" i="179"/>
  <c r="AI1" i="165"/>
  <c r="AH94" i="162" s="1"/>
  <c r="AJ5" i="179"/>
  <c r="AC1" i="165"/>
  <c r="AB94" i="162" s="1"/>
  <c r="AD5" i="179"/>
  <c r="F104" i="162"/>
  <c r="G4" i="179"/>
  <c r="R1" i="165"/>
  <c r="Q94" i="162" s="1"/>
  <c r="S5" i="179"/>
  <c r="AD1" i="165"/>
  <c r="AC94" i="162" s="1"/>
  <c r="AE5" i="179"/>
  <c r="V1" i="165"/>
  <c r="U94" i="162" s="1"/>
  <c r="W5" i="179"/>
  <c r="P1" i="165"/>
  <c r="O94" i="162" s="1"/>
  <c r="G8" i="173" s="1"/>
  <c r="D33" i="177" s="1"/>
  <c r="Q5" i="179"/>
  <c r="AA57" i="165"/>
  <c r="AA99" i="162" s="1"/>
  <c r="AA95" i="162" s="1"/>
  <c r="AB6" i="179"/>
  <c r="T57" i="165"/>
  <c r="T99" i="162" s="1"/>
  <c r="T95" i="162" s="1"/>
  <c r="U6" i="179"/>
  <c r="AE57" i="165"/>
  <c r="AE99" i="162" s="1"/>
  <c r="AE95" i="162" s="1"/>
  <c r="AF6" i="179"/>
  <c r="D19" i="165"/>
  <c r="H6" i="179"/>
  <c r="L57" i="165"/>
  <c r="L99" i="162" s="1"/>
  <c r="L95" i="162" s="1"/>
  <c r="M6" i="179"/>
  <c r="T1" i="165"/>
  <c r="S94" i="162" s="1"/>
  <c r="U5" i="179"/>
  <c r="X57" i="165"/>
  <c r="X99" i="162" s="1"/>
  <c r="X95" i="162" s="1"/>
  <c r="Y6" i="179"/>
  <c r="AB1" i="165"/>
  <c r="AA94" i="162" s="1"/>
  <c r="AC5" i="179"/>
  <c r="K57" i="165"/>
  <c r="K99" i="162" s="1"/>
  <c r="K95" i="162" s="1"/>
  <c r="K96" i="162" s="1"/>
  <c r="L6" i="179"/>
  <c r="S1" i="165"/>
  <c r="R94" i="162" s="1"/>
  <c r="T5" i="179"/>
  <c r="U1" i="165"/>
  <c r="T94" i="162" s="1"/>
  <c r="V5" i="179"/>
  <c r="AG1" i="165"/>
  <c r="AF94" i="162" s="1"/>
  <c r="AH5" i="179"/>
  <c r="M57" i="165"/>
  <c r="M99" i="162" s="1"/>
  <c r="M95" i="162" s="1"/>
  <c r="J110" i="162" s="1"/>
  <c r="N6" i="179"/>
  <c r="AC57" i="165"/>
  <c r="AC99" i="162" s="1"/>
  <c r="AC95" i="162" s="1"/>
  <c r="AD6" i="179"/>
  <c r="R57" i="165"/>
  <c r="R99" i="162" s="1"/>
  <c r="R95" i="162" s="1"/>
  <c r="S6" i="179"/>
  <c r="Q1" i="165"/>
  <c r="P94" i="162" s="1"/>
  <c r="R5" i="179"/>
  <c r="Z1" i="165"/>
  <c r="Y94" i="162" s="1"/>
  <c r="AA5" i="179"/>
  <c r="AH1" i="165"/>
  <c r="AG94" i="162" s="1"/>
  <c r="AI5" i="179"/>
  <c r="L1" i="165"/>
  <c r="K94" i="162" s="1"/>
  <c r="M5" i="179"/>
  <c r="AG57" i="165"/>
  <c r="AG99" i="162" s="1"/>
  <c r="AG95" i="162" s="1"/>
  <c r="AH6" i="179"/>
  <c r="AI57" i="165"/>
  <c r="AI99" i="162" s="1"/>
  <c r="AI95" i="162" s="1"/>
  <c r="AJ6" i="179"/>
  <c r="AF1" i="165"/>
  <c r="AE94" i="162" s="1"/>
  <c r="AG5" i="179"/>
  <c r="Q57" i="165"/>
  <c r="Q99" i="162" s="1"/>
  <c r="Q95" i="162" s="1"/>
  <c r="Q96" i="162" s="1"/>
  <c r="R6" i="179"/>
  <c r="AE1" i="165"/>
  <c r="AD94" i="162" s="1"/>
  <c r="AF5" i="179"/>
  <c r="Z57" i="165"/>
  <c r="Z99" i="162" s="1"/>
  <c r="Z95" i="162" s="1"/>
  <c r="AA6" i="179"/>
  <c r="H1" i="165"/>
  <c r="G94" i="162" s="1"/>
  <c r="I5" i="179"/>
  <c r="J57" i="165"/>
  <c r="J99" i="162" s="1"/>
  <c r="J95" i="162" s="1"/>
  <c r="K6" i="179"/>
  <c r="W133" i="162"/>
  <c r="I1" i="165"/>
  <c r="H94" i="162" s="1"/>
  <c r="P19" i="165"/>
  <c r="S19" i="165"/>
  <c r="N19" i="165"/>
  <c r="O6" i="179" s="1"/>
  <c r="O19" i="165"/>
  <c r="AF19" i="165"/>
  <c r="V19" i="165"/>
  <c r="H19" i="165"/>
  <c r="U19" i="165"/>
  <c r="Y57" i="165"/>
  <c r="Y99" i="162" s="1"/>
  <c r="Y95" i="162" s="1"/>
  <c r="AH57" i="165"/>
  <c r="AH99" i="162" s="1"/>
  <c r="AH95" i="162" s="1"/>
  <c r="AB57" i="165"/>
  <c r="AB99" i="162" s="1"/>
  <c r="AB95" i="162" s="1"/>
  <c r="AD57" i="165"/>
  <c r="AD99" i="162" s="1"/>
  <c r="AD95" i="162" s="1"/>
  <c r="AI58" i="165"/>
  <c r="AI59" i="165" s="1"/>
  <c r="AI60" i="165" s="1"/>
  <c r="W58" i="165"/>
  <c r="W60" i="165" s="1"/>
  <c r="AE58" i="165"/>
  <c r="AE60" i="165" s="1"/>
  <c r="G57" i="165"/>
  <c r="G99" i="162" s="1"/>
  <c r="G95" i="162" s="1"/>
  <c r="G9" i="162"/>
  <c r="J61" i="162"/>
  <c r="L61" i="162" s="1"/>
  <c r="F110" i="162" l="1"/>
  <c r="AE133" i="162"/>
  <c r="Q58" i="165"/>
  <c r="Q60" i="165" s="1"/>
  <c r="AI133" i="162"/>
  <c r="Z58" i="165"/>
  <c r="Z60" i="165" s="1"/>
  <c r="K133" i="162"/>
  <c r="M133" i="162"/>
  <c r="X58" i="165"/>
  <c r="X60" i="165" s="1"/>
  <c r="R58" i="165"/>
  <c r="R60" i="165" s="1"/>
  <c r="L133" i="162"/>
  <c r="J133" i="162"/>
  <c r="I58" i="165"/>
  <c r="I60" i="165" s="1"/>
  <c r="T58" i="165"/>
  <c r="T60" i="165" s="1"/>
  <c r="K58" i="165"/>
  <c r="K60" i="165" s="1"/>
  <c r="Z133" i="162"/>
  <c r="AC133" i="162"/>
  <c r="AA133" i="162"/>
  <c r="I104" i="162"/>
  <c r="J4" i="179"/>
  <c r="S57" i="165"/>
  <c r="S99" i="162" s="1"/>
  <c r="S95" i="162" s="1"/>
  <c r="T6" i="179"/>
  <c r="AC58" i="165"/>
  <c r="AC60" i="165" s="1"/>
  <c r="AF57" i="165"/>
  <c r="AF99" i="162" s="1"/>
  <c r="AF95" i="162" s="1"/>
  <c r="AG6" i="179"/>
  <c r="T133" i="162"/>
  <c r="K104" i="162"/>
  <c r="L4" i="179"/>
  <c r="Q104" i="162"/>
  <c r="R4" i="179"/>
  <c r="I133" i="162"/>
  <c r="AA58" i="165"/>
  <c r="AA60" i="165" s="1"/>
  <c r="L58" i="165"/>
  <c r="L60" i="165" s="1"/>
  <c r="J58" i="165"/>
  <c r="J60" i="165" s="1"/>
  <c r="U57" i="165"/>
  <c r="U99" i="162" s="1"/>
  <c r="U95" i="162" s="1"/>
  <c r="U96" i="162" s="1"/>
  <c r="V6" i="179"/>
  <c r="O57" i="165"/>
  <c r="O99" i="162" s="1"/>
  <c r="O95" i="162" s="1"/>
  <c r="G6" i="173" s="1"/>
  <c r="D31" i="177" s="1"/>
  <c r="P6" i="179"/>
  <c r="AG133" i="162"/>
  <c r="R133" i="162"/>
  <c r="X133" i="162"/>
  <c r="Q133" i="162"/>
  <c r="H57" i="165"/>
  <c r="H99" i="162" s="1"/>
  <c r="H95" i="162" s="1"/>
  <c r="H96" i="162" s="1"/>
  <c r="I6" i="179"/>
  <c r="AG58" i="165"/>
  <c r="AG60" i="165" s="1"/>
  <c r="V57" i="165"/>
  <c r="V99" i="162" s="1"/>
  <c r="V95" i="162" s="1"/>
  <c r="W6" i="179"/>
  <c r="P57" i="165"/>
  <c r="P99" i="162" s="1"/>
  <c r="P95" i="162" s="1"/>
  <c r="Q6" i="179"/>
  <c r="AD133" i="162"/>
  <c r="Y133" i="162"/>
  <c r="G96" i="162"/>
  <c r="G133" i="162"/>
  <c r="AB133" i="162"/>
  <c r="AH133" i="162"/>
  <c r="J68" i="162"/>
  <c r="F111" i="162"/>
  <c r="G21" i="173" s="1"/>
  <c r="D44" i="177" s="1"/>
  <c r="G20" i="173"/>
  <c r="D43" i="177" s="1"/>
  <c r="N57" i="165"/>
  <c r="N99" i="162" s="1"/>
  <c r="N95" i="162" s="1"/>
  <c r="AB58" i="165"/>
  <c r="AB60" i="165" s="1"/>
  <c r="Y58" i="165"/>
  <c r="Y60" i="165" s="1"/>
  <c r="E63" i="165" s="1"/>
  <c r="AH58" i="165"/>
  <c r="AH60" i="165" s="1"/>
  <c r="AD58" i="165"/>
  <c r="AD60" i="165" s="1"/>
  <c r="AJ103" i="162"/>
  <c r="AJ102" i="162"/>
  <c r="M58" i="165"/>
  <c r="M60" i="165" s="1"/>
  <c r="G58" i="165"/>
  <c r="G60" i="165" s="1"/>
  <c r="V58" i="165" l="1"/>
  <c r="V60" i="165" s="1"/>
  <c r="H58" i="165"/>
  <c r="H60" i="165" s="1"/>
  <c r="H61" i="165" s="1"/>
  <c r="S133" i="162"/>
  <c r="H133" i="162"/>
  <c r="U58" i="165"/>
  <c r="U60" i="165" s="1"/>
  <c r="U133" i="162"/>
  <c r="P58" i="165"/>
  <c r="P60" i="165" s="1"/>
  <c r="O58" i="165"/>
  <c r="O60" i="165" s="1"/>
  <c r="V133" i="162"/>
  <c r="S58" i="165"/>
  <c r="S60" i="165" s="1"/>
  <c r="O133" i="162"/>
  <c r="AF133" i="162"/>
  <c r="U104" i="162"/>
  <c r="V4" i="179"/>
  <c r="G104" i="162"/>
  <c r="H4" i="179"/>
  <c r="AF58" i="165"/>
  <c r="AF60" i="165" s="1"/>
  <c r="P133" i="162"/>
  <c r="H104" i="162"/>
  <c r="I4" i="179"/>
  <c r="F69" i="162"/>
  <c r="F68" i="162"/>
  <c r="G110" i="162"/>
  <c r="G68" i="162" s="1"/>
  <c r="N96" i="162"/>
  <c r="N133" i="162"/>
  <c r="G115" i="162"/>
  <c r="I33" i="162" s="1"/>
  <c r="J11" i="179" s="1"/>
  <c r="G111" i="162"/>
  <c r="G69" i="162" s="1"/>
  <c r="N58" i="165"/>
  <c r="N60" i="165" s="1"/>
  <c r="M96" i="162"/>
  <c r="V96" i="162"/>
  <c r="AD96" i="162"/>
  <c r="AB96" i="162"/>
  <c r="AC96" i="162"/>
  <c r="AE96" i="162"/>
  <c r="Y96" i="162"/>
  <c r="AA96" i="162"/>
  <c r="T96" i="162"/>
  <c r="AH96" i="162"/>
  <c r="W96" i="162"/>
  <c r="L96" i="162"/>
  <c r="O96" i="162"/>
  <c r="Z96" i="162"/>
  <c r="X96" i="162"/>
  <c r="AF96" i="162"/>
  <c r="AJ105" i="162"/>
  <c r="L61" i="165"/>
  <c r="M61" i="165"/>
  <c r="G61" i="165"/>
  <c r="K61" i="165" l="1"/>
  <c r="I61" i="165"/>
  <c r="J61" i="165"/>
  <c r="P61" i="165"/>
  <c r="W104" i="162"/>
  <c r="X4" i="179"/>
  <c r="AH104" i="162"/>
  <c r="AI4" i="179"/>
  <c r="AE104" i="162"/>
  <c r="AF4" i="179"/>
  <c r="V104" i="162"/>
  <c r="W4" i="179"/>
  <c r="AF104" i="162"/>
  <c r="AG4" i="179"/>
  <c r="L104" i="162"/>
  <c r="M4" i="179"/>
  <c r="AA104" i="162"/>
  <c r="AB4" i="179"/>
  <c r="AB104" i="162"/>
  <c r="AC4" i="179"/>
  <c r="N104" i="162"/>
  <c r="O4" i="179"/>
  <c r="X104" i="162"/>
  <c r="Y4" i="179"/>
  <c r="Y104" i="162"/>
  <c r="Z4" i="179"/>
  <c r="AD104" i="162"/>
  <c r="AE4" i="179"/>
  <c r="Z104" i="162"/>
  <c r="AA4" i="179"/>
  <c r="O104" i="162"/>
  <c r="P4" i="179"/>
  <c r="T104" i="162"/>
  <c r="U4" i="179"/>
  <c r="AC104" i="162"/>
  <c r="AD4" i="179"/>
  <c r="M104" i="162"/>
  <c r="N4" i="179"/>
  <c r="K33" i="162"/>
  <c r="L11" i="179" s="1"/>
  <c r="AA33" i="162"/>
  <c r="AB11" i="179" s="1"/>
  <c r="G33" i="162"/>
  <c r="H11" i="179" s="1"/>
  <c r="AI33" i="162"/>
  <c r="AJ11" i="179" s="1"/>
  <c r="R33" i="162"/>
  <c r="S11" i="179" s="1"/>
  <c r="AB33" i="162"/>
  <c r="AC11" i="179" s="1"/>
  <c r="N33" i="162"/>
  <c r="O11" i="179" s="1"/>
  <c r="L33" i="162"/>
  <c r="M11" i="179" s="1"/>
  <c r="AC33" i="162"/>
  <c r="AD11" i="179" s="1"/>
  <c r="AH33" i="162"/>
  <c r="AI11" i="179" s="1"/>
  <c r="P33" i="162"/>
  <c r="Q11" i="179" s="1"/>
  <c r="AF33" i="162"/>
  <c r="AG11" i="179" s="1"/>
  <c r="V33" i="162"/>
  <c r="W11" i="179" s="1"/>
  <c r="X33" i="162"/>
  <c r="Y11" i="179" s="1"/>
  <c r="Y33" i="162"/>
  <c r="Z11" i="179" s="1"/>
  <c r="S33" i="162"/>
  <c r="T11" i="179" s="1"/>
  <c r="AG33" i="162"/>
  <c r="AH11" i="179" s="1"/>
  <c r="G73" i="162"/>
  <c r="Z33" i="162"/>
  <c r="AA11" i="179" s="1"/>
  <c r="AE33" i="162"/>
  <c r="AF11" i="179" s="1"/>
  <c r="W33" i="162"/>
  <c r="X11" i="179" s="1"/>
  <c r="O33" i="162"/>
  <c r="P11" i="179" s="1"/>
  <c r="J33" i="162"/>
  <c r="K11" i="179" s="1"/>
  <c r="AD33" i="162"/>
  <c r="AE11" i="179" s="1"/>
  <c r="T33" i="162"/>
  <c r="U11" i="179" s="1"/>
  <c r="Q33" i="162"/>
  <c r="R11" i="179" s="1"/>
  <c r="U33" i="162"/>
  <c r="V11" i="179" s="1"/>
  <c r="M33" i="162"/>
  <c r="N11" i="179" s="1"/>
  <c r="H33" i="162"/>
  <c r="I11" i="179" s="1"/>
  <c r="F33" i="162"/>
  <c r="G11" i="179" s="1"/>
  <c r="G113" i="162"/>
  <c r="I26" i="162" s="1"/>
  <c r="T61" i="165"/>
  <c r="AG61" i="165"/>
  <c r="X61" i="165"/>
  <c r="S61" i="165"/>
  <c r="U61" i="165"/>
  <c r="AC61" i="165"/>
  <c r="Z61" i="165"/>
  <c r="AE61" i="165"/>
  <c r="AF61" i="165"/>
  <c r="V61" i="165"/>
  <c r="Q61" i="165"/>
  <c r="AI61" i="165"/>
  <c r="N61" i="165"/>
  <c r="O61" i="165"/>
  <c r="AH61" i="165"/>
  <c r="W61" i="165"/>
  <c r="Y61" i="165"/>
  <c r="AB61" i="165"/>
  <c r="AD61" i="165"/>
  <c r="AA61" i="165"/>
  <c r="R61" i="165"/>
  <c r="E62" i="165" s="1"/>
  <c r="G7" i="173"/>
  <c r="D32" i="177" s="1"/>
  <c r="R96" i="162"/>
  <c r="P96" i="162"/>
  <c r="S96" i="162"/>
  <c r="AG96" i="162"/>
  <c r="AI96" i="162"/>
  <c r="J96" i="162"/>
  <c r="AG104" i="162" l="1"/>
  <c r="AH4" i="179"/>
  <c r="J104" i="162"/>
  <c r="K4" i="179"/>
  <c r="P104" i="162"/>
  <c r="Q4" i="179"/>
  <c r="AI104" i="162"/>
  <c r="AJ4" i="179"/>
  <c r="R104" i="162"/>
  <c r="S4" i="179"/>
  <c r="S104" i="162"/>
  <c r="T4" i="179"/>
  <c r="I43" i="162"/>
  <c r="J15" i="179" s="1"/>
  <c r="J10" i="179"/>
  <c r="O26" i="162"/>
  <c r="G71" i="162"/>
  <c r="V26" i="162"/>
  <c r="N26" i="162"/>
  <c r="F26" i="162"/>
  <c r="AI26" i="162"/>
  <c r="AE26" i="162"/>
  <c r="H26" i="162"/>
  <c r="AB26" i="162"/>
  <c r="L26" i="162"/>
  <c r="W26" i="162"/>
  <c r="U26" i="162"/>
  <c r="Q26" i="162"/>
  <c r="Z26" i="162"/>
  <c r="Y26" i="162"/>
  <c r="J26" i="162"/>
  <c r="X26" i="162"/>
  <c r="AH26" i="162"/>
  <c r="AD26" i="162"/>
  <c r="G26" i="162"/>
  <c r="H10" i="179" s="1"/>
  <c r="AA26" i="162"/>
  <c r="AF26" i="162"/>
  <c r="K26" i="162"/>
  <c r="R26" i="162"/>
  <c r="P26" i="162"/>
  <c r="Q10" i="179" s="1"/>
  <c r="AG26" i="162"/>
  <c r="AC26" i="162"/>
  <c r="T26" i="162"/>
  <c r="M26" i="162"/>
  <c r="S26" i="162"/>
  <c r="H13" i="172"/>
  <c r="L13" i="172"/>
  <c r="J13" i="172"/>
  <c r="Z13" i="172"/>
  <c r="I13" i="172"/>
  <c r="N13" i="172"/>
  <c r="T13" i="172"/>
  <c r="Y13" i="172"/>
  <c r="AD13" i="172"/>
  <c r="M13" i="172"/>
  <c r="R13" i="172"/>
  <c r="X13" i="172"/>
  <c r="AC13" i="172"/>
  <c r="AH13" i="172"/>
  <c r="Q13" i="172"/>
  <c r="V13" i="172"/>
  <c r="AB13" i="172"/>
  <c r="AG13" i="172"/>
  <c r="P13" i="172"/>
  <c r="U13" i="172"/>
  <c r="AF13" i="172"/>
  <c r="K13" i="172"/>
  <c r="W13" i="172"/>
  <c r="AA13" i="172"/>
  <c r="AE13" i="172"/>
  <c r="O13" i="172"/>
  <c r="S13" i="172"/>
  <c r="B33" i="162"/>
  <c r="D30" i="162"/>
  <c r="D29" i="162"/>
  <c r="D28" i="162"/>
  <c r="D27" i="162"/>
  <c r="X43" i="162" l="1"/>
  <c r="Y15" i="179" s="1"/>
  <c r="Y10" i="179"/>
  <c r="AB43" i="162"/>
  <c r="AC15" i="179" s="1"/>
  <c r="AC10" i="179"/>
  <c r="O43" i="162"/>
  <c r="P15" i="179" s="1"/>
  <c r="P10" i="179"/>
  <c r="T43" i="162"/>
  <c r="U15" i="179" s="1"/>
  <c r="U10" i="179"/>
  <c r="R43" i="162"/>
  <c r="S15" i="179" s="1"/>
  <c r="S10" i="179"/>
  <c r="J43" i="162"/>
  <c r="K15" i="179" s="1"/>
  <c r="K10" i="179"/>
  <c r="S43" i="162"/>
  <c r="T15" i="179" s="1"/>
  <c r="T10" i="179"/>
  <c r="AG43" i="162"/>
  <c r="AH15" i="179" s="1"/>
  <c r="AH10" i="179"/>
  <c r="AF43" i="162"/>
  <c r="AG15" i="179" s="1"/>
  <c r="AG10" i="179"/>
  <c r="AH43" i="162"/>
  <c r="AI15" i="179" s="1"/>
  <c r="AI10" i="179"/>
  <c r="Z43" i="162"/>
  <c r="AA15" i="179" s="1"/>
  <c r="AA10" i="179"/>
  <c r="L43" i="162"/>
  <c r="M15" i="179" s="1"/>
  <c r="M10" i="179"/>
  <c r="AI43" i="162"/>
  <c r="AJ15" i="179" s="1"/>
  <c r="AJ10" i="179"/>
  <c r="M43" i="162"/>
  <c r="N15" i="179" s="1"/>
  <c r="N10" i="179"/>
  <c r="AA43" i="162"/>
  <c r="AB15" i="179" s="1"/>
  <c r="AB10" i="179"/>
  <c r="Q43" i="162"/>
  <c r="R15" i="179" s="1"/>
  <c r="R10" i="179"/>
  <c r="F43" i="162"/>
  <c r="G15" i="179" s="1"/>
  <c r="G10" i="179"/>
  <c r="U43" i="162"/>
  <c r="V15" i="179" s="1"/>
  <c r="V10" i="179"/>
  <c r="H43" i="162"/>
  <c r="I15" i="179" s="1"/>
  <c r="I10" i="179"/>
  <c r="N43" i="162"/>
  <c r="O15" i="179" s="1"/>
  <c r="O10" i="179"/>
  <c r="AC43" i="162"/>
  <c r="AD15" i="179" s="1"/>
  <c r="AD10" i="179"/>
  <c r="K43" i="162"/>
  <c r="L15" i="179" s="1"/>
  <c r="L10" i="179"/>
  <c r="AD43" i="162"/>
  <c r="AE15" i="179" s="1"/>
  <c r="AE10" i="179"/>
  <c r="Y43" i="162"/>
  <c r="Z15" i="179" s="1"/>
  <c r="Z10" i="179"/>
  <c r="W43" i="162"/>
  <c r="X15" i="179" s="1"/>
  <c r="X10" i="179"/>
  <c r="AE43" i="162"/>
  <c r="AF15" i="179" s="1"/>
  <c r="AF10" i="179"/>
  <c r="V43" i="162"/>
  <c r="W15" i="179" s="1"/>
  <c r="W10" i="179"/>
  <c r="G43" i="162"/>
  <c r="P108" i="162"/>
  <c r="G10" i="173" s="1"/>
  <c r="P43" i="162"/>
  <c r="Q15" i="179" s="1"/>
  <c r="D31" i="162"/>
  <c r="F20" i="162" l="1"/>
  <c r="G7" i="179" s="1"/>
  <c r="G23" i="179" s="1"/>
  <c r="G20" i="162"/>
  <c r="H7" i="179" s="1"/>
  <c r="H23" i="179" s="1"/>
  <c r="H15" i="179"/>
  <c r="J10" i="173"/>
  <c r="K10" i="173" s="1"/>
  <c r="D35" i="177"/>
  <c r="D32" i="162"/>
  <c r="AI38" i="162" l="1"/>
  <c r="AH38" i="162"/>
  <c r="AG38" i="162"/>
  <c r="AF38" i="162"/>
  <c r="AE38" i="162"/>
  <c r="AD38" i="162"/>
  <c r="AC38" i="162"/>
  <c r="AB38" i="162"/>
  <c r="AA38" i="162"/>
  <c r="Z38" i="162"/>
  <c r="Y38" i="162"/>
  <c r="X38" i="162"/>
  <c r="W38" i="162"/>
  <c r="V38" i="162"/>
  <c r="U38" i="162"/>
  <c r="T38" i="162"/>
  <c r="S38" i="162"/>
  <c r="R38" i="162"/>
  <c r="Q38" i="162"/>
  <c r="P38" i="162"/>
  <c r="O38" i="162"/>
  <c r="N38" i="162"/>
  <c r="M38" i="162"/>
  <c r="L38" i="162"/>
  <c r="I38" i="162"/>
  <c r="D34" i="162"/>
  <c r="F56" i="162"/>
  <c r="F97" i="162" s="1"/>
  <c r="F105" i="162" s="1"/>
  <c r="G24" i="179" s="1"/>
  <c r="E20" i="162"/>
  <c r="E56" i="162" s="1"/>
  <c r="E97" i="162" s="1"/>
  <c r="E105" i="162" s="1"/>
  <c r="AI9" i="162"/>
  <c r="AI13" i="162" s="1"/>
  <c r="AH9" i="162"/>
  <c r="AH14" i="162" s="1"/>
  <c r="AH45" i="162" s="1"/>
  <c r="AG9" i="162"/>
  <c r="AG15" i="162" s="1"/>
  <c r="AG46" i="162" s="1"/>
  <c r="AF9" i="162"/>
  <c r="AF13" i="162" s="1"/>
  <c r="AE9" i="162"/>
  <c r="AE13" i="162" s="1"/>
  <c r="AD9" i="162"/>
  <c r="AD14" i="162" s="1"/>
  <c r="AD45" i="162" s="1"/>
  <c r="AC9" i="162"/>
  <c r="AC15" i="162" s="1"/>
  <c r="AC46" i="162" s="1"/>
  <c r="AB9" i="162"/>
  <c r="AB15" i="162" s="1"/>
  <c r="AB46" i="162" s="1"/>
  <c r="AA9" i="162"/>
  <c r="AA13" i="162" s="1"/>
  <c r="Z9" i="162"/>
  <c r="Z14" i="162" s="1"/>
  <c r="Z45" i="162" s="1"/>
  <c r="Y9" i="162"/>
  <c r="Y15" i="162" s="1"/>
  <c r="Y46" i="162" s="1"/>
  <c r="X9" i="162"/>
  <c r="X13" i="162" s="1"/>
  <c r="W9" i="162"/>
  <c r="W13" i="162" s="1"/>
  <c r="V9" i="162"/>
  <c r="V14" i="162" s="1"/>
  <c r="V45" i="162" s="1"/>
  <c r="U9" i="162"/>
  <c r="U15" i="162" s="1"/>
  <c r="U46" i="162" s="1"/>
  <c r="T9" i="162"/>
  <c r="T15" i="162" s="1"/>
  <c r="T46" i="162" s="1"/>
  <c r="S9" i="162"/>
  <c r="S13" i="162" s="1"/>
  <c r="R9" i="162"/>
  <c r="R14" i="162" s="1"/>
  <c r="R45" i="162" s="1"/>
  <c r="Q9" i="162"/>
  <c r="Q15" i="162" s="1"/>
  <c r="Q46" i="162" s="1"/>
  <c r="P9" i="162"/>
  <c r="P13" i="162" s="1"/>
  <c r="O9" i="162"/>
  <c r="O13" i="162" s="1"/>
  <c r="N9" i="162"/>
  <c r="N14" i="162" s="1"/>
  <c r="N45" i="162" s="1"/>
  <c r="M9" i="162"/>
  <c r="M15" i="162" s="1"/>
  <c r="M46" i="162" s="1"/>
  <c r="L9" i="162"/>
  <c r="L15" i="162" s="1"/>
  <c r="L46" i="162" s="1"/>
  <c r="K9" i="162"/>
  <c r="K13" i="162" s="1"/>
  <c r="J9" i="162"/>
  <c r="J14" i="162" s="1"/>
  <c r="J45" i="162" s="1"/>
  <c r="I9" i="162"/>
  <c r="I15" i="162" s="1"/>
  <c r="I46" i="162" s="1"/>
  <c r="H9" i="162"/>
  <c r="H13" i="162" s="1"/>
  <c r="G11" i="162"/>
  <c r="G17" i="162" s="1"/>
  <c r="E106" i="162" l="1"/>
  <c r="F106" i="162"/>
  <c r="D16" i="172"/>
  <c r="E57" i="162"/>
  <c r="E58" i="162" s="1"/>
  <c r="E59" i="162" s="1"/>
  <c r="F57" i="162"/>
  <c r="F58" i="162" s="1"/>
  <c r="F59" i="162" s="1"/>
  <c r="G13" i="162"/>
  <c r="G18" i="162" s="1"/>
  <c r="U13" i="162"/>
  <c r="U18" i="162" s="1"/>
  <c r="U3" i="162" s="1"/>
  <c r="G15" i="162"/>
  <c r="AC11" i="162"/>
  <c r="AC17" i="162" s="1"/>
  <c r="N11" i="162"/>
  <c r="N17" i="162" s="1"/>
  <c r="N15" i="162"/>
  <c r="N46" i="162" s="1"/>
  <c r="M11" i="162"/>
  <c r="M17" i="162" s="1"/>
  <c r="Y11" i="162"/>
  <c r="Y17" i="162" s="1"/>
  <c r="AH11" i="162"/>
  <c r="AH17" i="162" s="1"/>
  <c r="AH2" i="162" s="1"/>
  <c r="Q13" i="162"/>
  <c r="Q18" i="162" s="1"/>
  <c r="Q3" i="162" s="1"/>
  <c r="R11" i="162"/>
  <c r="R17" i="162" s="1"/>
  <c r="AG11" i="162"/>
  <c r="M13" i="162"/>
  <c r="M18" i="162" s="1"/>
  <c r="M3" i="162" s="1"/>
  <c r="AG13" i="162"/>
  <c r="AG18" i="162" s="1"/>
  <c r="AG3" i="162" s="1"/>
  <c r="AD15" i="162"/>
  <c r="AD46" i="162" s="1"/>
  <c r="Q11" i="162"/>
  <c r="AD11" i="162"/>
  <c r="AD17" i="162" s="1"/>
  <c r="AC13" i="162"/>
  <c r="AC18" i="162" s="1"/>
  <c r="AC3" i="162" s="1"/>
  <c r="V15" i="162"/>
  <c r="V46" i="162" s="1"/>
  <c r="W11" i="162"/>
  <c r="W17" i="162" s="1"/>
  <c r="N12" i="162"/>
  <c r="K11" i="162"/>
  <c r="K12" i="162" s="1"/>
  <c r="V11" i="162"/>
  <c r="AA11" i="162"/>
  <c r="AA12" i="162" s="1"/>
  <c r="K15" i="162"/>
  <c r="K46" i="162" s="1"/>
  <c r="S15" i="162"/>
  <c r="S46" i="162" s="1"/>
  <c r="AA15" i="162"/>
  <c r="AA46" i="162" s="1"/>
  <c r="AI15" i="162"/>
  <c r="AI46" i="162" s="1"/>
  <c r="J11" i="162"/>
  <c r="O11" i="162"/>
  <c r="O17" i="162" s="1"/>
  <c r="U11" i="162"/>
  <c r="Z11" i="162"/>
  <c r="AE11" i="162"/>
  <c r="AE17" i="162" s="1"/>
  <c r="Y13" i="162"/>
  <c r="Y18" i="162" s="1"/>
  <c r="Y3" i="162" s="1"/>
  <c r="J15" i="162"/>
  <c r="R15" i="162"/>
  <c r="R46" i="162" s="1"/>
  <c r="Z15" i="162"/>
  <c r="Z46" i="162" s="1"/>
  <c r="AH15" i="162"/>
  <c r="AH46" i="162" s="1"/>
  <c r="S11" i="162"/>
  <c r="S12" i="162" s="1"/>
  <c r="AI11" i="162"/>
  <c r="AI12" i="162" s="1"/>
  <c r="O15" i="162"/>
  <c r="O46" i="162" s="1"/>
  <c r="W15" i="162"/>
  <c r="W46" i="162" s="1"/>
  <c r="AE15" i="162"/>
  <c r="AE46" i="162" s="1"/>
  <c r="I11" i="162"/>
  <c r="I13" i="162"/>
  <c r="I18" i="162" s="1"/>
  <c r="I3" i="162" s="1"/>
  <c r="AF18" i="162"/>
  <c r="AF3" i="162" s="1"/>
  <c r="K18" i="162"/>
  <c r="K3" i="162" s="1"/>
  <c r="S18" i="162"/>
  <c r="S3" i="162" s="1"/>
  <c r="W18" i="162"/>
  <c r="W3" i="162" s="1"/>
  <c r="AA18" i="162"/>
  <c r="AA3" i="162" s="1"/>
  <c r="AE18" i="162"/>
  <c r="AE3" i="162" s="1"/>
  <c r="H18" i="162"/>
  <c r="H3" i="162" s="1"/>
  <c r="P18" i="162"/>
  <c r="P3" i="162" s="1"/>
  <c r="X18" i="162"/>
  <c r="X3" i="162" s="1"/>
  <c r="O18" i="162"/>
  <c r="O3" i="162" s="1"/>
  <c r="AI18" i="162"/>
  <c r="AI3" i="162" s="1"/>
  <c r="L14" i="162"/>
  <c r="L45" i="162" s="1"/>
  <c r="T14" i="162"/>
  <c r="T45" i="162" s="1"/>
  <c r="AB14" i="162"/>
  <c r="AB45" i="162" s="1"/>
  <c r="L13" i="162"/>
  <c r="T13" i="162"/>
  <c r="AB13" i="162"/>
  <c r="G14" i="162"/>
  <c r="O14" i="162"/>
  <c r="O45" i="162" s="1"/>
  <c r="W14" i="162"/>
  <c r="W45" i="162" s="1"/>
  <c r="AE14" i="162"/>
  <c r="AE45" i="162" s="1"/>
  <c r="D17" i="162"/>
  <c r="G2" i="162"/>
  <c r="H11" i="162"/>
  <c r="L11" i="162"/>
  <c r="P11" i="162"/>
  <c r="T11" i="162"/>
  <c r="X11" i="162"/>
  <c r="AB11" i="162"/>
  <c r="AF11" i="162"/>
  <c r="G12" i="162"/>
  <c r="J13" i="162"/>
  <c r="N13" i="162"/>
  <c r="R13" i="162"/>
  <c r="V13" i="162"/>
  <c r="Z13" i="162"/>
  <c r="AD13" i="162"/>
  <c r="AH13" i="162"/>
  <c r="I14" i="162"/>
  <c r="I45" i="162" s="1"/>
  <c r="M14" i="162"/>
  <c r="M45" i="162" s="1"/>
  <c r="Q14" i="162"/>
  <c r="Q45" i="162" s="1"/>
  <c r="U14" i="162"/>
  <c r="U45" i="162" s="1"/>
  <c r="Y14" i="162"/>
  <c r="Y45" i="162" s="1"/>
  <c r="AC14" i="162"/>
  <c r="AC45" i="162" s="1"/>
  <c r="AG14" i="162"/>
  <c r="AG45" i="162" s="1"/>
  <c r="H15" i="162"/>
  <c r="H46" i="162" s="1"/>
  <c r="P15" i="162"/>
  <c r="P46" i="162" s="1"/>
  <c r="X15" i="162"/>
  <c r="X46" i="162" s="1"/>
  <c r="AF15" i="162"/>
  <c r="AF46" i="162" s="1"/>
  <c r="H14" i="162"/>
  <c r="H45" i="162" s="1"/>
  <c r="P14" i="162"/>
  <c r="P45" i="162" s="1"/>
  <c r="X14" i="162"/>
  <c r="X45" i="162" s="1"/>
  <c r="AF14" i="162"/>
  <c r="AF45" i="162" s="1"/>
  <c r="K14" i="162"/>
  <c r="K45" i="162" s="1"/>
  <c r="S14" i="162"/>
  <c r="S45" i="162" s="1"/>
  <c r="AA14" i="162"/>
  <c r="AA45" i="162" s="1"/>
  <c r="AI14" i="162"/>
  <c r="AI45" i="162" s="1"/>
  <c r="E107" i="162" l="1"/>
  <c r="F26" i="179" s="1"/>
  <c r="F25" i="179"/>
  <c r="F107" i="162"/>
  <c r="G26" i="179" s="1"/>
  <c r="G25" i="179"/>
  <c r="D17" i="172"/>
  <c r="H11" i="175" s="1"/>
  <c r="H10" i="175"/>
  <c r="E16" i="172"/>
  <c r="I10" i="175" s="1"/>
  <c r="F60" i="162"/>
  <c r="Y20" i="162"/>
  <c r="Z7" i="179" s="1"/>
  <c r="Z23" i="179" s="1"/>
  <c r="X20" i="162"/>
  <c r="Y7" i="179" s="1"/>
  <c r="Y23" i="179" s="1"/>
  <c r="AC20" i="162"/>
  <c r="AD7" i="179" s="1"/>
  <c r="AD23" i="179" s="1"/>
  <c r="AF20" i="162"/>
  <c r="AG7" i="179" s="1"/>
  <c r="AG23" i="179" s="1"/>
  <c r="Q20" i="162"/>
  <c r="R7" i="179" s="1"/>
  <c r="R23" i="179" s="1"/>
  <c r="AH20" i="162"/>
  <c r="AI7" i="179" s="1"/>
  <c r="AI23" i="179" s="1"/>
  <c r="N20" i="162"/>
  <c r="O7" i="179" s="1"/>
  <c r="O23" i="179" s="1"/>
  <c r="I20" i="162"/>
  <c r="J7" i="179" s="1"/>
  <c r="J23" i="179" s="1"/>
  <c r="R20" i="162"/>
  <c r="S7" i="179" s="1"/>
  <c r="S23" i="179" s="1"/>
  <c r="M20" i="162"/>
  <c r="N7" i="179" s="1"/>
  <c r="N23" i="179" s="1"/>
  <c r="L20" i="162"/>
  <c r="M7" i="179" s="1"/>
  <c r="M23" i="179" s="1"/>
  <c r="Z20" i="162"/>
  <c r="AA7" i="179" s="1"/>
  <c r="AA23" i="179" s="1"/>
  <c r="AG20" i="162"/>
  <c r="AH7" i="179" s="1"/>
  <c r="AH23" i="179" s="1"/>
  <c r="T20" i="162"/>
  <c r="U7" i="179" s="1"/>
  <c r="U23" i="179" s="1"/>
  <c r="U20" i="162"/>
  <c r="V7" i="179" s="1"/>
  <c r="V23" i="179" s="1"/>
  <c r="AB20" i="162"/>
  <c r="AC7" i="179" s="1"/>
  <c r="AC23" i="179" s="1"/>
  <c r="V20" i="162"/>
  <c r="W7" i="179" s="1"/>
  <c r="W23" i="179" s="1"/>
  <c r="AD20" i="162"/>
  <c r="AE7" i="179" s="1"/>
  <c r="AE23" i="179" s="1"/>
  <c r="H20" i="162"/>
  <c r="I7" i="179" s="1"/>
  <c r="I23" i="179" s="1"/>
  <c r="P20" i="162"/>
  <c r="Q7" i="179" s="1"/>
  <c r="Q23" i="179" s="1"/>
  <c r="J46" i="162"/>
  <c r="J20" i="162" s="1"/>
  <c r="K7" i="179" s="1"/>
  <c r="K23" i="179" s="1"/>
  <c r="AI20" i="162"/>
  <c r="AJ7" i="179" s="1"/>
  <c r="AJ23" i="179" s="1"/>
  <c r="AA20" i="162"/>
  <c r="AB7" i="179" s="1"/>
  <c r="AB23" i="179" s="1"/>
  <c r="K20" i="162"/>
  <c r="L7" i="179" s="1"/>
  <c r="L23" i="179" s="1"/>
  <c r="S20" i="162"/>
  <c r="T7" i="179" s="1"/>
  <c r="T23" i="179" s="1"/>
  <c r="AE20" i="162"/>
  <c r="AF7" i="179" s="1"/>
  <c r="AF23" i="179" s="1"/>
  <c r="O20" i="162"/>
  <c r="P7" i="179" s="1"/>
  <c r="P23" i="179" s="1"/>
  <c r="W20" i="162"/>
  <c r="X7" i="179" s="1"/>
  <c r="X23" i="179" s="1"/>
  <c r="G3" i="162"/>
  <c r="G16" i="162"/>
  <c r="K17" i="162"/>
  <c r="K2" i="162" s="1"/>
  <c r="M2" i="162"/>
  <c r="M12" i="162"/>
  <c r="Y2" i="162"/>
  <c r="O2" i="162"/>
  <c r="W2" i="162"/>
  <c r="Y12" i="162"/>
  <c r="R12" i="162"/>
  <c r="N2" i="162"/>
  <c r="S17" i="162"/>
  <c r="S2" i="162" s="1"/>
  <c r="R2" i="162"/>
  <c r="D18" i="162"/>
  <c r="AC2" i="162"/>
  <c r="AC12" i="162"/>
  <c r="W16" i="162"/>
  <c r="W1" i="162" s="1"/>
  <c r="Y16" i="162"/>
  <c r="M16" i="162"/>
  <c r="AH12" i="162"/>
  <c r="O16" i="162"/>
  <c r="O1" i="162" s="1"/>
  <c r="O12" i="162"/>
  <c r="AA17" i="162"/>
  <c r="AA2" i="162" s="1"/>
  <c r="AD12" i="162"/>
  <c r="W12" i="162"/>
  <c r="AD2" i="162"/>
  <c r="AC16" i="162"/>
  <c r="AC1" i="162" s="1"/>
  <c r="Q17" i="162"/>
  <c r="Q16" i="162" s="1"/>
  <c r="Q12" i="162"/>
  <c r="AG17" i="162"/>
  <c r="AG12" i="162"/>
  <c r="U17" i="162"/>
  <c r="U16" i="162" s="1"/>
  <c r="U12" i="162"/>
  <c r="Z17" i="162"/>
  <c r="Z2" i="162" s="1"/>
  <c r="Z12" i="162"/>
  <c r="AE12" i="162"/>
  <c r="AE2" i="162"/>
  <c r="AI17" i="162"/>
  <c r="AI16" i="162" s="1"/>
  <c r="J17" i="162"/>
  <c r="J2" i="162" s="1"/>
  <c r="J12" i="162"/>
  <c r="V17" i="162"/>
  <c r="V2" i="162" s="1"/>
  <c r="V12" i="162"/>
  <c r="I17" i="162"/>
  <c r="I16" i="162" s="1"/>
  <c r="I12" i="162"/>
  <c r="R18" i="162"/>
  <c r="R16" i="162" s="1"/>
  <c r="L12" i="162"/>
  <c r="L17" i="162"/>
  <c r="L2" i="162" s="1"/>
  <c r="V18" i="162"/>
  <c r="AF12" i="162"/>
  <c r="AF17" i="162"/>
  <c r="AF16" i="162" s="1"/>
  <c r="T18" i="162"/>
  <c r="T3" i="162" s="1"/>
  <c r="Z18" i="162"/>
  <c r="J18" i="162"/>
  <c r="T12" i="162"/>
  <c r="T17" i="162"/>
  <c r="T2" i="162" s="1"/>
  <c r="AD18" i="162"/>
  <c r="AD16" i="162" s="1"/>
  <c r="N18" i="162"/>
  <c r="N16" i="162" s="1"/>
  <c r="X12" i="162"/>
  <c r="X17" i="162"/>
  <c r="X16" i="162" s="1"/>
  <c r="H12" i="162"/>
  <c r="H17" i="162"/>
  <c r="H16" i="162" s="1"/>
  <c r="AE16" i="162"/>
  <c r="AH18" i="162"/>
  <c r="AH16" i="162" s="1"/>
  <c r="AB12" i="162"/>
  <c r="AB17" i="162"/>
  <c r="AB2" i="162" s="1"/>
  <c r="L18" i="162"/>
  <c r="L3" i="162" s="1"/>
  <c r="P12" i="162"/>
  <c r="P17" i="162"/>
  <c r="P16" i="162" s="1"/>
  <c r="AB18" i="162"/>
  <c r="AB3" i="162" s="1"/>
  <c r="E60" i="162"/>
  <c r="E17" i="172" l="1"/>
  <c r="I11" i="175" s="1"/>
  <c r="O56" i="162"/>
  <c r="O108" i="162" s="1"/>
  <c r="G9" i="173" s="1"/>
  <c r="Y56" i="162"/>
  <c r="Y57" i="162" s="1"/>
  <c r="Y59" i="162" s="1"/>
  <c r="E62" i="162" s="1"/>
  <c r="I56" i="162"/>
  <c r="I57" i="162" s="1"/>
  <c r="I59" i="162" s="1"/>
  <c r="U56" i="162"/>
  <c r="U57" i="162" s="1"/>
  <c r="U59" i="162" s="1"/>
  <c r="Q56" i="162"/>
  <c r="Q97" i="162" s="1"/>
  <c r="Q105" i="162" s="1"/>
  <c r="R24" i="179" s="1"/>
  <c r="G56" i="162"/>
  <c r="G97" i="162" s="1"/>
  <c r="M1" i="162"/>
  <c r="M56" i="162"/>
  <c r="M97" i="162" s="1"/>
  <c r="M105" i="162" s="1"/>
  <c r="N24" i="179" s="1"/>
  <c r="Y1" i="162"/>
  <c r="D16" i="162"/>
  <c r="G1" i="162"/>
  <c r="K16" i="162"/>
  <c r="AC56" i="162"/>
  <c r="W56" i="162"/>
  <c r="H2" i="162"/>
  <c r="Z16" i="162"/>
  <c r="Z56" i="162" s="1"/>
  <c r="S16" i="162"/>
  <c r="S1" i="162" s="1"/>
  <c r="Q1" i="162"/>
  <c r="J16" i="162"/>
  <c r="Q2" i="162"/>
  <c r="AG2" i="162"/>
  <c r="AG16" i="162"/>
  <c r="AA16" i="162"/>
  <c r="AA56" i="162" s="1"/>
  <c r="V16" i="162"/>
  <c r="V1" i="162" s="1"/>
  <c r="I1" i="162"/>
  <c r="J3" i="162"/>
  <c r="R3" i="162"/>
  <c r="AI2" i="162"/>
  <c r="U1" i="162"/>
  <c r="AH3" i="162"/>
  <c r="U2" i="162"/>
  <c r="I2" i="162"/>
  <c r="P2" i="162"/>
  <c r="X56" i="162"/>
  <c r="X1" i="162"/>
  <c r="AF56" i="162"/>
  <c r="AF97" i="162" s="1"/>
  <c r="AF105" i="162" s="1"/>
  <c r="AG24" i="179" s="1"/>
  <c r="AF1" i="162"/>
  <c r="AI56" i="162"/>
  <c r="AI97" i="162" s="1"/>
  <c r="AI105" i="162" s="1"/>
  <c r="AJ24" i="179" s="1"/>
  <c r="AI1" i="162"/>
  <c r="P56" i="162"/>
  <c r="P1" i="162"/>
  <c r="AE56" i="162"/>
  <c r="AE97" i="162" s="1"/>
  <c r="AE105" i="162" s="1"/>
  <c r="AF24" i="179" s="1"/>
  <c r="AE1" i="162"/>
  <c r="AD56" i="162"/>
  <c r="AD97" i="162" s="1"/>
  <c r="AD105" i="162" s="1"/>
  <c r="AE24" i="179" s="1"/>
  <c r="AD1" i="162"/>
  <c r="AH56" i="162"/>
  <c r="AH97" i="162" s="1"/>
  <c r="AH105" i="162" s="1"/>
  <c r="AI24" i="179" s="1"/>
  <c r="AH1" i="162"/>
  <c r="H56" i="162"/>
  <c r="H1" i="162"/>
  <c r="R56" i="162"/>
  <c r="R1" i="162"/>
  <c r="N3" i="162"/>
  <c r="V3" i="162"/>
  <c r="AB16" i="162"/>
  <c r="X2" i="162"/>
  <c r="AD3" i="162"/>
  <c r="T16" i="162"/>
  <c r="AF2" i="162"/>
  <c r="L16" i="162"/>
  <c r="L56" i="162" s="1"/>
  <c r="N56" i="162"/>
  <c r="N1" i="162"/>
  <c r="Z3" i="162"/>
  <c r="G19" i="173" l="1"/>
  <c r="D42" i="177" s="1"/>
  <c r="D34" i="177"/>
  <c r="Q108" i="162"/>
  <c r="G105" i="162"/>
  <c r="H24" i="179" s="1"/>
  <c r="U97" i="162"/>
  <c r="U105" i="162" s="1"/>
  <c r="V24" i="179" s="1"/>
  <c r="I97" i="162"/>
  <c r="I105" i="162" s="1"/>
  <c r="J24" i="179" s="1"/>
  <c r="Y97" i="162"/>
  <c r="Y105" i="162" s="1"/>
  <c r="Z24" i="179" s="1"/>
  <c r="Q57" i="162"/>
  <c r="Q59" i="162" s="1"/>
  <c r="J56" i="162"/>
  <c r="J97" i="162" s="1"/>
  <c r="J105" i="162" s="1"/>
  <c r="K24" i="179" s="1"/>
  <c r="K1" i="162"/>
  <c r="K56" i="162"/>
  <c r="K97" i="162" s="1"/>
  <c r="K105" i="162" s="1"/>
  <c r="L24" i="179" s="1"/>
  <c r="G57" i="162"/>
  <c r="G59" i="162" s="1"/>
  <c r="G60" i="162" s="1"/>
  <c r="M57" i="162"/>
  <c r="M59" i="162" s="1"/>
  <c r="P57" i="162"/>
  <c r="P59" i="162" s="1"/>
  <c r="P97" i="162"/>
  <c r="P105" i="162" s="1"/>
  <c r="Q24" i="179" s="1"/>
  <c r="AA57" i="162"/>
  <c r="AA59" i="162" s="1"/>
  <c r="AA97" i="162"/>
  <c r="AA105" i="162" s="1"/>
  <c r="AB24" i="179" s="1"/>
  <c r="H57" i="162"/>
  <c r="H59" i="162" s="1"/>
  <c r="H97" i="162"/>
  <c r="H105" i="162" s="1"/>
  <c r="I24" i="179" s="1"/>
  <c r="R57" i="162"/>
  <c r="R59" i="162" s="1"/>
  <c r="R97" i="162"/>
  <c r="R105" i="162" s="1"/>
  <c r="S24" i="179" s="1"/>
  <c r="AH57" i="162"/>
  <c r="AH59" i="162" s="1"/>
  <c r="Z57" i="162"/>
  <c r="Z59" i="162" s="1"/>
  <c r="Z97" i="162"/>
  <c r="Z105" i="162" s="1"/>
  <c r="AA24" i="179" s="1"/>
  <c r="AD57" i="162"/>
  <c r="AD59" i="162" s="1"/>
  <c r="AF57" i="162"/>
  <c r="AF59" i="162" s="1"/>
  <c r="W57" i="162"/>
  <c r="W59" i="162" s="1"/>
  <c r="W97" i="162"/>
  <c r="W105" i="162" s="1"/>
  <c r="X24" i="179" s="1"/>
  <c r="N57" i="162"/>
  <c r="N59" i="162" s="1"/>
  <c r="N97" i="162"/>
  <c r="N105" i="162" s="1"/>
  <c r="O24" i="179" s="1"/>
  <c r="O57" i="162"/>
  <c r="O59" i="162" s="1"/>
  <c r="O97" i="162"/>
  <c r="AE57" i="162"/>
  <c r="AE59" i="162" s="1"/>
  <c r="AI57" i="162"/>
  <c r="AI59" i="162" s="1"/>
  <c r="X57" i="162"/>
  <c r="X59" i="162" s="1"/>
  <c r="X97" i="162"/>
  <c r="X105" i="162" s="1"/>
  <c r="Y24" i="179" s="1"/>
  <c r="AC57" i="162"/>
  <c r="AC59" i="162" s="1"/>
  <c r="AC97" i="162"/>
  <c r="AC105" i="162" s="1"/>
  <c r="AD24" i="179" s="1"/>
  <c r="S56" i="162"/>
  <c r="AA1" i="162"/>
  <c r="Z1" i="162"/>
  <c r="J1" i="162"/>
  <c r="AG56" i="162"/>
  <c r="AG97" i="162" s="1"/>
  <c r="AG105" i="162" s="1"/>
  <c r="AH24" i="179" s="1"/>
  <c r="AG1" i="162"/>
  <c r="V56" i="162"/>
  <c r="T56" i="162"/>
  <c r="T1" i="162"/>
  <c r="AB56" i="162"/>
  <c r="AB1" i="162"/>
  <c r="L1" i="162"/>
  <c r="G106" i="162" l="1"/>
  <c r="F16" i="172"/>
  <c r="J10" i="175" s="1"/>
  <c r="K10" i="175" s="1"/>
  <c r="J106" i="162"/>
  <c r="K25" i="179" s="1"/>
  <c r="K106" i="162"/>
  <c r="L25" i="179" s="1"/>
  <c r="I106" i="162"/>
  <c r="H106" i="162"/>
  <c r="I25" i="179" s="1"/>
  <c r="G13" i="173"/>
  <c r="K19" i="173"/>
  <c r="O105" i="162"/>
  <c r="P24" i="179" s="1"/>
  <c r="O112" i="162"/>
  <c r="J57" i="162"/>
  <c r="J59" i="162" s="1"/>
  <c r="J60" i="162" s="1"/>
  <c r="I60" i="162"/>
  <c r="H60" i="162"/>
  <c r="L57" i="162"/>
  <c r="L59" i="162" s="1"/>
  <c r="L97" i="162"/>
  <c r="T57" i="162"/>
  <c r="T59" i="162" s="1"/>
  <c r="T97" i="162"/>
  <c r="T105" i="162" s="1"/>
  <c r="U24" i="179" s="1"/>
  <c r="AG57" i="162"/>
  <c r="AG59" i="162" s="1"/>
  <c r="K57" i="162"/>
  <c r="K59" i="162" s="1"/>
  <c r="S57" i="162"/>
  <c r="S59" i="162" s="1"/>
  <c r="S97" i="162"/>
  <c r="S105" i="162" s="1"/>
  <c r="T24" i="179" s="1"/>
  <c r="V57" i="162"/>
  <c r="V59" i="162" s="1"/>
  <c r="V97" i="162"/>
  <c r="V105" i="162" s="1"/>
  <c r="W24" i="179" s="1"/>
  <c r="AB57" i="162"/>
  <c r="AB59" i="162" s="1"/>
  <c r="AB97" i="162"/>
  <c r="AB105" i="162" s="1"/>
  <c r="AC24" i="179" s="1"/>
  <c r="I107" i="162" l="1"/>
  <c r="J26" i="179" s="1"/>
  <c r="J25" i="179"/>
  <c r="G107" i="162"/>
  <c r="H26" i="179" s="1"/>
  <c r="H25" i="179"/>
  <c r="D38" i="177"/>
  <c r="G14" i="173"/>
  <c r="D39" i="177" s="1"/>
  <c r="G24" i="173"/>
  <c r="D46" i="177" s="1"/>
  <c r="G15" i="173"/>
  <c r="G18" i="173"/>
  <c r="F17" i="172"/>
  <c r="AI16" i="172"/>
  <c r="G12" i="173" s="1"/>
  <c r="D37" i="177" s="1"/>
  <c r="H32" i="173"/>
  <c r="G17" i="173"/>
  <c r="G16" i="173"/>
  <c r="D5" i="174"/>
  <c r="L105" i="162"/>
  <c r="M24" i="179" s="1"/>
  <c r="K60" i="162"/>
  <c r="W108" i="162"/>
  <c r="X108" i="162" s="1"/>
  <c r="H107" i="162"/>
  <c r="I26" i="179" s="1"/>
  <c r="J107" i="162"/>
  <c r="K26" i="179" s="1"/>
  <c r="K107" i="162"/>
  <c r="L26" i="179" s="1"/>
  <c r="R60" i="162"/>
  <c r="E61" i="162" s="1"/>
  <c r="L60" i="162"/>
  <c r="Q60" i="162"/>
  <c r="N60" i="162"/>
  <c r="S60" i="162"/>
  <c r="O60" i="162"/>
  <c r="M60" i="162"/>
  <c r="P60" i="162"/>
  <c r="T60" i="162"/>
  <c r="U60" i="162"/>
  <c r="W60" i="162"/>
  <c r="AA60" i="162"/>
  <c r="X60" i="162"/>
  <c r="Y60" i="162"/>
  <c r="Z60" i="162"/>
  <c r="V60" i="162"/>
  <c r="AH60" i="162"/>
  <c r="AC60" i="162"/>
  <c r="AB60" i="162"/>
  <c r="AF60" i="162"/>
  <c r="AG60" i="162"/>
  <c r="AD60" i="162"/>
  <c r="AE60" i="162"/>
  <c r="AI60" i="162"/>
  <c r="AI17" i="172" l="1"/>
  <c r="G11" i="173" s="1"/>
  <c r="D36" i="177" s="1"/>
  <c r="E9" i="177" s="1"/>
  <c r="J11" i="175"/>
  <c r="K11" i="175" s="1"/>
  <c r="G26" i="173"/>
  <c r="D47" i="177" s="1"/>
  <c r="D41" i="177"/>
  <c r="G32" i="173"/>
  <c r="G23" i="173" s="1"/>
  <c r="D50" i="177" s="1"/>
  <c r="G28" i="173"/>
  <c r="D49" i="177" s="1"/>
  <c r="G27" i="173"/>
  <c r="D48" i="177" s="1"/>
  <c r="G34" i="173"/>
  <c r="P106" i="162"/>
  <c r="Q25" i="179" s="1"/>
  <c r="T106" i="162"/>
  <c r="U25" i="179" s="1"/>
  <c r="N106" i="162"/>
  <c r="X106" i="162"/>
  <c r="Y25" i="179" s="1"/>
  <c r="AH106" i="162"/>
  <c r="AI25" i="179" s="1"/>
  <c r="Q106" i="162"/>
  <c r="V106" i="162"/>
  <c r="W25" i="179" s="1"/>
  <c r="AF106" i="162"/>
  <c r="Z106" i="162"/>
  <c r="AA25" i="179" s="1"/>
  <c r="AD106" i="162"/>
  <c r="AE25" i="179" s="1"/>
  <c r="S106" i="162"/>
  <c r="T25" i="179" s="1"/>
  <c r="U106" i="162"/>
  <c r="V25" i="179" s="1"/>
  <c r="Y106" i="162"/>
  <c r="Z25" i="179" s="1"/>
  <c r="O106" i="162"/>
  <c r="P25" i="179" s="1"/>
  <c r="AC106" i="162"/>
  <c r="AD25" i="179" s="1"/>
  <c r="L106" i="162"/>
  <c r="AA106" i="162"/>
  <c r="AB25" i="179" s="1"/>
  <c r="W106" i="162"/>
  <c r="X25" i="179" s="1"/>
  <c r="AI106" i="162"/>
  <c r="AJ25" i="179" s="1"/>
  <c r="AE106" i="162"/>
  <c r="AF25" i="179" s="1"/>
  <c r="R106" i="162"/>
  <c r="S25" i="179" s="1"/>
  <c r="AB106" i="162"/>
  <c r="AC25" i="179" s="1"/>
  <c r="M106" i="162"/>
  <c r="AG106" i="162"/>
  <c r="AH25" i="179" s="1"/>
  <c r="D6" i="174"/>
  <c r="D44" i="174"/>
  <c r="H5" i="174"/>
  <c r="G5" i="174"/>
  <c r="C5" i="171"/>
  <c r="C5" i="165"/>
  <c r="C4" i="168"/>
  <c r="C5" i="167"/>
  <c r="C5" i="170"/>
  <c r="C5" i="169"/>
  <c r="D29" i="177" l="1"/>
  <c r="D40" i="177" s="1"/>
  <c r="Q107" i="162"/>
  <c r="R26" i="179" s="1"/>
  <c r="R25" i="179"/>
  <c r="M107" i="162"/>
  <c r="N26" i="179" s="1"/>
  <c r="N25" i="179"/>
  <c r="N107" i="162"/>
  <c r="O25" i="179"/>
  <c r="L107" i="162"/>
  <c r="M26" i="179" s="1"/>
  <c r="M25" i="179"/>
  <c r="AF107" i="162"/>
  <c r="AG26" i="179" s="1"/>
  <c r="AG25" i="179"/>
  <c r="G38" i="173"/>
  <c r="G37" i="173"/>
  <c r="D4" i="174"/>
  <c r="K5" i="174" s="1"/>
  <c r="G33" i="173"/>
  <c r="F45" i="174"/>
  <c r="E45" i="174"/>
  <c r="D45" i="174"/>
  <c r="G6" i="174"/>
  <c r="D7" i="174"/>
  <c r="H6" i="174"/>
  <c r="Y108" i="162"/>
  <c r="E108" i="162" l="1"/>
  <c r="O26" i="179"/>
  <c r="H7" i="174"/>
  <c r="D8" i="174"/>
  <c r="G7" i="174"/>
  <c r="AD107" i="162"/>
  <c r="AE26" i="179" s="1"/>
  <c r="S107" i="162"/>
  <c r="T26" i="179" s="1"/>
  <c r="X107" i="162"/>
  <c r="Y26" i="179" s="1"/>
  <c r="Y107" i="162"/>
  <c r="Z26" i="179" s="1"/>
  <c r="AE107" i="162"/>
  <c r="AF26" i="179" s="1"/>
  <c r="W107" i="162"/>
  <c r="X26" i="179" s="1"/>
  <c r="Z107" i="162"/>
  <c r="AA26" i="179" s="1"/>
  <c r="T107" i="162"/>
  <c r="U26" i="179" s="1"/>
  <c r="AC107" i="162"/>
  <c r="AD26" i="179" s="1"/>
  <c r="AI107" i="162"/>
  <c r="AJ26" i="179" s="1"/>
  <c r="AK26" i="179" s="1"/>
  <c r="AL26" i="179" s="1"/>
  <c r="AM26" i="179" s="1"/>
  <c r="AN26" i="179" s="1"/>
  <c r="AO26" i="179" s="1"/>
  <c r="AP26" i="179" s="1"/>
  <c r="AQ26" i="179" s="1"/>
  <c r="AR26" i="179" s="1"/>
  <c r="AS26" i="179" s="1"/>
  <c r="AT26" i="179" s="1"/>
  <c r="AU26" i="179" s="1"/>
  <c r="AV26" i="179" s="1"/>
  <c r="AW26" i="179" s="1"/>
  <c r="AX26" i="179" s="1"/>
  <c r="AY26" i="179" s="1"/>
  <c r="AZ26" i="179" s="1"/>
  <c r="BA26" i="179" s="1"/>
  <c r="BB26" i="179" s="1"/>
  <c r="BC26" i="179" s="1"/>
  <c r="BD26" i="179" s="1"/>
  <c r="BE26" i="179" s="1"/>
  <c r="BF26" i="179" s="1"/>
  <c r="BG26" i="179" s="1"/>
  <c r="BH26" i="179" s="1"/>
  <c r="BI26" i="179" s="1"/>
  <c r="BJ26" i="179" s="1"/>
  <c r="BK26" i="179" s="1"/>
  <c r="BL26" i="179" s="1"/>
  <c r="BM26" i="179" s="1"/>
  <c r="BN26" i="179" s="1"/>
  <c r="BO26" i="179" s="1"/>
  <c r="AG107" i="162"/>
  <c r="AH26" i="179" s="1"/>
  <c r="P107" i="162"/>
  <c r="Q26" i="179" s="1"/>
  <c r="AH107" i="162"/>
  <c r="AI26" i="179" s="1"/>
  <c r="AA107" i="162"/>
  <c r="AB26" i="179" s="1"/>
  <c r="R107" i="162"/>
  <c r="S26" i="179" s="1"/>
  <c r="U107" i="162"/>
  <c r="V26" i="179" s="1"/>
  <c r="AB107" i="162"/>
  <c r="AC26" i="179" s="1"/>
  <c r="V107" i="162"/>
  <c r="W26" i="179" s="1"/>
  <c r="O107" i="162"/>
  <c r="P26" i="179" s="1"/>
  <c r="G5" i="173" l="1"/>
  <c r="G8" i="174"/>
  <c r="H8" i="174"/>
  <c r="D9" i="174"/>
  <c r="I5" i="173" l="1"/>
  <c r="D30" i="177"/>
  <c r="H9" i="174"/>
  <c r="G9" i="174"/>
  <c r="D10" i="174"/>
  <c r="G10" i="174" l="1"/>
  <c r="H10" i="174"/>
  <c r="D11" i="174"/>
  <c r="H11" i="174" l="1"/>
  <c r="D12" i="174"/>
  <c r="G11" i="174"/>
  <c r="G12" i="174" l="1"/>
  <c r="H12" i="174"/>
  <c r="D13" i="174"/>
  <c r="H13" i="174" l="1"/>
  <c r="G13" i="174"/>
  <c r="D14" i="174"/>
  <c r="H14" i="174" l="1"/>
  <c r="D15" i="174"/>
  <c r="G14" i="174"/>
  <c r="D16" i="174" l="1"/>
  <c r="H15" i="174"/>
  <c r="G15" i="174"/>
  <c r="D17" i="174" l="1"/>
  <c r="G16" i="174"/>
  <c r="H16" i="174"/>
  <c r="D18" i="174" l="1"/>
  <c r="H17" i="174"/>
  <c r="G17" i="174"/>
  <c r="D19" i="174" l="1"/>
  <c r="G18" i="174"/>
  <c r="H18" i="174"/>
  <c r="H19" i="174" l="1"/>
  <c r="D20" i="174"/>
  <c r="G19" i="174"/>
  <c r="G20" i="174" l="1"/>
  <c r="D21" i="174"/>
  <c r="H20" i="174"/>
  <c r="H21" i="174" l="1"/>
  <c r="G21" i="174"/>
  <c r="D22" i="174"/>
  <c r="G22" i="174" l="1"/>
  <c r="D23" i="174"/>
  <c r="H22" i="174"/>
  <c r="H23" i="174" l="1"/>
  <c r="K6" i="174" s="1"/>
  <c r="D24" i="174"/>
  <c r="G23" i="174"/>
  <c r="D25" i="174" l="1"/>
  <c r="G24" i="174"/>
  <c r="H24" i="174"/>
  <c r="G25" i="174" l="1"/>
  <c r="H25" i="174"/>
  <c r="D26" i="174"/>
  <c r="G26" i="174" l="1"/>
  <c r="H26" i="174"/>
  <c r="D27" i="174"/>
  <c r="H27" i="174" l="1"/>
  <c r="D28" i="174"/>
  <c r="G27" i="174"/>
  <c r="G28" i="174" l="1"/>
  <c r="H28" i="174"/>
  <c r="D29" i="174"/>
  <c r="H29" i="174" l="1"/>
  <c r="G29" i="174"/>
  <c r="D30" i="174"/>
  <c r="D31" i="174" l="1"/>
  <c r="H30" i="174"/>
  <c r="G30" i="174"/>
  <c r="H31" i="174" l="1"/>
  <c r="D32" i="174"/>
  <c r="G31" i="174"/>
  <c r="G32" i="174" l="1"/>
  <c r="H32" i="174"/>
  <c r="D33" i="174"/>
  <c r="H33" i="174" l="1"/>
  <c r="G33" i="174"/>
  <c r="D34" i="174"/>
  <c r="D35" i="174" l="1"/>
  <c r="H34" i="174"/>
  <c r="G34" i="174"/>
  <c r="G35" i="174" l="1"/>
  <c r="D36" i="174"/>
  <c r="H35" i="174"/>
  <c r="G36" i="174" l="1"/>
  <c r="D37" i="174"/>
  <c r="H36" i="174"/>
  <c r="H37" i="174" l="1"/>
  <c r="G37" i="174"/>
  <c r="D38" i="174"/>
  <c r="D39" i="174" l="1"/>
  <c r="H38" i="174"/>
  <c r="G38" i="174"/>
  <c r="D40" i="174" l="1"/>
  <c r="H39" i="174"/>
  <c r="G39" i="174"/>
  <c r="H40" i="174" l="1"/>
  <c r="D46" i="174" s="1"/>
  <c r="D47" i="174" s="1"/>
  <c r="D48" i="174" s="1"/>
  <c r="G40" i="174"/>
</calcChain>
</file>

<file path=xl/comments1.xml><?xml version="1.0" encoding="utf-8"?>
<comments xmlns="http://schemas.openxmlformats.org/spreadsheetml/2006/main">
  <authors>
    <author>Master</author>
  </authors>
  <commentList>
    <comment ref="G53" authorId="0">
      <text>
        <r>
          <rPr>
            <b/>
            <sz val="9"/>
            <color indexed="81"/>
            <rFont val="Tahoma"/>
            <family val="2"/>
            <charset val="204"/>
          </rPr>
          <t>Master:</t>
        </r>
        <r>
          <rPr>
            <sz val="9"/>
            <color indexed="81"/>
            <rFont val="Tahoma"/>
            <family val="2"/>
            <charset val="204"/>
          </rPr>
          <t xml:space="preserve">
формула для разделения прибыли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35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2,1 Маржинальность - если донором является цех ПП ….2,9 стандарт</t>
        </r>
      </text>
    </comment>
  </commentList>
</comments>
</file>

<file path=xl/comments3.xml><?xml version="1.0" encoding="utf-8"?>
<comments xmlns="http://schemas.openxmlformats.org/spreadsheetml/2006/main">
  <authors>
    <author>Кокорев Роман</author>
  </authors>
  <commentList>
    <comment ref="F6" authorId="0">
      <text>
        <r>
          <rPr>
            <b/>
            <sz val="9"/>
            <color indexed="81"/>
            <rFont val="Tahoma"/>
            <family val="2"/>
            <charset val="204"/>
          </rPr>
          <t>не входит в денежный поток проекта</t>
        </r>
      </text>
    </comment>
    <comment ref="F25" authorId="0">
      <text>
        <r>
          <rPr>
            <b/>
            <sz val="9"/>
            <color indexed="81"/>
            <rFont val="Tahoma"/>
            <family val="2"/>
            <charset val="204"/>
          </rPr>
          <t>График ЗП</t>
        </r>
      </text>
    </comment>
  </commentList>
</comments>
</file>

<file path=xl/comments4.xml><?xml version="1.0" encoding="utf-8"?>
<comments xmlns="http://schemas.openxmlformats.org/spreadsheetml/2006/main">
  <authors>
    <author>Master</author>
  </authors>
  <commentList>
    <comment ref="G59" authorId="0">
      <text>
        <r>
          <rPr>
            <b/>
            <sz val="9"/>
            <color indexed="81"/>
            <rFont val="Tahoma"/>
            <family val="2"/>
            <charset val="204"/>
          </rPr>
          <t>Master:</t>
        </r>
        <r>
          <rPr>
            <sz val="9"/>
            <color indexed="81"/>
            <rFont val="Tahoma"/>
            <family val="2"/>
            <charset val="204"/>
          </rPr>
          <t xml:space="preserve">
формула для разделения прибыли</t>
        </r>
      </text>
    </comment>
  </commentList>
</comments>
</file>

<file path=xl/comments5.xml><?xml version="1.0" encoding="utf-8"?>
<comments xmlns="http://schemas.openxmlformats.org/spreadsheetml/2006/main">
  <authors>
    <author>Master</author>
  </authors>
  <commentList>
    <comment ref="G59" authorId="0">
      <text>
        <r>
          <rPr>
            <b/>
            <sz val="9"/>
            <color indexed="81"/>
            <rFont val="Tahoma"/>
            <family val="2"/>
            <charset val="204"/>
          </rPr>
          <t>Master:</t>
        </r>
        <r>
          <rPr>
            <sz val="9"/>
            <color indexed="81"/>
            <rFont val="Tahoma"/>
            <family val="2"/>
            <charset val="204"/>
          </rPr>
          <t xml:space="preserve">
формула для разделения прибыли</t>
        </r>
      </text>
    </comment>
  </commentList>
</comments>
</file>

<file path=xl/comments6.xml><?xml version="1.0" encoding="utf-8"?>
<comments xmlns="http://schemas.openxmlformats.org/spreadsheetml/2006/main">
  <authors>
    <author>Master</author>
  </authors>
  <commentList>
    <comment ref="G59" authorId="0">
      <text>
        <r>
          <rPr>
            <b/>
            <sz val="9"/>
            <color indexed="81"/>
            <rFont val="Tahoma"/>
            <family val="2"/>
            <charset val="204"/>
          </rPr>
          <t>Master:</t>
        </r>
        <r>
          <rPr>
            <sz val="9"/>
            <color indexed="81"/>
            <rFont val="Tahoma"/>
            <family val="2"/>
            <charset val="204"/>
          </rPr>
          <t xml:space="preserve">
формула для разделения прибыли</t>
        </r>
      </text>
    </comment>
  </commentList>
</comments>
</file>

<file path=xl/comments7.xml><?xml version="1.0" encoding="utf-8"?>
<comments xmlns="http://schemas.openxmlformats.org/spreadsheetml/2006/main">
  <authors>
    <author>Master</author>
  </authors>
  <commentList>
    <comment ref="G59" authorId="0">
      <text>
        <r>
          <rPr>
            <b/>
            <sz val="9"/>
            <color indexed="81"/>
            <rFont val="Tahoma"/>
            <family val="2"/>
            <charset val="204"/>
          </rPr>
          <t>Master:</t>
        </r>
        <r>
          <rPr>
            <sz val="9"/>
            <color indexed="81"/>
            <rFont val="Tahoma"/>
            <family val="2"/>
            <charset val="204"/>
          </rPr>
          <t xml:space="preserve">
формула для разделения прибыли</t>
        </r>
      </text>
    </comment>
  </commentList>
</comments>
</file>

<file path=xl/comments8.xml><?xml version="1.0" encoding="utf-8"?>
<comments xmlns="http://schemas.openxmlformats.org/spreadsheetml/2006/main">
  <authors>
    <author>Master</author>
  </authors>
  <commentList>
    <comment ref="G59" authorId="0">
      <text>
        <r>
          <rPr>
            <b/>
            <sz val="9"/>
            <color indexed="81"/>
            <rFont val="Tahoma"/>
            <family val="2"/>
            <charset val="204"/>
          </rPr>
          <t>Master:</t>
        </r>
        <r>
          <rPr>
            <sz val="9"/>
            <color indexed="81"/>
            <rFont val="Tahoma"/>
            <family val="2"/>
            <charset val="204"/>
          </rPr>
          <t xml:space="preserve">
формула для разделения прибыли</t>
        </r>
      </text>
    </comment>
  </commentList>
</comments>
</file>

<file path=xl/sharedStrings.xml><?xml version="1.0" encoding="utf-8"?>
<sst xmlns="http://schemas.openxmlformats.org/spreadsheetml/2006/main" count="1063" uniqueCount="338">
  <si>
    <t>%</t>
  </si>
  <si>
    <t>Продажи в день</t>
  </si>
  <si>
    <t>Продажи в месяц</t>
  </si>
  <si>
    <t>Структура продаж</t>
  </si>
  <si>
    <t xml:space="preserve"> - собственная продукция</t>
  </si>
  <si>
    <t>уд. вес</t>
  </si>
  <si>
    <t xml:space="preserve">    в т.ч. кондитерка</t>
  </si>
  <si>
    <t xml:space="preserve"> - товары на перепродажу</t>
  </si>
  <si>
    <t xml:space="preserve"> - продажи по картам</t>
  </si>
  <si>
    <t xml:space="preserve"> - инкассированная выручка</t>
  </si>
  <si>
    <t>Валовый доход</t>
  </si>
  <si>
    <t>Операционная деятельность</t>
  </si>
  <si>
    <t xml:space="preserve"> - аренда</t>
  </si>
  <si>
    <t xml:space="preserve"> - коммунальные</t>
  </si>
  <si>
    <t xml:space="preserve">      Продавец</t>
  </si>
  <si>
    <t xml:space="preserve">      Пекарь</t>
  </si>
  <si>
    <t xml:space="preserve">      Клининг</t>
  </si>
  <si>
    <t xml:space="preserve">      Дворник</t>
  </si>
  <si>
    <t xml:space="preserve">      ИТОГО зима</t>
  </si>
  <si>
    <t xml:space="preserve">      ИТОГО лето</t>
  </si>
  <si>
    <t xml:space="preserve"> - страховые взносы</t>
  </si>
  <si>
    <t>Люди</t>
  </si>
  <si>
    <t>Оф ЗП</t>
  </si>
  <si>
    <t>Ставка</t>
  </si>
  <si>
    <t xml:space="preserve"> - охрана</t>
  </si>
  <si>
    <t xml:space="preserve"> - связь</t>
  </si>
  <si>
    <t xml:space="preserve">      сотовый</t>
  </si>
  <si>
    <t xml:space="preserve">      интернет</t>
  </si>
  <si>
    <t xml:space="preserve"> - ТО и ремонт оборудования</t>
  </si>
  <si>
    <t xml:space="preserve"> - расходные материалы</t>
  </si>
  <si>
    <t>ставка</t>
  </si>
  <si>
    <t xml:space="preserve"> - инкасация</t>
  </si>
  <si>
    <t xml:space="preserve"> - прочие</t>
  </si>
  <si>
    <t>Логистика</t>
  </si>
  <si>
    <t>от прод</t>
  </si>
  <si>
    <t>Офис</t>
  </si>
  <si>
    <t>от конд прод</t>
  </si>
  <si>
    <t>Прибыль</t>
  </si>
  <si>
    <t>Операционный ден поток</t>
  </si>
  <si>
    <t>Накопленный денежный поток</t>
  </si>
  <si>
    <t>Окупаемость инвестора</t>
  </si>
  <si>
    <t>мес</t>
  </si>
  <si>
    <t>доходность инвестиций после окупаемости %% годовых</t>
  </si>
  <si>
    <t>График инвестиций (обор+ремонт)</t>
  </si>
  <si>
    <t xml:space="preserve"> - эквайринг</t>
  </si>
  <si>
    <t>Выручка/сырье %% всего</t>
  </si>
  <si>
    <t>Выручка/сырье %% собств</t>
  </si>
  <si>
    <t>Выручка/сырье %% покупное</t>
  </si>
  <si>
    <t xml:space="preserve">Финансовае выбытия </t>
  </si>
  <si>
    <t>коэфф</t>
  </si>
  <si>
    <t>Ден поток с учетом инвестиций, затрат на управление</t>
  </si>
  <si>
    <t>25 кв.м</t>
  </si>
  <si>
    <t xml:space="preserve"> - персонал </t>
  </si>
  <si>
    <t>управление</t>
  </si>
  <si>
    <t>Паушальный взнос</t>
  </si>
  <si>
    <t>Патент</t>
  </si>
  <si>
    <t>Итого</t>
  </si>
  <si>
    <t>Базовая мощность в мес</t>
  </si>
  <si>
    <t>Базовая фот на открытие</t>
  </si>
  <si>
    <t>приращ в мес</t>
  </si>
  <si>
    <t>15 кв.м</t>
  </si>
  <si>
    <t>Распределение паушального взноса</t>
  </si>
  <si>
    <t>График инвестиций мес</t>
  </si>
  <si>
    <t>март</t>
  </si>
  <si>
    <t>Финансовые результаты</t>
  </si>
  <si>
    <t>Коэфф-т выручка  к сырью</t>
  </si>
  <si>
    <t>февраль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</si>
  <si>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</si>
  <si>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</si>
  <si>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</si>
  <si>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</si>
  <si>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</si>
  <si>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</si>
  <si>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</si>
  <si>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</si>
  <si>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</si>
  <si>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</t>
  </si>
  <si>
    <t>Выручка (руб/мес)</t>
  </si>
  <si>
    <t>Выручка (руб/день)</t>
  </si>
  <si>
    <t>Денежный поток коммулятивный (руб)</t>
  </si>
  <si>
    <t>Ренатаб %% общая</t>
  </si>
  <si>
    <t>Кумулятив</t>
  </si>
  <si>
    <t xml:space="preserve"> - персонал  ФОТ</t>
  </si>
  <si>
    <t xml:space="preserve"> страхраховые взносы</t>
  </si>
  <si>
    <t>Тандырщик лепешка</t>
  </si>
  <si>
    <t>Тандырщик самса</t>
  </si>
  <si>
    <t>Продавец</t>
  </si>
  <si>
    <t>итого</t>
  </si>
  <si>
    <t>кол-во</t>
  </si>
  <si>
    <t>фсс</t>
  </si>
  <si>
    <t>база</t>
  </si>
  <si>
    <t>ЕНВД</t>
  </si>
  <si>
    <t>норматив или ср</t>
  </si>
  <si>
    <t>Пекарь</t>
  </si>
  <si>
    <t>Кухонный</t>
  </si>
  <si>
    <t>Нормантив</t>
  </si>
  <si>
    <t>услуги</t>
  </si>
  <si>
    <t xml:space="preserve"> - услуги</t>
  </si>
  <si>
    <t>точка продаж</t>
  </si>
  <si>
    <t xml:space="preserve">Цех </t>
  </si>
  <si>
    <t>Расчет шт. расписания цеха</t>
  </si>
  <si>
    <t>окл</t>
  </si>
  <si>
    <t>прибыль инв до окуп</t>
  </si>
  <si>
    <t>Инвестиции цех и точка продаж</t>
  </si>
  <si>
    <t>ТП цеха</t>
  </si>
  <si>
    <t>Окупаемость инвестора (график)</t>
  </si>
  <si>
    <t xml:space="preserve">Окупаемость инвестора </t>
  </si>
  <si>
    <t>Расходы на маркетинг 5%</t>
  </si>
  <si>
    <t>Итого общий денежный поток инвестора (руб)</t>
  </si>
  <si>
    <t>после окуп</t>
  </si>
  <si>
    <t>Орг. Техника</t>
  </si>
  <si>
    <t xml:space="preserve"> - ТО и ремонт </t>
  </si>
  <si>
    <t>резерв фот</t>
  </si>
  <si>
    <t>Резерв ФОТ</t>
  </si>
  <si>
    <t xml:space="preserve">Офис </t>
  </si>
  <si>
    <t xml:space="preserve">Инвестиции  за счет прибыли проекта  </t>
  </si>
  <si>
    <t>Источники инвестиций</t>
  </si>
  <si>
    <t>Инвестиции в проект за счет источников инвестора</t>
  </si>
  <si>
    <t>Ларек 1</t>
  </si>
  <si>
    <t>Ларек 2</t>
  </si>
  <si>
    <t>Ларек 3</t>
  </si>
  <si>
    <t>Ларек 4</t>
  </si>
  <si>
    <t>Выручка в день ларек</t>
  </si>
  <si>
    <t>Выручка в день цех</t>
  </si>
  <si>
    <t>ПЛАН Ларь5</t>
  </si>
  <si>
    <t>ПЛАН Ларь4</t>
  </si>
  <si>
    <t>ПЛАН Ларь3</t>
  </si>
  <si>
    <t>ПЛАН Ларь2</t>
  </si>
  <si>
    <t>ПЛАН Ларь1</t>
  </si>
  <si>
    <t>Ларь5</t>
  </si>
  <si>
    <t>Веса по выручке</t>
  </si>
  <si>
    <t>Собственное пекарское производство</t>
  </si>
  <si>
    <t>Собственное кондит производство</t>
  </si>
  <si>
    <t>Товары для перепродажи</t>
  </si>
  <si>
    <t>веса</t>
  </si>
  <si>
    <t>Сырье собств</t>
  </si>
  <si>
    <t>Кондитерка</t>
  </si>
  <si>
    <t>собственная пекарская продукция</t>
  </si>
  <si>
    <t>собственная продукция</t>
  </si>
  <si>
    <t>товары на перепродажу</t>
  </si>
  <si>
    <t>Выручка/сырье %% кондит</t>
  </si>
  <si>
    <t>Выручка/сырье %% Кондит</t>
  </si>
  <si>
    <t>Сырье кондит</t>
  </si>
  <si>
    <t>товары покупн</t>
  </si>
  <si>
    <t>Выручка без пекарей</t>
  </si>
  <si>
    <t>Товары покупные</t>
  </si>
  <si>
    <t>кондитерка</t>
  </si>
  <si>
    <t xml:space="preserve">ПЛАН Точка продаж ЦЕХа </t>
  </si>
  <si>
    <t>Сумма на управляющ.комп</t>
  </si>
  <si>
    <t>штатное расписание управленческого цеха</t>
  </si>
  <si>
    <t>Управляющий</t>
  </si>
  <si>
    <t>Управление в регионе</t>
  </si>
  <si>
    <t>Бухг</t>
  </si>
  <si>
    <t>ЦЕХ (производство)</t>
  </si>
  <si>
    <t>Аренда</t>
  </si>
  <si>
    <t>Коммунальные платежи</t>
  </si>
  <si>
    <t>ФОТ Управляющий</t>
  </si>
  <si>
    <t>ФОТ Бухгалтер</t>
  </si>
  <si>
    <t>ФОТ Технолог</t>
  </si>
  <si>
    <t>Технолог</t>
  </si>
  <si>
    <t>Норма выработки пекарь</t>
  </si>
  <si>
    <t>Норма выработки кухонный</t>
  </si>
  <si>
    <t>руб мес</t>
  </si>
  <si>
    <t xml:space="preserve">руб </t>
  </si>
  <si>
    <t>руб смена</t>
  </si>
  <si>
    <t>Точка продаж</t>
  </si>
  <si>
    <t>ФОТ продавец</t>
  </si>
  <si>
    <t>Выручка ЦЕХА</t>
  </si>
  <si>
    <t>Выручка точки продаж</t>
  </si>
  <si>
    <t>руб день</t>
  </si>
  <si>
    <t>Кап затраты точка продаж</t>
  </si>
  <si>
    <t>Кап затраты цех (с точкой пр)</t>
  </si>
  <si>
    <t>Распределение прибыли</t>
  </si>
  <si>
    <t>Собственное произв-во</t>
  </si>
  <si>
    <t>% от выручки</t>
  </si>
  <si>
    <t>Кондит произв-во</t>
  </si>
  <si>
    <t xml:space="preserve"> Собственное произв-во</t>
  </si>
  <si>
    <t>выручка к сырью</t>
  </si>
  <si>
    <t>Параметры выручки и эфф-ть</t>
  </si>
  <si>
    <t>Стоимость внешнего управления</t>
  </si>
  <si>
    <t>Управление цехом</t>
  </si>
  <si>
    <t>Управление точкой продаж</t>
  </si>
  <si>
    <t>Старт-ап затраты</t>
  </si>
  <si>
    <t>Прибыль проекта на полной мощ-ти</t>
  </si>
  <si>
    <t>% от прибыли</t>
  </si>
  <si>
    <t>Стартап</t>
  </si>
  <si>
    <t>Данные проекта</t>
  </si>
  <si>
    <t>Основные показатели проекта</t>
  </si>
  <si>
    <t>ФОТ пекарь</t>
  </si>
  <si>
    <t>ФОТ кухонный</t>
  </si>
  <si>
    <t>Кап. затраты проекта</t>
  </si>
  <si>
    <t>Выручка в день</t>
  </si>
  <si>
    <t>Выручка в месяц</t>
  </si>
  <si>
    <t>Коэфф-т выручка/сырье</t>
  </si>
  <si>
    <t>Колво -отдельных точек</t>
  </si>
  <si>
    <t>Инвестиции за счет прибыли проекта</t>
  </si>
  <si>
    <t>Срок окупаемости</t>
  </si>
  <si>
    <t>руб</t>
  </si>
  <si>
    <t>Затраты на маркетинг</t>
  </si>
  <si>
    <t>% от выручки мес</t>
  </si>
  <si>
    <t>выр руб. день</t>
  </si>
  <si>
    <t>Валовый доход (выручка-сырье- произв перс)</t>
  </si>
  <si>
    <t xml:space="preserve">Цех  </t>
  </si>
  <si>
    <t>Пекарни итого</t>
  </si>
  <si>
    <t>Условно-пост. расходы пекарни и точек продаж</t>
  </si>
  <si>
    <t>Пекари по штатному расписанию</t>
  </si>
  <si>
    <t>Кухонные по штатному расписанию</t>
  </si>
  <si>
    <t>чел</t>
  </si>
  <si>
    <t>Рентабельность капитала ROE</t>
  </si>
  <si>
    <t>Рентабельность продаж ROS</t>
  </si>
  <si>
    <t>счетчик</t>
  </si>
  <si>
    <t>итого кап затраты</t>
  </si>
  <si>
    <t>% годовых</t>
  </si>
  <si>
    <t>Продавцы по штатному расписанию</t>
  </si>
  <si>
    <t>Прибыль Партнера до окупаемости</t>
  </si>
  <si>
    <t>Прибыль Партнера после окупаемости</t>
  </si>
  <si>
    <t>Прибыль собственника до окупаемости</t>
  </si>
  <si>
    <t>Прибыль собств после окупаемости</t>
  </si>
  <si>
    <t>Прибыль собственника после окупаемости</t>
  </si>
  <si>
    <t>Инвестиции за счет источников собственника</t>
  </si>
  <si>
    <t>Комиссия брокера</t>
  </si>
  <si>
    <t>Прибыль брокера с начала запуска проекта</t>
  </si>
  <si>
    <t>Точка безубыточности на куст</t>
  </si>
  <si>
    <t>шт</t>
  </si>
  <si>
    <t>Доходность инвестора до вывода денег</t>
  </si>
  <si>
    <t>Доходность инвестора после вывода денег</t>
  </si>
  <si>
    <t>Инвестор</t>
  </si>
  <si>
    <t>Доходность от вложенной суммы</t>
  </si>
  <si>
    <t>До возврата</t>
  </si>
  <si>
    <t>После возврата</t>
  </si>
  <si>
    <t>Управляющий + брокер</t>
  </si>
  <si>
    <t>…</t>
  </si>
  <si>
    <t xml:space="preserve">Стоимость компании  </t>
  </si>
  <si>
    <t>Стоимость доля инвестора</t>
  </si>
  <si>
    <t>Общий доход инвестора за 3 года с учетом продажи доли</t>
  </si>
  <si>
    <t>Общий доход инвестора за 3 года с учетом продажи доли за вычетом первоначальных инвестиций</t>
  </si>
  <si>
    <t>Средняя доходность в год</t>
  </si>
  <si>
    <t>Оценка компании в количестве емемесячной прибыли</t>
  </si>
  <si>
    <t>Услуги за привлечение брокеру (в статье затрат назовем: Услуги стартап-команды при запуске, подбор и обучение персонала)</t>
  </si>
  <si>
    <t>Рентабельность капитала инвестора ROE</t>
  </si>
  <si>
    <t>Доход на капитал первый год</t>
  </si>
  <si>
    <t>Доход на капитал за 3 года</t>
  </si>
  <si>
    <t>Доход на капитал за 5 лет</t>
  </si>
  <si>
    <t>Прибыль ПП до окупаемости</t>
  </si>
  <si>
    <t>Прибыль ПП после окупаемости</t>
  </si>
  <si>
    <t>зп</t>
  </si>
  <si>
    <t>ПП</t>
  </si>
  <si>
    <t>Брокер</t>
  </si>
  <si>
    <t>окупаемость лет</t>
  </si>
  <si>
    <t>ИТОГО</t>
  </si>
  <si>
    <t>Производственное оборудование и инвентарь</t>
  </si>
  <si>
    <t>Торговое оборудование и мебель</t>
  </si>
  <si>
    <t>Кассовое оборудование, IT, тел</t>
  </si>
  <si>
    <t>ОПС и видеонаблюдение</t>
  </si>
  <si>
    <t>Кондиционеры</t>
  </si>
  <si>
    <t>Вывеска и оформление</t>
  </si>
  <si>
    <t>Обеспечительный платеж</t>
  </si>
  <si>
    <t>Аренда 1 мес</t>
  </si>
  <si>
    <t>Организация бизнеса, старт-ап затраты</t>
  </si>
  <si>
    <t>Сырье, запасы и оборот</t>
  </si>
  <si>
    <t>Персонал до запуска</t>
  </si>
  <si>
    <t xml:space="preserve">Прочие затраты (размен, печать, комисс итд) </t>
  </si>
  <si>
    <t>Инвестиции в цех и организацию бизнеса</t>
  </si>
  <si>
    <t>70 кв.м</t>
  </si>
  <si>
    <t>Ремонты (СМР, вентиляция)</t>
  </si>
  <si>
    <t>Прочее оборуд (сейф, канц, огнетуш)</t>
  </si>
  <si>
    <t>20 кв.м</t>
  </si>
  <si>
    <t xml:space="preserve">Ремонты </t>
  </si>
  <si>
    <t>Персонал  запуска</t>
  </si>
  <si>
    <t>Прочие затраты и маркетинг</t>
  </si>
  <si>
    <t>Кондиционер</t>
  </si>
  <si>
    <t>ИНВЕСТИЦИОННЫЕ ЗАТРАТЫ ПРОЕКТА И ГРАФИК ИНВЕСТИЦИЙ</t>
  </si>
  <si>
    <t>Город проекта</t>
  </si>
  <si>
    <t>Казань</t>
  </si>
  <si>
    <t>Количество отдельных точек (руб)</t>
  </si>
  <si>
    <t>Инвестиции</t>
  </si>
  <si>
    <t>Выручка цеха (руб/день)</t>
  </si>
  <si>
    <t>Выручка точки продаж (руб/день)</t>
  </si>
  <si>
    <t>Аренда цеха (руб/мес)</t>
  </si>
  <si>
    <t>Аренда точки продаж (руб/мес)</t>
  </si>
  <si>
    <t>Коммунальные платежи и электроэнергия (руб/мес)</t>
  </si>
  <si>
    <t>ФОТ Пекарь (руб/мес)</t>
  </si>
  <si>
    <t>ФОТ Кухонный сотрудник (руб/мес)</t>
  </si>
  <si>
    <t>ФОТ Продавец (руб/мес)</t>
  </si>
  <si>
    <t>Доставка в точку продаж (руб/мес)</t>
  </si>
  <si>
    <t>Основные показалели проекта</t>
  </si>
  <si>
    <t xml:space="preserve"> Норма Пекари по штатному расписанию (чел)</t>
  </si>
  <si>
    <t>Норма Кухонные по штатному расписанию (чел)</t>
  </si>
  <si>
    <t>Норма Продавцы по штатному расписанию (чел)</t>
  </si>
  <si>
    <t>Выручка в день (руб)</t>
  </si>
  <si>
    <t>Выручка в месяц (руб)</t>
  </si>
  <si>
    <t>Срок окупаемости проекта (мес)</t>
  </si>
  <si>
    <t>Условно-пост. расходы пекарни и точек продаж (руб/мес)</t>
  </si>
  <si>
    <t>Валовый доход (выручка-сырье- произв перс) (руб/мес)</t>
  </si>
  <si>
    <t>Инвестиции за счет источников инвестора (руб)</t>
  </si>
  <si>
    <t>Инвестиции за счет прибыли проекта (руб)</t>
  </si>
  <si>
    <t>Прибыль проекта на полной мощ-ти (руб/мес)</t>
  </si>
  <si>
    <t>Прибыль партнеров (руб/мес)</t>
  </si>
  <si>
    <t>Точка безубыточности на куст (выручка руб/день)</t>
  </si>
  <si>
    <t>Рентабельность продаж ROS (% от выручки)</t>
  </si>
  <si>
    <t>Рентаб-ть капитала на расчетной мощ-ти ROE (% годовых)</t>
  </si>
  <si>
    <t>Доход на капитал за 5 лет (% годовых)</t>
  </si>
  <si>
    <t>Доход на капитал за 3 года (% годовых)</t>
  </si>
  <si>
    <t>Доход на капитал первый год (% годовых)</t>
  </si>
  <si>
    <t>Данные проекта (заполните значения)</t>
  </si>
  <si>
    <t>Инвестиции в торговую точку</t>
  </si>
  <si>
    <t>Кап.затраты проекта</t>
  </si>
  <si>
    <t>Прибыль Инвестора</t>
  </si>
  <si>
    <t>месяц</t>
  </si>
  <si>
    <t>Выручка</t>
  </si>
  <si>
    <t>Расходы на сырье и продукцию</t>
  </si>
  <si>
    <t xml:space="preserve"> Аренда</t>
  </si>
  <si>
    <t>Коммунальные и э/э</t>
  </si>
  <si>
    <t xml:space="preserve">Персонал (ФОТ) </t>
  </si>
  <si>
    <t xml:space="preserve"> Охрана</t>
  </si>
  <si>
    <t>Связь</t>
  </si>
  <si>
    <t xml:space="preserve">ТО и ремонт </t>
  </si>
  <si>
    <t>Расходные материалы</t>
  </si>
  <si>
    <t xml:space="preserve"> Услуги</t>
  </si>
  <si>
    <t>Эквайринг</t>
  </si>
  <si>
    <t xml:space="preserve"> Инкасация</t>
  </si>
  <si>
    <t xml:space="preserve"> Прочие</t>
  </si>
  <si>
    <t>Управление</t>
  </si>
  <si>
    <t>Зарплатные платежи (ФСС, ПФР)</t>
  </si>
  <si>
    <t>Операционная деятельность Итого расходы</t>
  </si>
  <si>
    <t>Прибыль накопленная</t>
  </si>
  <si>
    <t>ДЕНЕЖНЫЕ ПОТОКИ и БДР</t>
  </si>
  <si>
    <t>Затраты на цех и организацию бизнеса (руб)</t>
  </si>
  <si>
    <t>capex</t>
  </si>
  <si>
    <t>Сумма ваших инвестиций</t>
  </si>
  <si>
    <t>Общая прибыль инвесторов (руб/мес)</t>
  </si>
  <si>
    <t>Общая доля инвесторов (% в капитале ООО)</t>
  </si>
  <si>
    <t xml:space="preserve">Ваша доля (% в капитале ООО) </t>
  </si>
  <si>
    <t>Затраты на одну точку продаж (руб)</t>
  </si>
  <si>
    <t xml:space="preserve"> (мес)</t>
  </si>
  <si>
    <t xml:space="preserve">График инвестиций в % от общей суммы </t>
  </si>
  <si>
    <t>Ваша персональная прибыль (руб/мес)</t>
  </si>
  <si>
    <t xml:space="preserve">Денежный поток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</si>
</sst>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&quot;€&quot;_-;\-* #,##0.00\ &quot;€&quot;_-;_-* &quot;-&quot;??\ &quot;€&quot;_-;_-@_-"/>
    <numFmt numFmtId="165" formatCode="0.0%"/>
    <numFmt numFmtId="166" formatCode="0.0"/>
    <numFmt numFmtId="167" formatCode="#,##0.0"/>
    <numFmt numFmtId="168" formatCode="0.000"/>
    <numFmt numFmtId="169" formatCode="#,##0.000"/>
  </numFmts>
  <fonts count="9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"/>
      <name val="Calibri"/>
      <family val="2"/>
      <charset val="204"/>
    </font>
    <font>
      <b/>
      <sz val="9"/>
      <name val="Calibri"/>
      <family val="2"/>
      <charset val="204"/>
    </font>
    <font>
      <sz val="9"/>
      <color indexed="12"/>
      <name val="Calibri"/>
      <family val="2"/>
      <charset val="204"/>
    </font>
    <font>
      <b/>
      <sz val="9"/>
      <color indexed="8"/>
      <name val="Calibri"/>
      <family val="2"/>
      <charset val="204"/>
    </font>
    <font>
      <b/>
      <sz val="9"/>
      <color indexed="10"/>
      <name val="Calibri"/>
      <family val="2"/>
      <charset val="204"/>
    </font>
    <font>
      <b/>
      <sz val="9"/>
      <color indexed="12"/>
      <name val="Calibri"/>
      <family val="2"/>
      <charset val="204"/>
    </font>
    <font>
      <sz val="9"/>
      <name val="Calibri"/>
      <family val="2"/>
      <charset val="204"/>
    </font>
    <font>
      <b/>
      <sz val="9"/>
      <color rgb="FF0070C0"/>
      <name val="Calibri"/>
      <family val="2"/>
      <charset val="204"/>
    </font>
    <font>
      <b/>
      <sz val="9"/>
      <color rgb="FFFF0000"/>
      <name val="Calibri"/>
      <family val="2"/>
      <charset val="204"/>
    </font>
    <font>
      <sz val="9"/>
      <name val="Arial"/>
      <family val="2"/>
      <charset val="204"/>
    </font>
    <font>
      <sz val="9"/>
      <name val="Calibri"/>
      <family val="2"/>
      <charset val="204"/>
      <scheme val="minor"/>
    </font>
    <font>
      <b/>
      <sz val="9"/>
      <color theme="1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0"/>
      <color rgb="FF0070C0"/>
      <name val="Arial Cyr"/>
      <charset val="204"/>
    </font>
    <font>
      <b/>
      <sz val="9"/>
      <color theme="8" tint="0.59999389629810485"/>
      <name val="Calibri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9"/>
      <color theme="0"/>
      <name val="Calibri"/>
      <family val="2"/>
      <charset val="204"/>
    </font>
    <font>
      <b/>
      <sz val="9"/>
      <color theme="0"/>
      <name val="Calibri"/>
      <family val="2"/>
      <charset val="204"/>
    </font>
    <font>
      <b/>
      <sz val="11"/>
      <color theme="0"/>
      <name val="Calibri"/>
      <family val="2"/>
      <charset val="204"/>
    </font>
    <font>
      <b/>
      <sz val="9"/>
      <name val="Arial"/>
      <family val="2"/>
      <charset val="204"/>
    </font>
    <font>
      <sz val="9"/>
      <color indexed="10"/>
      <name val="Calibri"/>
      <family val="2"/>
      <charset val="204"/>
    </font>
    <font>
      <b/>
      <sz val="9"/>
      <color rgb="FF7030A0"/>
      <name val="Calibri"/>
      <family val="2"/>
      <charset val="204"/>
      <scheme val="minor"/>
    </font>
    <font>
      <sz val="9"/>
      <color rgb="FFFF0000"/>
      <name val="Calibri"/>
      <family val="2"/>
      <charset val="204"/>
    </font>
    <font>
      <sz val="9"/>
      <color theme="0"/>
      <name val="Arial"/>
      <family val="2"/>
      <charset val="204"/>
    </font>
    <font>
      <sz val="10"/>
      <color theme="1"/>
      <name val="Arial Cyr"/>
      <charset val="204"/>
    </font>
    <font>
      <b/>
      <sz val="9"/>
      <color rgb="FFFF0000"/>
      <name val="Calibri"/>
      <family val="2"/>
      <charset val="204"/>
      <scheme val="minor"/>
    </font>
    <font>
      <b/>
      <sz val="9"/>
      <color theme="0"/>
      <name val="Arial"/>
      <family val="2"/>
      <charset val="204"/>
    </font>
    <font>
      <b/>
      <sz val="9"/>
      <color rgb="FF7030A0"/>
      <name val="Calibri"/>
      <family val="2"/>
      <charset val="204"/>
    </font>
    <font>
      <sz val="10"/>
      <color rgb="FF7030A0"/>
      <name val="Arial Cyr"/>
      <charset val="204"/>
    </font>
    <font>
      <sz val="9"/>
      <color rgb="FFFF0000"/>
      <name val="Arial"/>
      <family val="2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Arial Cyr"/>
      <charset val="204"/>
    </font>
    <font>
      <sz val="9"/>
      <color theme="0"/>
      <name val="Calibri"/>
      <family val="2"/>
      <charset val="204"/>
      <scheme val="minor"/>
    </font>
    <font>
      <sz val="10"/>
      <color theme="0"/>
      <name val="Arial Cyr"/>
      <charset val="204"/>
    </font>
    <font>
      <sz val="10"/>
      <color rgb="FFFF0000"/>
      <name val="Arial Cyr"/>
      <charset val="204"/>
    </font>
    <font>
      <b/>
      <sz val="10"/>
      <color rgb="FFFF0000"/>
      <name val="Arial Cyr"/>
      <charset val="204"/>
    </font>
    <font>
      <b/>
      <sz val="10"/>
      <color rgb="FF7030A0"/>
      <name val="Arial Cyr"/>
      <charset val="204"/>
    </font>
    <font>
      <b/>
      <sz val="16"/>
      <name val="Arial Cyr"/>
      <charset val="204"/>
    </font>
    <font>
      <sz val="10"/>
      <name val="Calibri"/>
      <family val="2"/>
      <charset val="204"/>
      <scheme val="minor"/>
    </font>
    <font>
      <sz val="9"/>
      <color rgb="FF000000"/>
      <name val="Century Gothic"/>
      <family val="2"/>
      <charset val="204"/>
    </font>
    <font>
      <b/>
      <sz val="9"/>
      <color rgb="FF000000"/>
      <name val="Century Gothic"/>
      <family val="2"/>
      <charset val="204"/>
    </font>
    <font>
      <b/>
      <sz val="10"/>
      <name val="Century Gothic"/>
      <family val="2"/>
      <charset val="204"/>
    </font>
    <font>
      <b/>
      <sz val="10"/>
      <color theme="1"/>
      <name val="Arial Cyr"/>
      <charset val="204"/>
    </font>
    <font>
      <b/>
      <sz val="10"/>
      <name val="Arial"/>
      <family val="2"/>
      <charset val="204"/>
    </font>
    <font>
      <u/>
      <sz val="10"/>
      <color theme="10"/>
      <name val="Arial Cyr"/>
      <charset val="204"/>
    </font>
    <font>
      <sz val="10"/>
      <name val="Century Gothic"/>
      <family val="2"/>
      <charset val="204"/>
    </font>
    <font>
      <b/>
      <u/>
      <sz val="10"/>
      <color rgb="FFFF0000"/>
      <name val="Century Gothic"/>
      <family val="2"/>
      <charset val="204"/>
    </font>
    <font>
      <b/>
      <sz val="10"/>
      <color rgb="FFFF0000"/>
      <name val="Century Gothic"/>
      <family val="2"/>
      <charset val="204"/>
    </font>
    <font>
      <b/>
      <sz val="10"/>
      <color rgb="FF7030A0"/>
      <name val="Century Gothic"/>
      <family val="2"/>
      <charset val="204"/>
    </font>
    <font>
      <b/>
      <sz val="10"/>
      <color theme="0"/>
      <name val="Arial Cyr"/>
      <charset val="204"/>
    </font>
    <font>
      <b/>
      <sz val="9"/>
      <color rgb="FFFF0000"/>
      <name val="Century Gothic"/>
      <family val="2"/>
      <charset val="204"/>
    </font>
    <font>
      <b/>
      <sz val="12"/>
      <color rgb="FFFFFF00"/>
      <name val="Century Gothic"/>
      <family val="2"/>
      <charset val="204"/>
    </font>
    <font>
      <b/>
      <sz val="12"/>
      <color rgb="FFFFFF00"/>
      <name val="Arial Cyr"/>
      <charset val="204"/>
    </font>
    <font>
      <b/>
      <sz val="10"/>
      <color rgb="FFFFFF00"/>
      <name val="Arial Cyr"/>
      <charset val="204"/>
    </font>
    <font>
      <sz val="10"/>
      <color rgb="FFFFFF00"/>
      <name val="Arial Cyr"/>
      <charset val="204"/>
    </font>
    <font>
      <b/>
      <sz val="18"/>
      <color rgb="FFFFFF00"/>
      <name val="Arial Cyr"/>
      <charset val="204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2"/>
      <color theme="0"/>
      <name val="Arial Cyr"/>
      <charset val="204"/>
    </font>
    <font>
      <b/>
      <sz val="14"/>
      <color theme="0"/>
      <name val="Calibri"/>
      <family val="2"/>
      <charset val="204"/>
    </font>
    <font>
      <b/>
      <sz val="10"/>
      <color indexed="8"/>
      <name val="Century Gothic"/>
      <family val="2"/>
      <charset val="204"/>
    </font>
    <font>
      <sz val="10"/>
      <color indexed="8"/>
      <name val="Century Gothic"/>
      <family val="2"/>
      <charset val="204"/>
    </font>
    <font>
      <b/>
      <sz val="10"/>
      <color theme="1"/>
      <name val="Century Gothic"/>
      <family val="2"/>
      <charset val="204"/>
    </font>
    <font>
      <b/>
      <sz val="10"/>
      <color theme="8" tint="0.59999389629810485"/>
      <name val="Century Gothic"/>
      <family val="2"/>
      <charset val="204"/>
    </font>
    <font>
      <sz val="10"/>
      <color theme="1"/>
      <name val="Century Gothic"/>
      <family val="2"/>
      <charset val="204"/>
    </font>
    <font>
      <b/>
      <sz val="22"/>
      <color rgb="FFFFFF00"/>
      <name val="Arial Cyr"/>
      <charset val="204"/>
    </font>
    <font>
      <sz val="24"/>
      <color rgb="FFFFFF00"/>
      <name val="Arial Cyr"/>
      <charset val="204"/>
    </font>
    <font>
      <sz val="10"/>
      <color theme="5" tint="-0.249977111117893"/>
      <name val="Arial Cyr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7" fillId="3" borderId="0" applyNumberFormat="0" applyBorder="0" applyAlignment="0" applyProtection="0"/>
    <xf numFmtId="0" fontId="9" fillId="20" borderId="1" applyNumberFormat="0" applyAlignment="0" applyProtection="0"/>
    <xf numFmtId="0" fontId="14" fillId="21" borderId="2" applyNumberFormat="0" applyAlignment="0" applyProtection="0"/>
    <xf numFmtId="164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7" fillId="7" borderId="1" applyNumberFormat="0" applyAlignment="0" applyProtection="0"/>
    <xf numFmtId="0" fontId="19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23" borderId="7" applyNumberFormat="0" applyFont="0" applyAlignment="0" applyProtection="0"/>
    <xf numFmtId="0" fontId="8" fillId="20" borderId="8" applyNumberFormat="0" applyAlignment="0" applyProtection="0"/>
    <xf numFmtId="0" fontId="15" fillId="0" borderId="0" applyNumberFormat="0" applyFill="0" applyBorder="0" applyAlignment="0" applyProtection="0"/>
    <xf numFmtId="0" fontId="13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" fillId="0" borderId="0"/>
    <xf numFmtId="9" fontId="2" fillId="0" borderId="0" applyFont="0" applyFill="0" applyBorder="0" applyAlignment="0" applyProtection="0"/>
    <xf numFmtId="0" fontId="1" fillId="0" borderId="0"/>
    <xf numFmtId="0" fontId="69" fillId="0" borderId="0" applyNumberFormat="0" applyFill="0" applyBorder="0" applyAlignment="0" applyProtection="0"/>
  </cellStyleXfs>
  <cellXfs count="670">
    <xf numFmtId="0" fontId="0" fillId="0" borderId="0" xfId="0"/>
    <xf numFmtId="0" fontId="24" fillId="0" borderId="0" xfId="0" applyFont="1"/>
    <xf numFmtId="0" fontId="26" fillId="0" borderId="0" xfId="0" applyFont="1"/>
    <xf numFmtId="3" fontId="24" fillId="0" borderId="0" xfId="0" applyNumberFormat="1" applyFont="1"/>
    <xf numFmtId="0" fontId="26" fillId="0" borderId="0" xfId="0" applyFont="1" applyBorder="1"/>
    <xf numFmtId="0" fontId="29" fillId="0" borderId="0" xfId="0" applyFont="1"/>
    <xf numFmtId="0" fontId="27" fillId="0" borderId="0" xfId="0" applyFont="1"/>
    <xf numFmtId="3" fontId="0" fillId="0" borderId="0" xfId="0" applyNumberFormat="1"/>
    <xf numFmtId="0" fontId="30" fillId="0" borderId="0" xfId="0" applyFont="1"/>
    <xf numFmtId="0" fontId="33" fillId="0" borderId="0" xfId="0" applyFont="1"/>
    <xf numFmtId="0" fontId="34" fillId="0" borderId="0" xfId="0" applyFont="1"/>
    <xf numFmtId="3" fontId="33" fillId="0" borderId="0" xfId="0" applyNumberFormat="1" applyFont="1"/>
    <xf numFmtId="3" fontId="27" fillId="24" borderId="0" xfId="0" applyNumberFormat="1" applyFont="1" applyFill="1" applyBorder="1"/>
    <xf numFmtId="3" fontId="25" fillId="24" borderId="0" xfId="0" applyNumberFormat="1" applyFont="1" applyFill="1" applyBorder="1"/>
    <xf numFmtId="3" fontId="31" fillId="24" borderId="0" xfId="0" applyNumberFormat="1" applyFont="1" applyFill="1" applyBorder="1"/>
    <xf numFmtId="0" fontId="25" fillId="24" borderId="0" xfId="0" applyFont="1" applyFill="1" applyBorder="1"/>
    <xf numFmtId="0" fontId="27" fillId="24" borderId="16" xfId="0" applyFont="1" applyFill="1" applyBorder="1"/>
    <xf numFmtId="0" fontId="27" fillId="24" borderId="20" xfId="0" applyFont="1" applyFill="1" applyBorder="1"/>
    <xf numFmtId="3" fontId="27" fillId="24" borderId="20" xfId="0" applyNumberFormat="1" applyFont="1" applyFill="1" applyBorder="1"/>
    <xf numFmtId="0" fontId="27" fillId="24" borderId="18" xfId="0" applyFont="1" applyFill="1" applyBorder="1"/>
    <xf numFmtId="0" fontId="27" fillId="24" borderId="15" xfId="0" applyFont="1" applyFill="1" applyBorder="1"/>
    <xf numFmtId="3" fontId="27" fillId="24" borderId="15" xfId="0" applyNumberFormat="1" applyFont="1" applyFill="1" applyBorder="1"/>
    <xf numFmtId="3" fontId="25" fillId="24" borderId="20" xfId="0" applyNumberFormat="1" applyFont="1" applyFill="1" applyBorder="1"/>
    <xf numFmtId="0" fontId="27" fillId="24" borderId="17" xfId="0" applyFont="1" applyFill="1" applyBorder="1"/>
    <xf numFmtId="0" fontId="27" fillId="24" borderId="0" xfId="0" applyFont="1" applyFill="1" applyBorder="1"/>
    <xf numFmtId="9" fontId="27" fillId="24" borderId="0" xfId="44" applyNumberFormat="1" applyFont="1" applyFill="1" applyBorder="1"/>
    <xf numFmtId="9" fontId="27" fillId="24" borderId="15" xfId="44" applyNumberFormat="1" applyFont="1" applyFill="1" applyBorder="1"/>
    <xf numFmtId="3" fontId="25" fillId="24" borderId="15" xfId="0" applyNumberFormat="1" applyFont="1" applyFill="1" applyBorder="1"/>
    <xf numFmtId="9" fontId="27" fillId="24" borderId="20" xfId="44" applyNumberFormat="1" applyFont="1" applyFill="1" applyBorder="1"/>
    <xf numFmtId="0" fontId="27" fillId="24" borderId="11" xfId="0" applyFont="1" applyFill="1" applyBorder="1"/>
    <xf numFmtId="0" fontId="27" fillId="24" borderId="14" xfId="0" applyFont="1" applyFill="1" applyBorder="1"/>
    <xf numFmtId="0" fontId="27" fillId="24" borderId="19" xfId="0" applyFont="1" applyFill="1" applyBorder="1"/>
    <xf numFmtId="0" fontId="27" fillId="24" borderId="21" xfId="0" applyFont="1" applyFill="1" applyBorder="1"/>
    <xf numFmtId="3" fontId="27" fillId="24" borderId="21" xfId="0" applyNumberFormat="1" applyFont="1" applyFill="1" applyBorder="1"/>
    <xf numFmtId="3" fontId="27" fillId="24" borderId="19" xfId="0" applyNumberFormat="1" applyFont="1" applyFill="1" applyBorder="1"/>
    <xf numFmtId="3" fontId="25" fillId="24" borderId="21" xfId="0" applyNumberFormat="1" applyFont="1" applyFill="1" applyBorder="1"/>
    <xf numFmtId="0" fontId="27" fillId="24" borderId="16" xfId="0" applyFont="1" applyFill="1" applyBorder="1" applyAlignment="1">
      <alignment wrapText="1"/>
    </xf>
    <xf numFmtId="0" fontId="27" fillId="24" borderId="0" xfId="0" applyFont="1" applyFill="1"/>
    <xf numFmtId="4" fontId="28" fillId="24" borderId="0" xfId="0" applyNumberFormat="1" applyFont="1" applyFill="1" applyAlignment="1">
      <alignment horizontal="center"/>
    </xf>
    <xf numFmtId="0" fontId="25" fillId="24" borderId="0" xfId="0" applyFont="1" applyFill="1"/>
    <xf numFmtId="0" fontId="36" fillId="0" borderId="0" xfId="0" applyFont="1"/>
    <xf numFmtId="0" fontId="0" fillId="0" borderId="0" xfId="0" applyFont="1"/>
    <xf numFmtId="0" fontId="25" fillId="24" borderId="16" xfId="0" applyFont="1" applyFill="1" applyBorder="1"/>
    <xf numFmtId="0" fontId="25" fillId="24" borderId="20" xfId="0" applyFont="1" applyFill="1" applyBorder="1"/>
    <xf numFmtId="0" fontId="25" fillId="24" borderId="20" xfId="0" applyFont="1" applyFill="1" applyBorder="1" applyAlignment="1">
      <alignment horizontal="center"/>
    </xf>
    <xf numFmtId="4" fontId="27" fillId="0" borderId="0" xfId="0" applyNumberFormat="1" applyFont="1"/>
    <xf numFmtId="3" fontId="32" fillId="24" borderId="0" xfId="0" applyNumberFormat="1" applyFont="1" applyFill="1" applyBorder="1"/>
    <xf numFmtId="0" fontId="32" fillId="24" borderId="0" xfId="0" applyFont="1" applyFill="1" applyBorder="1"/>
    <xf numFmtId="3" fontId="31" fillId="24" borderId="20" xfId="0" applyNumberFormat="1" applyFont="1" applyFill="1" applyBorder="1"/>
    <xf numFmtId="3" fontId="31" fillId="24" borderId="21" xfId="0" applyNumberFormat="1" applyFont="1" applyFill="1" applyBorder="1"/>
    <xf numFmtId="0" fontId="32" fillId="24" borderId="0" xfId="0" applyFont="1" applyFill="1" applyBorder="1" applyAlignment="1">
      <alignment horizontal="center"/>
    </xf>
    <xf numFmtId="0" fontId="32" fillId="24" borderId="15" xfId="0" applyFont="1" applyFill="1" applyBorder="1" applyAlignment="1">
      <alignment horizontal="center"/>
    </xf>
    <xf numFmtId="0" fontId="27" fillId="0" borderId="0" xfId="0" applyFont="1" applyAlignment="1">
      <alignment horizontal="right"/>
    </xf>
    <xf numFmtId="4" fontId="27" fillId="25" borderId="0" xfId="0" applyNumberFormat="1" applyFont="1" applyFill="1"/>
    <xf numFmtId="3" fontId="24" fillId="25" borderId="0" xfId="0" applyNumberFormat="1" applyFont="1" applyFill="1"/>
    <xf numFmtId="0" fontId="24" fillId="25" borderId="0" xfId="0" applyFont="1" applyFill="1"/>
    <xf numFmtId="0" fontId="34" fillId="25" borderId="0" xfId="0" applyFont="1" applyFill="1"/>
    <xf numFmtId="0" fontId="33" fillId="25" borderId="0" xfId="0" applyFont="1" applyFill="1"/>
    <xf numFmtId="0" fontId="0" fillId="25" borderId="0" xfId="0" applyFill="1"/>
    <xf numFmtId="3" fontId="25" fillId="24" borderId="26" xfId="0" applyNumberFormat="1" applyFont="1" applyFill="1" applyBorder="1"/>
    <xf numFmtId="3" fontId="31" fillId="24" borderId="22" xfId="0" applyNumberFormat="1" applyFont="1" applyFill="1" applyBorder="1"/>
    <xf numFmtId="3" fontId="27" fillId="24" borderId="22" xfId="0" applyNumberFormat="1" applyFont="1" applyFill="1" applyBorder="1"/>
    <xf numFmtId="3" fontId="25" fillId="24" borderId="22" xfId="0" applyNumberFormat="1" applyFont="1" applyFill="1" applyBorder="1"/>
    <xf numFmtId="3" fontId="32" fillId="24" borderId="22" xfId="0" applyNumberFormat="1" applyFont="1" applyFill="1" applyBorder="1"/>
    <xf numFmtId="0" fontId="32" fillId="24" borderId="22" xfId="0" applyFont="1" applyFill="1" applyBorder="1"/>
    <xf numFmtId="0" fontId="25" fillId="24" borderId="22" xfId="0" applyFont="1" applyFill="1" applyBorder="1"/>
    <xf numFmtId="3" fontId="25" fillId="24" borderId="23" xfId="0" applyNumberFormat="1" applyFont="1" applyFill="1" applyBorder="1"/>
    <xf numFmtId="0" fontId="31" fillId="24" borderId="17" xfId="0" applyFont="1" applyFill="1" applyBorder="1" applyAlignment="1">
      <alignment horizontal="right"/>
    </xf>
    <xf numFmtId="0" fontId="37" fillId="0" borderId="0" xfId="0" applyFont="1"/>
    <xf numFmtId="3" fontId="25" fillId="24" borderId="24" xfId="0" applyNumberFormat="1" applyFont="1" applyFill="1" applyBorder="1"/>
    <xf numFmtId="3" fontId="31" fillId="24" borderId="25" xfId="0" applyNumberFormat="1" applyFont="1" applyFill="1" applyBorder="1"/>
    <xf numFmtId="3" fontId="27" fillId="24" borderId="24" xfId="0" applyNumberFormat="1" applyFont="1" applyFill="1" applyBorder="1"/>
    <xf numFmtId="0" fontId="38" fillId="24" borderId="0" xfId="0" applyFont="1" applyFill="1" applyBorder="1"/>
    <xf numFmtId="165" fontId="38" fillId="24" borderId="0" xfId="44" applyNumberFormat="1" applyFont="1" applyFill="1" applyBorder="1"/>
    <xf numFmtId="0" fontId="33" fillId="0" borderId="0" xfId="0" applyFont="1" applyAlignment="1">
      <alignment horizontal="right"/>
    </xf>
    <xf numFmtId="3" fontId="27" fillId="24" borderId="23" xfId="0" applyNumberFormat="1" applyFont="1" applyFill="1" applyBorder="1"/>
    <xf numFmtId="3" fontId="34" fillId="0" borderId="0" xfId="0" applyNumberFormat="1" applyFont="1" applyBorder="1"/>
    <xf numFmtId="3" fontId="43" fillId="0" borderId="0" xfId="0" applyNumberFormat="1" applyFont="1"/>
    <xf numFmtId="3" fontId="32" fillId="24" borderId="25" xfId="0" applyNumberFormat="1" applyFont="1" applyFill="1" applyBorder="1"/>
    <xf numFmtId="3" fontId="41" fillId="25" borderId="0" xfId="0" applyNumberFormat="1" applyFont="1" applyFill="1"/>
    <xf numFmtId="3" fontId="41" fillId="0" borderId="0" xfId="0" applyNumberFormat="1" applyFont="1"/>
    <xf numFmtId="4" fontId="38" fillId="24" borderId="20" xfId="0" applyNumberFormat="1" applyFont="1" applyFill="1" applyBorder="1"/>
    <xf numFmtId="4" fontId="38" fillId="24" borderId="0" xfId="0" applyNumberFormat="1" applyFont="1" applyFill="1" applyBorder="1"/>
    <xf numFmtId="4" fontId="38" fillId="24" borderId="15" xfId="0" applyNumberFormat="1" applyFont="1" applyFill="1" applyBorder="1"/>
    <xf numFmtId="0" fontId="35" fillId="24" borderId="17" xfId="0" applyFont="1" applyFill="1" applyBorder="1" applyAlignment="1">
      <alignment horizontal="right"/>
    </xf>
    <xf numFmtId="0" fontId="35" fillId="24" borderId="0" xfId="0" applyFont="1" applyFill="1" applyBorder="1"/>
    <xf numFmtId="3" fontId="35" fillId="24" borderId="0" xfId="0" applyNumberFormat="1" applyFont="1" applyFill="1" applyBorder="1"/>
    <xf numFmtId="0" fontId="49" fillId="0" borderId="0" xfId="0" applyFont="1"/>
    <xf numFmtId="3" fontId="27" fillId="24" borderId="33" xfId="0" applyNumberFormat="1" applyFont="1" applyFill="1" applyBorder="1"/>
    <xf numFmtId="3" fontId="27" fillId="24" borderId="31" xfId="0" applyNumberFormat="1" applyFont="1" applyFill="1" applyBorder="1"/>
    <xf numFmtId="3" fontId="27" fillId="24" borderId="34" xfId="0" applyNumberFormat="1" applyFont="1" applyFill="1" applyBorder="1"/>
    <xf numFmtId="3" fontId="25" fillId="24" borderId="31" xfId="0" applyNumberFormat="1" applyFont="1" applyFill="1" applyBorder="1"/>
    <xf numFmtId="3" fontId="31" fillId="24" borderId="34" xfId="0" applyNumberFormat="1" applyFont="1" applyFill="1" applyBorder="1"/>
    <xf numFmtId="3" fontId="32" fillId="24" borderId="34" xfId="0" applyNumberFormat="1" applyFont="1" applyFill="1" applyBorder="1"/>
    <xf numFmtId="0" fontId="32" fillId="24" borderId="34" xfId="0" applyFont="1" applyFill="1" applyBorder="1"/>
    <xf numFmtId="0" fontId="27" fillId="24" borderId="34" xfId="0" applyFont="1" applyFill="1" applyBorder="1"/>
    <xf numFmtId="3" fontId="27" fillId="24" borderId="25" xfId="0" applyNumberFormat="1" applyFont="1" applyFill="1" applyBorder="1"/>
    <xf numFmtId="0" fontId="38" fillId="24" borderId="10" xfId="0" applyFont="1" applyFill="1" applyBorder="1"/>
    <xf numFmtId="0" fontId="38" fillId="24" borderId="12" xfId="0" applyFont="1" applyFill="1" applyBorder="1"/>
    <xf numFmtId="0" fontId="38" fillId="24" borderId="13" xfId="0" applyFont="1" applyFill="1" applyBorder="1"/>
    <xf numFmtId="10" fontId="38" fillId="24" borderId="0" xfId="0" applyNumberFormat="1" applyFont="1" applyFill="1" applyBorder="1"/>
    <xf numFmtId="10" fontId="38" fillId="24" borderId="0" xfId="44" applyNumberFormat="1" applyFont="1" applyFill="1" applyBorder="1"/>
    <xf numFmtId="0" fontId="25" fillId="24" borderId="17" xfId="0" applyFont="1" applyFill="1" applyBorder="1"/>
    <xf numFmtId="3" fontId="28" fillId="24" borderId="34" xfId="0" applyNumberFormat="1" applyFont="1" applyFill="1" applyBorder="1"/>
    <xf numFmtId="3" fontId="32" fillId="24" borderId="21" xfId="0" applyNumberFormat="1" applyFont="1" applyFill="1" applyBorder="1"/>
    <xf numFmtId="3" fontId="28" fillId="24" borderId="0" xfId="0" applyNumberFormat="1" applyFont="1" applyFill="1" applyBorder="1"/>
    <xf numFmtId="3" fontId="34" fillId="0" borderId="0" xfId="0" applyNumberFormat="1" applyFont="1" applyAlignment="1">
      <alignment horizontal="right"/>
    </xf>
    <xf numFmtId="3" fontId="33" fillId="0" borderId="10" xfId="0" applyNumberFormat="1" applyFont="1" applyBorder="1"/>
    <xf numFmtId="0" fontId="33" fillId="0" borderId="10" xfId="0" applyFont="1" applyBorder="1"/>
    <xf numFmtId="0" fontId="33" fillId="0" borderId="10" xfId="0" applyFont="1" applyBorder="1" applyAlignment="1">
      <alignment horizontal="center"/>
    </xf>
    <xf numFmtId="0" fontId="52" fillId="24" borderId="17" xfId="0" applyFont="1" applyFill="1" applyBorder="1"/>
    <xf numFmtId="0" fontId="52" fillId="24" borderId="0" xfId="0" applyFont="1" applyFill="1" applyBorder="1"/>
    <xf numFmtId="10" fontId="52" fillId="24" borderId="0" xfId="44" applyNumberFormat="1" applyFont="1" applyFill="1" applyBorder="1"/>
    <xf numFmtId="3" fontId="52" fillId="24" borderId="34" xfId="0" applyNumberFormat="1" applyFont="1" applyFill="1" applyBorder="1"/>
    <xf numFmtId="3" fontId="52" fillId="24" borderId="0" xfId="0" applyNumberFormat="1" applyFont="1" applyFill="1" applyBorder="1"/>
    <xf numFmtId="3" fontId="52" fillId="24" borderId="22" xfId="0" applyNumberFormat="1" applyFont="1" applyFill="1" applyBorder="1"/>
    <xf numFmtId="0" fontId="53" fillId="0" borderId="0" xfId="0" applyFont="1"/>
    <xf numFmtId="10" fontId="25" fillId="24" borderId="0" xfId="44" applyNumberFormat="1" applyFont="1" applyFill="1" applyBorder="1"/>
    <xf numFmtId="3" fontId="25" fillId="24" borderId="34" xfId="0" applyNumberFormat="1" applyFont="1" applyFill="1" applyBorder="1"/>
    <xf numFmtId="0" fontId="58" fillId="0" borderId="0" xfId="0" applyFont="1"/>
    <xf numFmtId="3" fontId="0" fillId="0" borderId="0" xfId="0" applyNumberFormat="1" applyAlignment="1">
      <alignment horizontal="right"/>
    </xf>
    <xf numFmtId="3" fontId="60" fillId="0" borderId="0" xfId="0" applyNumberFormat="1" applyFont="1"/>
    <xf numFmtId="0" fontId="61" fillId="0" borderId="0" xfId="0" applyFont="1" applyAlignment="1">
      <alignment horizontal="right"/>
    </xf>
    <xf numFmtId="0" fontId="62" fillId="0" borderId="0" xfId="0" applyFont="1"/>
    <xf numFmtId="0" fontId="56" fillId="0" borderId="0" xfId="0" applyFont="1" applyFill="1" applyBorder="1" applyAlignment="1">
      <alignment horizontal="right"/>
    </xf>
    <xf numFmtId="0" fontId="61" fillId="0" borderId="0" xfId="0" applyFont="1" applyFill="1" applyBorder="1" applyAlignment="1">
      <alignment horizontal="right"/>
    </xf>
    <xf numFmtId="0" fontId="56" fillId="0" borderId="0" xfId="0" applyFont="1" applyBorder="1" applyAlignment="1">
      <alignment horizontal="right"/>
    </xf>
    <xf numFmtId="3" fontId="56" fillId="0" borderId="0" xfId="0" applyNumberFormat="1" applyFont="1" applyBorder="1" applyAlignment="1">
      <alignment horizontal="right"/>
    </xf>
    <xf numFmtId="3" fontId="0" fillId="0" borderId="0" xfId="0" applyNumberFormat="1" applyAlignment="1">
      <alignment horizontal="left"/>
    </xf>
    <xf numFmtId="0" fontId="59" fillId="0" borderId="0" xfId="0" applyFont="1"/>
    <xf numFmtId="0" fontId="62" fillId="0" borderId="0" xfId="0" applyFont="1" applyAlignment="1">
      <alignment horizontal="right"/>
    </xf>
    <xf numFmtId="168" fontId="0" fillId="0" borderId="0" xfId="0" applyNumberFormat="1"/>
    <xf numFmtId="168" fontId="58" fillId="0" borderId="0" xfId="0" applyNumberFormat="1" applyFont="1"/>
    <xf numFmtId="3" fontId="58" fillId="0" borderId="0" xfId="0" applyNumberFormat="1" applyFont="1"/>
    <xf numFmtId="0" fontId="56" fillId="0" borderId="54" xfId="0" applyFont="1" applyBorder="1"/>
    <xf numFmtId="0" fontId="56" fillId="0" borderId="14" xfId="0" applyFont="1" applyBorder="1"/>
    <xf numFmtId="0" fontId="56" fillId="0" borderId="14" xfId="0" applyFont="1" applyFill="1" applyBorder="1" applyAlignment="1">
      <alignment horizontal="left"/>
    </xf>
    <xf numFmtId="0" fontId="56" fillId="0" borderId="14" xfId="0" applyFont="1" applyFill="1" applyBorder="1" applyAlignment="1"/>
    <xf numFmtId="0" fontId="56" fillId="0" borderId="53" xfId="0" applyFont="1" applyFill="1" applyBorder="1" applyAlignment="1">
      <alignment horizontal="left"/>
    </xf>
    <xf numFmtId="4" fontId="61" fillId="0" borderId="48" xfId="0" applyNumberFormat="1" applyFont="1" applyBorder="1"/>
    <xf numFmtId="3" fontId="61" fillId="0" borderId="49" xfId="0" applyNumberFormat="1" applyFont="1" applyBorder="1"/>
    <xf numFmtId="169" fontId="61" fillId="0" borderId="49" xfId="0" applyNumberFormat="1" applyFont="1" applyBorder="1"/>
    <xf numFmtId="3" fontId="61" fillId="27" borderId="49" xfId="0" applyNumberFormat="1" applyFont="1" applyFill="1" applyBorder="1"/>
    <xf numFmtId="167" fontId="61" fillId="0" borderId="49" xfId="0" applyNumberFormat="1" applyFont="1" applyBorder="1"/>
    <xf numFmtId="4" fontId="56" fillId="0" borderId="49" xfId="0" applyNumberFormat="1" applyFont="1" applyBorder="1"/>
    <xf numFmtId="4" fontId="56" fillId="0" borderId="52" xfId="0" applyNumberFormat="1" applyFont="1" applyBorder="1"/>
    <xf numFmtId="4" fontId="27" fillId="0" borderId="0" xfId="0" applyNumberFormat="1" applyFont="1" applyProtection="1">
      <protection hidden="1"/>
    </xf>
    <xf numFmtId="4" fontId="27" fillId="25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42" fillId="0" borderId="0" xfId="0" applyFont="1" applyAlignment="1" applyProtection="1">
      <alignment horizontal="right"/>
      <protection hidden="1"/>
    </xf>
    <xf numFmtId="3" fontId="57" fillId="0" borderId="0" xfId="0" applyNumberFormat="1" applyFont="1" applyBorder="1" applyProtection="1">
      <protection hidden="1"/>
    </xf>
    <xf numFmtId="0" fontId="58" fillId="0" borderId="0" xfId="0" applyFont="1" applyProtection="1">
      <protection hidden="1"/>
    </xf>
    <xf numFmtId="0" fontId="36" fillId="0" borderId="0" xfId="0" applyFont="1" applyProtection="1">
      <protection hidden="1"/>
    </xf>
    <xf numFmtId="0" fontId="24" fillId="0" borderId="0" xfId="0" applyFont="1" applyProtection="1">
      <protection hidden="1"/>
    </xf>
    <xf numFmtId="0" fontId="33" fillId="0" borderId="0" xfId="0" applyFont="1" applyProtection="1">
      <protection hidden="1"/>
    </xf>
    <xf numFmtId="0" fontId="41" fillId="0" borderId="0" xfId="0" applyFont="1" applyProtection="1">
      <protection hidden="1"/>
    </xf>
    <xf numFmtId="3" fontId="43" fillId="0" borderId="0" xfId="0" applyNumberFormat="1" applyFont="1" applyProtection="1">
      <protection hidden="1"/>
    </xf>
    <xf numFmtId="0" fontId="27" fillId="0" borderId="0" xfId="0" applyFont="1" applyProtection="1">
      <protection hidden="1"/>
    </xf>
    <xf numFmtId="0" fontId="25" fillId="0" borderId="0" xfId="0" applyFont="1" applyProtection="1">
      <protection hidden="1"/>
    </xf>
    <xf numFmtId="0" fontId="27" fillId="25" borderId="0" xfId="0" applyFont="1" applyFill="1" applyProtection="1">
      <protection hidden="1"/>
    </xf>
    <xf numFmtId="0" fontId="27" fillId="0" borderId="0" xfId="0" applyFont="1" applyAlignment="1" applyProtection="1">
      <alignment horizontal="right"/>
      <protection hidden="1"/>
    </xf>
    <xf numFmtId="3" fontId="24" fillId="0" borderId="0" xfId="0" applyNumberFormat="1" applyFont="1" applyProtection="1">
      <protection hidden="1"/>
    </xf>
    <xf numFmtId="3" fontId="30" fillId="0" borderId="0" xfId="0" applyNumberFormat="1" applyFont="1" applyProtection="1">
      <protection hidden="1"/>
    </xf>
    <xf numFmtId="3" fontId="24" fillId="25" borderId="0" xfId="0" applyNumberFormat="1" applyFont="1" applyFill="1" applyProtection="1">
      <protection hidden="1"/>
    </xf>
    <xf numFmtId="0" fontId="26" fillId="0" borderId="0" xfId="0" applyFont="1" applyProtection="1">
      <protection hidden="1"/>
    </xf>
    <xf numFmtId="0" fontId="27" fillId="24" borderId="16" xfId="0" applyFont="1" applyFill="1" applyBorder="1" applyProtection="1">
      <protection hidden="1"/>
    </xf>
    <xf numFmtId="0" fontId="27" fillId="24" borderId="20" xfId="0" applyFont="1" applyFill="1" applyBorder="1" applyProtection="1">
      <protection hidden="1"/>
    </xf>
    <xf numFmtId="3" fontId="27" fillId="24" borderId="20" xfId="0" applyNumberFormat="1" applyFont="1" applyFill="1" applyBorder="1" applyProtection="1">
      <protection hidden="1"/>
    </xf>
    <xf numFmtId="3" fontId="32" fillId="24" borderId="19" xfId="0" applyNumberFormat="1" applyFont="1" applyFill="1" applyBorder="1" applyProtection="1">
      <protection hidden="1"/>
    </xf>
    <xf numFmtId="3" fontId="32" fillId="24" borderId="25" xfId="0" applyNumberFormat="1" applyFont="1" applyFill="1" applyBorder="1" applyProtection="1">
      <protection hidden="1"/>
    </xf>
    <xf numFmtId="0" fontId="27" fillId="24" borderId="18" xfId="0" applyFont="1" applyFill="1" applyBorder="1" applyProtection="1">
      <protection hidden="1"/>
    </xf>
    <xf numFmtId="0" fontId="27" fillId="24" borderId="15" xfId="0" applyFont="1" applyFill="1" applyBorder="1" applyProtection="1">
      <protection hidden="1"/>
    </xf>
    <xf numFmtId="3" fontId="27" fillId="24" borderId="15" xfId="0" applyNumberFormat="1" applyFont="1" applyFill="1" applyBorder="1" applyProtection="1">
      <protection hidden="1"/>
    </xf>
    <xf numFmtId="3" fontId="27" fillId="24" borderId="18" xfId="0" applyNumberFormat="1" applyFont="1" applyFill="1" applyBorder="1" applyProtection="1">
      <protection hidden="1"/>
    </xf>
    <xf numFmtId="3" fontId="25" fillId="24" borderId="15" xfId="0" applyNumberFormat="1" applyFont="1" applyFill="1" applyBorder="1" applyProtection="1">
      <protection hidden="1"/>
    </xf>
    <xf numFmtId="3" fontId="27" fillId="24" borderId="23" xfId="0" applyNumberFormat="1" applyFont="1" applyFill="1" applyBorder="1" applyProtection="1">
      <protection hidden="1"/>
    </xf>
    <xf numFmtId="3" fontId="28" fillId="24" borderId="17" xfId="0" applyNumberFormat="1" applyFont="1" applyFill="1" applyBorder="1" applyProtection="1">
      <protection hidden="1"/>
    </xf>
    <xf numFmtId="3" fontId="27" fillId="24" borderId="0" xfId="0" applyNumberFormat="1" applyFont="1" applyFill="1" applyBorder="1" applyProtection="1">
      <protection hidden="1"/>
    </xf>
    <xf numFmtId="3" fontId="25" fillId="24" borderId="0" xfId="0" applyNumberFormat="1" applyFont="1" applyFill="1" applyBorder="1" applyProtection="1">
      <protection hidden="1"/>
    </xf>
    <xf numFmtId="3" fontId="25" fillId="24" borderId="22" xfId="0" applyNumberFormat="1" applyFont="1" applyFill="1" applyBorder="1" applyProtection="1">
      <protection hidden="1"/>
    </xf>
    <xf numFmtId="0" fontId="27" fillId="24" borderId="17" xfId="0" applyFont="1" applyFill="1" applyBorder="1" applyProtection="1">
      <protection hidden="1"/>
    </xf>
    <xf numFmtId="0" fontId="27" fillId="24" borderId="0" xfId="0" applyFont="1" applyFill="1" applyBorder="1" applyProtection="1">
      <protection hidden="1"/>
    </xf>
    <xf numFmtId="10" fontId="27" fillId="24" borderId="0" xfId="44" applyNumberFormat="1" applyFont="1" applyFill="1" applyBorder="1" applyProtection="1">
      <protection hidden="1"/>
    </xf>
    <xf numFmtId="3" fontId="27" fillId="24" borderId="17" xfId="0" applyNumberFormat="1" applyFont="1" applyFill="1" applyBorder="1" applyProtection="1">
      <protection hidden="1"/>
    </xf>
    <xf numFmtId="10" fontId="27" fillId="24" borderId="15" xfId="44" applyNumberFormat="1" applyFont="1" applyFill="1" applyBorder="1" applyProtection="1">
      <protection hidden="1"/>
    </xf>
    <xf numFmtId="3" fontId="25" fillId="24" borderId="23" xfId="0" applyNumberFormat="1" applyFont="1" applyFill="1" applyBorder="1" applyProtection="1">
      <protection hidden="1"/>
    </xf>
    <xf numFmtId="9" fontId="27" fillId="24" borderId="20" xfId="44" applyNumberFormat="1" applyFont="1" applyFill="1" applyBorder="1" applyProtection="1">
      <protection hidden="1"/>
    </xf>
    <xf numFmtId="3" fontId="27" fillId="24" borderId="16" xfId="0" applyNumberFormat="1" applyFont="1" applyFill="1" applyBorder="1" applyProtection="1">
      <protection hidden="1"/>
    </xf>
    <xf numFmtId="3" fontId="25" fillId="24" borderId="20" xfId="0" applyNumberFormat="1" applyFont="1" applyFill="1" applyBorder="1" applyProtection="1">
      <protection hidden="1"/>
    </xf>
    <xf numFmtId="3" fontId="25" fillId="24" borderId="26" xfId="0" applyNumberFormat="1" applyFont="1" applyFill="1" applyBorder="1" applyProtection="1">
      <protection hidden="1"/>
    </xf>
    <xf numFmtId="9" fontId="27" fillId="24" borderId="15" xfId="44" applyNumberFormat="1" applyFont="1" applyFill="1" applyBorder="1" applyProtection="1">
      <protection hidden="1"/>
    </xf>
    <xf numFmtId="0" fontId="25" fillId="24" borderId="16" xfId="0" applyFont="1" applyFill="1" applyBorder="1" applyProtection="1">
      <protection hidden="1"/>
    </xf>
    <xf numFmtId="0" fontId="25" fillId="24" borderId="20" xfId="0" applyFont="1" applyFill="1" applyBorder="1" applyProtection="1">
      <protection hidden="1"/>
    </xf>
    <xf numFmtId="0" fontId="25" fillId="24" borderId="20" xfId="0" applyFont="1" applyFill="1" applyBorder="1" applyAlignment="1" applyProtection="1">
      <alignment horizontal="center"/>
      <protection hidden="1"/>
    </xf>
    <xf numFmtId="4" fontId="38" fillId="24" borderId="20" xfId="0" applyNumberFormat="1" applyFont="1" applyFill="1" applyBorder="1" applyProtection="1">
      <protection hidden="1"/>
    </xf>
    <xf numFmtId="3" fontId="25" fillId="24" borderId="16" xfId="0" applyNumberFormat="1" applyFont="1" applyFill="1" applyBorder="1" applyProtection="1">
      <protection hidden="1"/>
    </xf>
    <xf numFmtId="0" fontId="0" fillId="0" borderId="0" xfId="0" applyFont="1" applyProtection="1">
      <protection hidden="1"/>
    </xf>
    <xf numFmtId="0" fontId="32" fillId="24" borderId="0" xfId="0" applyFont="1" applyFill="1" applyBorder="1" applyAlignment="1" applyProtection="1">
      <alignment horizontal="center"/>
      <protection hidden="1"/>
    </xf>
    <xf numFmtId="4" fontId="38" fillId="24" borderId="0" xfId="0" applyNumberFormat="1" applyFont="1" applyFill="1" applyBorder="1" applyProtection="1">
      <protection hidden="1"/>
    </xf>
    <xf numFmtId="0" fontId="32" fillId="24" borderId="15" xfId="0" applyFont="1" applyFill="1" applyBorder="1" applyAlignment="1" applyProtection="1">
      <alignment horizontal="center"/>
      <protection hidden="1"/>
    </xf>
    <xf numFmtId="4" fontId="38" fillId="24" borderId="15" xfId="0" applyNumberFormat="1" applyFont="1" applyFill="1" applyBorder="1" applyProtection="1">
      <protection hidden="1"/>
    </xf>
    <xf numFmtId="3" fontId="31" fillId="24" borderId="25" xfId="0" applyNumberFormat="1" applyFont="1" applyFill="1" applyBorder="1" applyProtection="1">
      <protection hidden="1"/>
    </xf>
    <xf numFmtId="3" fontId="31" fillId="24" borderId="21" xfId="0" applyNumberFormat="1" applyFont="1" applyFill="1" applyBorder="1" applyProtection="1">
      <protection hidden="1"/>
    </xf>
    <xf numFmtId="3" fontId="31" fillId="24" borderId="19" xfId="0" applyNumberFormat="1" applyFont="1" applyFill="1" applyBorder="1" applyProtection="1">
      <protection hidden="1"/>
    </xf>
    <xf numFmtId="0" fontId="38" fillId="24" borderId="0" xfId="0" applyFont="1" applyFill="1" applyBorder="1" applyProtection="1">
      <protection hidden="1"/>
    </xf>
    <xf numFmtId="3" fontId="27" fillId="24" borderId="34" xfId="0" applyNumberFormat="1" applyFont="1" applyFill="1" applyBorder="1" applyProtection="1">
      <protection hidden="1"/>
    </xf>
    <xf numFmtId="3" fontId="27" fillId="24" borderId="26" xfId="0" applyNumberFormat="1" applyFont="1" applyFill="1" applyBorder="1" applyProtection="1">
      <protection hidden="1"/>
    </xf>
    <xf numFmtId="0" fontId="38" fillId="24" borderId="0" xfId="0" applyFont="1" applyFill="1" applyBorder="1" applyAlignment="1" applyProtection="1">
      <alignment horizontal="right"/>
      <protection hidden="1"/>
    </xf>
    <xf numFmtId="3" fontId="27" fillId="27" borderId="25" xfId="0" applyNumberFormat="1" applyFont="1" applyFill="1" applyBorder="1" applyProtection="1">
      <protection hidden="1"/>
    </xf>
    <xf numFmtId="3" fontId="25" fillId="27" borderId="21" xfId="0" applyNumberFormat="1" applyFont="1" applyFill="1" applyBorder="1" applyProtection="1">
      <protection hidden="1"/>
    </xf>
    <xf numFmtId="3" fontId="27" fillId="27" borderId="21" xfId="0" applyNumberFormat="1" applyFont="1" applyFill="1" applyBorder="1" applyProtection="1">
      <protection hidden="1"/>
    </xf>
    <xf numFmtId="0" fontId="27" fillId="24" borderId="0" xfId="0" applyFont="1" applyFill="1" applyBorder="1" applyAlignment="1" applyProtection="1">
      <alignment horizontal="right"/>
      <protection hidden="1"/>
    </xf>
    <xf numFmtId="3" fontId="27" fillId="27" borderId="34" xfId="0" applyNumberFormat="1" applyFont="1" applyFill="1" applyBorder="1" applyProtection="1">
      <protection hidden="1"/>
    </xf>
    <xf numFmtId="3" fontId="32" fillId="27" borderId="0" xfId="0" applyNumberFormat="1" applyFont="1" applyFill="1" applyBorder="1" applyProtection="1">
      <protection hidden="1"/>
    </xf>
    <xf numFmtId="3" fontId="27" fillId="27" borderId="0" xfId="0" applyNumberFormat="1" applyFont="1" applyFill="1" applyBorder="1" applyProtection="1">
      <protection hidden="1"/>
    </xf>
    <xf numFmtId="3" fontId="27" fillId="27" borderId="22" xfId="0" applyNumberFormat="1" applyFont="1" applyFill="1" applyBorder="1" applyProtection="1">
      <protection hidden="1"/>
    </xf>
    <xf numFmtId="3" fontId="27" fillId="27" borderId="33" xfId="0" applyNumberFormat="1" applyFont="1" applyFill="1" applyBorder="1" applyProtection="1">
      <protection hidden="1"/>
    </xf>
    <xf numFmtId="3" fontId="32" fillId="27" borderId="15" xfId="0" applyNumberFormat="1" applyFont="1" applyFill="1" applyBorder="1" applyProtection="1">
      <protection hidden="1"/>
    </xf>
    <xf numFmtId="3" fontId="32" fillId="24" borderId="0" xfId="0" applyNumberFormat="1" applyFont="1" applyFill="1" applyBorder="1" applyProtection="1">
      <protection hidden="1"/>
    </xf>
    <xf numFmtId="0" fontId="27" fillId="24" borderId="17" xfId="0" applyFont="1" applyFill="1" applyBorder="1" applyAlignment="1" applyProtection="1">
      <alignment horizontal="left"/>
      <protection hidden="1"/>
    </xf>
    <xf numFmtId="3" fontId="27" fillId="26" borderId="16" xfId="0" applyNumberFormat="1" applyFont="1" applyFill="1" applyBorder="1" applyProtection="1">
      <protection hidden="1"/>
    </xf>
    <xf numFmtId="3" fontId="27" fillId="26" borderId="19" xfId="0" applyNumberFormat="1" applyFont="1" applyFill="1" applyBorder="1" applyProtection="1">
      <protection hidden="1"/>
    </xf>
    <xf numFmtId="3" fontId="27" fillId="26" borderId="21" xfId="0" applyNumberFormat="1" applyFont="1" applyFill="1" applyBorder="1" applyProtection="1">
      <protection hidden="1"/>
    </xf>
    <xf numFmtId="3" fontId="35" fillId="26" borderId="21" xfId="0" applyNumberFormat="1" applyFont="1" applyFill="1" applyBorder="1" applyProtection="1">
      <protection hidden="1"/>
    </xf>
    <xf numFmtId="3" fontId="35" fillId="26" borderId="24" xfId="0" applyNumberFormat="1" applyFont="1" applyFill="1" applyBorder="1" applyProtection="1">
      <protection hidden="1"/>
    </xf>
    <xf numFmtId="0" fontId="38" fillId="24" borderId="10" xfId="0" applyFont="1" applyFill="1" applyBorder="1" applyProtection="1">
      <protection hidden="1"/>
    </xf>
    <xf numFmtId="3" fontId="27" fillId="26" borderId="17" xfId="0" applyNumberFormat="1" applyFont="1" applyFill="1" applyBorder="1" applyProtection="1">
      <protection hidden="1"/>
    </xf>
    <xf numFmtId="3" fontId="35" fillId="26" borderId="0" xfId="0" applyNumberFormat="1" applyFont="1" applyFill="1" applyBorder="1" applyProtection="1">
      <protection hidden="1"/>
    </xf>
    <xf numFmtId="3" fontId="35" fillId="26" borderId="22" xfId="0" applyNumberFormat="1" applyFont="1" applyFill="1" applyBorder="1" applyProtection="1">
      <protection hidden="1"/>
    </xf>
    <xf numFmtId="3" fontId="27" fillId="26" borderId="18" xfId="0" applyNumberFormat="1" applyFont="1" applyFill="1" applyBorder="1" applyProtection="1">
      <protection hidden="1"/>
    </xf>
    <xf numFmtId="3" fontId="35" fillId="26" borderId="15" xfId="0" applyNumberFormat="1" applyFont="1" applyFill="1" applyBorder="1" applyProtection="1">
      <protection hidden="1"/>
    </xf>
    <xf numFmtId="3" fontId="35" fillId="26" borderId="23" xfId="0" applyNumberFormat="1" applyFont="1" applyFill="1" applyBorder="1" applyProtection="1">
      <protection hidden="1"/>
    </xf>
    <xf numFmtId="0" fontId="38" fillId="24" borderId="12" xfId="0" applyFont="1" applyFill="1" applyBorder="1" applyProtection="1">
      <protection hidden="1"/>
    </xf>
    <xf numFmtId="0" fontId="38" fillId="24" borderId="13" xfId="0" applyFont="1" applyFill="1" applyBorder="1" applyProtection="1">
      <protection hidden="1"/>
    </xf>
    <xf numFmtId="0" fontId="25" fillId="24" borderId="17" xfId="0" applyFont="1" applyFill="1" applyBorder="1" applyProtection="1">
      <protection hidden="1"/>
    </xf>
    <xf numFmtId="10" fontId="38" fillId="24" borderId="0" xfId="0" applyNumberFormat="1" applyFont="1" applyFill="1" applyBorder="1" applyProtection="1">
      <protection hidden="1"/>
    </xf>
    <xf numFmtId="3" fontId="27" fillId="26" borderId="24" xfId="0" applyNumberFormat="1" applyFont="1" applyFill="1" applyBorder="1" applyProtection="1">
      <protection hidden="1"/>
    </xf>
    <xf numFmtId="0" fontId="38" fillId="24" borderId="17" xfId="0" applyFont="1" applyFill="1" applyBorder="1" applyProtection="1">
      <protection hidden="1"/>
    </xf>
    <xf numFmtId="3" fontId="27" fillId="26" borderId="34" xfId="0" applyNumberFormat="1" applyFont="1" applyFill="1" applyBorder="1" applyProtection="1">
      <protection hidden="1"/>
    </xf>
    <xf numFmtId="3" fontId="27" fillId="26" borderId="0" xfId="0" applyNumberFormat="1" applyFont="1" applyFill="1" applyBorder="1" applyProtection="1">
      <protection hidden="1"/>
    </xf>
    <xf numFmtId="3" fontId="27" fillId="26" borderId="22" xfId="0" applyNumberFormat="1" applyFont="1" applyFill="1" applyBorder="1" applyProtection="1">
      <protection hidden="1"/>
    </xf>
    <xf numFmtId="165" fontId="38" fillId="24" borderId="0" xfId="44" applyNumberFormat="1" applyFont="1" applyFill="1" applyBorder="1" applyProtection="1">
      <protection hidden="1"/>
    </xf>
    <xf numFmtId="3" fontId="27" fillId="26" borderId="33" xfId="0" applyNumberFormat="1" applyFont="1" applyFill="1" applyBorder="1" applyProtection="1">
      <protection hidden="1"/>
    </xf>
    <xf numFmtId="3" fontId="27" fillId="26" borderId="15" xfId="0" applyNumberFormat="1" applyFont="1" applyFill="1" applyBorder="1" applyProtection="1">
      <protection hidden="1"/>
    </xf>
    <xf numFmtId="3" fontId="27" fillId="26" borderId="23" xfId="0" applyNumberFormat="1" applyFont="1" applyFill="1" applyBorder="1" applyProtection="1">
      <protection hidden="1"/>
    </xf>
    <xf numFmtId="3" fontId="27" fillId="24" borderId="22" xfId="0" applyNumberFormat="1" applyFont="1" applyFill="1" applyBorder="1" applyProtection="1">
      <protection hidden="1"/>
    </xf>
    <xf numFmtId="0" fontId="27" fillId="24" borderId="17" xfId="0" applyFont="1" applyFill="1" applyBorder="1" applyAlignment="1" applyProtection="1">
      <alignment horizontal="right"/>
      <protection hidden="1"/>
    </xf>
    <xf numFmtId="0" fontId="31" fillId="24" borderId="17" xfId="0" applyFont="1" applyFill="1" applyBorder="1" applyAlignment="1" applyProtection="1">
      <alignment horizontal="right"/>
      <protection hidden="1"/>
    </xf>
    <xf numFmtId="0" fontId="31" fillId="24" borderId="0" xfId="0" applyFont="1" applyFill="1" applyBorder="1" applyProtection="1">
      <protection hidden="1"/>
    </xf>
    <xf numFmtId="3" fontId="31" fillId="24" borderId="0" xfId="0" applyNumberFormat="1" applyFont="1" applyFill="1" applyBorder="1" applyProtection="1">
      <protection hidden="1"/>
    </xf>
    <xf numFmtId="3" fontId="31" fillId="24" borderId="34" xfId="0" applyNumberFormat="1" applyFont="1" applyFill="1" applyBorder="1" applyProtection="1">
      <protection hidden="1"/>
    </xf>
    <xf numFmtId="3" fontId="31" fillId="24" borderId="17" xfId="0" applyNumberFormat="1" applyFont="1" applyFill="1" applyBorder="1" applyProtection="1">
      <protection hidden="1"/>
    </xf>
    <xf numFmtId="3" fontId="31" fillId="24" borderId="22" xfId="0" applyNumberFormat="1" applyFont="1" applyFill="1" applyBorder="1" applyProtection="1">
      <protection hidden="1"/>
    </xf>
    <xf numFmtId="0" fontId="37" fillId="0" borderId="0" xfId="0" applyFont="1" applyProtection="1">
      <protection hidden="1"/>
    </xf>
    <xf numFmtId="3" fontId="32" fillId="24" borderId="34" xfId="0" applyNumberFormat="1" applyFont="1" applyFill="1" applyBorder="1" applyProtection="1">
      <protection hidden="1"/>
    </xf>
    <xf numFmtId="3" fontId="32" fillId="24" borderId="17" xfId="0" applyNumberFormat="1" applyFont="1" applyFill="1" applyBorder="1" applyProtection="1">
      <protection hidden="1"/>
    </xf>
    <xf numFmtId="3" fontId="32" fillId="24" borderId="22" xfId="0" applyNumberFormat="1" applyFont="1" applyFill="1" applyBorder="1" applyProtection="1">
      <protection hidden="1"/>
    </xf>
    <xf numFmtId="0" fontId="52" fillId="24" borderId="17" xfId="0" applyFont="1" applyFill="1" applyBorder="1" applyAlignment="1" applyProtection="1">
      <alignment horizontal="left"/>
      <protection hidden="1"/>
    </xf>
    <xf numFmtId="0" fontId="52" fillId="24" borderId="0" xfId="0" applyFont="1" applyFill="1" applyBorder="1" applyProtection="1">
      <protection hidden="1"/>
    </xf>
    <xf numFmtId="3" fontId="52" fillId="24" borderId="0" xfId="0" applyNumberFormat="1" applyFont="1" applyFill="1" applyBorder="1" applyProtection="1">
      <protection hidden="1"/>
    </xf>
    <xf numFmtId="3" fontId="52" fillId="24" borderId="34" xfId="0" applyNumberFormat="1" applyFont="1" applyFill="1" applyBorder="1" applyProtection="1">
      <protection hidden="1"/>
    </xf>
    <xf numFmtId="3" fontId="52" fillId="24" borderId="17" xfId="0" applyNumberFormat="1" applyFont="1" applyFill="1" applyBorder="1" applyProtection="1">
      <protection hidden="1"/>
    </xf>
    <xf numFmtId="0" fontId="53" fillId="0" borderId="0" xfId="0" applyFont="1" applyProtection="1">
      <protection hidden="1"/>
    </xf>
    <xf numFmtId="0" fontId="32" fillId="24" borderId="34" xfId="0" applyFont="1" applyFill="1" applyBorder="1" applyProtection="1">
      <protection hidden="1"/>
    </xf>
    <xf numFmtId="0" fontId="35" fillId="24" borderId="17" xfId="0" applyFont="1" applyFill="1" applyBorder="1" applyProtection="1">
      <protection hidden="1"/>
    </xf>
    <xf numFmtId="0" fontId="35" fillId="24" borderId="0" xfId="0" applyFont="1" applyFill="1" applyBorder="1" applyProtection="1">
      <protection hidden="1"/>
    </xf>
    <xf numFmtId="0" fontId="32" fillId="24" borderId="0" xfId="0" applyFont="1" applyFill="1" applyBorder="1" applyProtection="1">
      <protection hidden="1"/>
    </xf>
    <xf numFmtId="0" fontId="32" fillId="24" borderId="22" xfId="0" applyFont="1" applyFill="1" applyBorder="1" applyProtection="1">
      <protection hidden="1"/>
    </xf>
    <xf numFmtId="0" fontId="27" fillId="24" borderId="34" xfId="0" applyFont="1" applyFill="1" applyBorder="1" applyProtection="1">
      <protection hidden="1"/>
    </xf>
    <xf numFmtId="0" fontId="25" fillId="24" borderId="0" xfId="0" applyFont="1" applyFill="1" applyBorder="1" applyProtection="1">
      <protection hidden="1"/>
    </xf>
    <xf numFmtId="0" fontId="25" fillId="24" borderId="22" xfId="0" applyFont="1" applyFill="1" applyBorder="1" applyProtection="1">
      <protection hidden="1"/>
    </xf>
    <xf numFmtId="3" fontId="27" fillId="24" borderId="33" xfId="0" applyNumberFormat="1" applyFont="1" applyFill="1" applyBorder="1" applyProtection="1">
      <protection hidden="1"/>
    </xf>
    <xf numFmtId="0" fontId="27" fillId="24" borderId="19" xfId="0" applyFont="1" applyFill="1" applyBorder="1" applyProtection="1">
      <protection hidden="1"/>
    </xf>
    <xf numFmtId="0" fontId="27" fillId="24" borderId="21" xfId="0" applyFont="1" applyFill="1" applyBorder="1" applyProtection="1">
      <protection hidden="1"/>
    </xf>
    <xf numFmtId="3" fontId="27" fillId="24" borderId="21" xfId="0" applyNumberFormat="1" applyFont="1" applyFill="1" applyBorder="1" applyProtection="1">
      <protection hidden="1"/>
    </xf>
    <xf numFmtId="3" fontId="27" fillId="24" borderId="25" xfId="0" applyNumberFormat="1" applyFont="1" applyFill="1" applyBorder="1" applyProtection="1">
      <protection hidden="1"/>
    </xf>
    <xf numFmtId="3" fontId="25" fillId="24" borderId="21" xfId="0" applyNumberFormat="1" applyFont="1" applyFill="1" applyBorder="1" applyProtection="1">
      <protection hidden="1"/>
    </xf>
    <xf numFmtId="3" fontId="25" fillId="24" borderId="24" xfId="0" applyNumberFormat="1" applyFont="1" applyFill="1" applyBorder="1" applyProtection="1">
      <protection hidden="1"/>
    </xf>
    <xf numFmtId="3" fontId="31" fillId="24" borderId="20" xfId="0" applyNumberFormat="1" applyFont="1" applyFill="1" applyBorder="1" applyProtection="1">
      <protection hidden="1"/>
    </xf>
    <xf numFmtId="3" fontId="31" fillId="24" borderId="24" xfId="0" applyNumberFormat="1" applyFont="1" applyFill="1" applyBorder="1" applyProtection="1">
      <protection hidden="1"/>
    </xf>
    <xf numFmtId="0" fontId="27" fillId="24" borderId="16" xfId="0" applyFont="1" applyFill="1" applyBorder="1" applyAlignment="1" applyProtection="1">
      <alignment wrapText="1"/>
      <protection hidden="1"/>
    </xf>
    <xf numFmtId="3" fontId="27" fillId="24" borderId="31" xfId="0" applyNumberFormat="1" applyFont="1" applyFill="1" applyBorder="1" applyProtection="1">
      <protection hidden="1"/>
    </xf>
    <xf numFmtId="3" fontId="27" fillId="24" borderId="19" xfId="0" applyNumberFormat="1" applyFont="1" applyFill="1" applyBorder="1" applyProtection="1">
      <protection hidden="1"/>
    </xf>
    <xf numFmtId="3" fontId="0" fillId="0" borderId="0" xfId="0" applyNumberFormat="1" applyProtection="1">
      <protection hidden="1"/>
    </xf>
    <xf numFmtId="0" fontId="27" fillId="24" borderId="0" xfId="0" applyFont="1" applyFill="1" applyProtection="1">
      <protection hidden="1"/>
    </xf>
    <xf numFmtId="4" fontId="28" fillId="24" borderId="0" xfId="0" applyNumberFormat="1" applyFont="1" applyFill="1" applyAlignment="1" applyProtection="1">
      <alignment horizontal="center"/>
      <protection hidden="1"/>
    </xf>
    <xf numFmtId="0" fontId="24" fillId="25" borderId="0" xfId="0" applyFont="1" applyFill="1" applyProtection="1">
      <protection hidden="1"/>
    </xf>
    <xf numFmtId="0" fontId="26" fillId="0" borderId="0" xfId="0" applyFont="1" applyBorder="1" applyProtection="1">
      <protection hidden="1"/>
    </xf>
    <xf numFmtId="0" fontId="25" fillId="24" borderId="0" xfId="0" applyFont="1" applyFill="1" applyProtection="1">
      <protection hidden="1"/>
    </xf>
    <xf numFmtId="0" fontId="29" fillId="0" borderId="0" xfId="0" applyFont="1" applyProtection="1">
      <protection hidden="1"/>
    </xf>
    <xf numFmtId="0" fontId="30" fillId="0" borderId="0" xfId="0" applyFont="1" applyProtection="1">
      <protection hidden="1"/>
    </xf>
    <xf numFmtId="4" fontId="28" fillId="25" borderId="0" xfId="0" applyNumberFormat="1" applyFont="1" applyFill="1" applyAlignment="1" applyProtection="1">
      <alignment horizontal="center"/>
      <protection hidden="1"/>
    </xf>
    <xf numFmtId="0" fontId="25" fillId="25" borderId="0" xfId="0" applyFont="1" applyFill="1" applyProtection="1">
      <protection hidden="1"/>
    </xf>
    <xf numFmtId="0" fontId="24" fillId="25" borderId="0" xfId="0" applyFont="1" applyFill="1" applyAlignment="1" applyProtection="1">
      <alignment horizontal="right"/>
      <protection hidden="1"/>
    </xf>
    <xf numFmtId="3" fontId="45" fillId="25" borderId="0" xfId="0" applyNumberFormat="1" applyFont="1" applyFill="1" applyAlignment="1" applyProtection="1">
      <alignment horizontal="center"/>
      <protection hidden="1"/>
    </xf>
    <xf numFmtId="3" fontId="30" fillId="25" borderId="0" xfId="0" applyNumberFormat="1" applyFont="1" applyFill="1" applyProtection="1">
      <protection hidden="1"/>
    </xf>
    <xf numFmtId="3" fontId="26" fillId="0" borderId="0" xfId="0" applyNumberFormat="1" applyFont="1" applyProtection="1">
      <protection hidden="1"/>
    </xf>
    <xf numFmtId="3" fontId="26" fillId="0" borderId="0" xfId="0" applyNumberFormat="1" applyFont="1" applyBorder="1" applyProtection="1">
      <protection hidden="1"/>
    </xf>
    <xf numFmtId="3" fontId="0" fillId="0" borderId="0" xfId="0" applyNumberFormat="1" applyFont="1" applyProtection="1">
      <protection hidden="1"/>
    </xf>
    <xf numFmtId="3" fontId="47" fillId="25" borderId="0" xfId="0" applyNumberFormat="1" applyFont="1" applyFill="1" applyProtection="1">
      <protection hidden="1"/>
    </xf>
    <xf numFmtId="0" fontId="34" fillId="0" borderId="0" xfId="0" applyFont="1" applyProtection="1">
      <protection hidden="1"/>
    </xf>
    <xf numFmtId="0" fontId="34" fillId="0" borderId="0" xfId="0" applyFont="1" applyAlignment="1" applyProtection="1">
      <alignment horizontal="right"/>
      <protection hidden="1"/>
    </xf>
    <xf numFmtId="3" fontId="34" fillId="0" borderId="10" xfId="0" applyNumberFormat="1" applyFont="1" applyBorder="1" applyProtection="1">
      <protection hidden="1"/>
    </xf>
    <xf numFmtId="3" fontId="34" fillId="25" borderId="10" xfId="0" applyNumberFormat="1" applyFont="1" applyFill="1" applyBorder="1" applyProtection="1">
      <protection hidden="1"/>
    </xf>
    <xf numFmtId="3" fontId="34" fillId="0" borderId="0" xfId="0" applyNumberFormat="1" applyFont="1" applyBorder="1" applyAlignment="1" applyProtection="1">
      <alignment horizontal="center"/>
      <protection hidden="1"/>
    </xf>
    <xf numFmtId="3" fontId="34" fillId="0" borderId="0" xfId="0" applyNumberFormat="1" applyFont="1" applyBorder="1" applyAlignment="1" applyProtection="1">
      <alignment horizontal="right"/>
      <protection hidden="1"/>
    </xf>
    <xf numFmtId="3" fontId="34" fillId="0" borderId="0" xfId="0" applyNumberFormat="1" applyFont="1" applyBorder="1" applyProtection="1">
      <protection hidden="1"/>
    </xf>
    <xf numFmtId="9" fontId="54" fillId="0" borderId="0" xfId="0" applyNumberFormat="1" applyFont="1" applyProtection="1">
      <protection hidden="1"/>
    </xf>
    <xf numFmtId="3" fontId="34" fillId="25" borderId="0" xfId="0" applyNumberFormat="1" applyFont="1" applyFill="1" applyBorder="1" applyProtection="1">
      <protection hidden="1"/>
    </xf>
    <xf numFmtId="167" fontId="34" fillId="0" borderId="10" xfId="0" applyNumberFormat="1" applyFont="1" applyBorder="1" applyProtection="1">
      <protection hidden="1"/>
    </xf>
    <xf numFmtId="3" fontId="55" fillId="0" borderId="0" xfId="0" applyNumberFormat="1" applyFont="1" applyBorder="1" applyProtection="1">
      <protection hidden="1"/>
    </xf>
    <xf numFmtId="0" fontId="44" fillId="0" borderId="0" xfId="0" applyFont="1" applyAlignment="1" applyProtection="1">
      <alignment horizontal="right"/>
      <protection hidden="1"/>
    </xf>
    <xf numFmtId="10" fontId="50" fillId="0" borderId="0" xfId="0" applyNumberFormat="1" applyFont="1" applyProtection="1">
      <protection hidden="1"/>
    </xf>
    <xf numFmtId="0" fontId="33" fillId="0" borderId="0" xfId="0" applyFont="1" applyAlignment="1" applyProtection="1">
      <alignment horizontal="right"/>
      <protection hidden="1"/>
    </xf>
    <xf numFmtId="3" fontId="34" fillId="0" borderId="48" xfId="0" applyNumberFormat="1" applyFont="1" applyBorder="1" applyProtection="1">
      <protection hidden="1"/>
    </xf>
    <xf numFmtId="0" fontId="34" fillId="0" borderId="48" xfId="0" applyFont="1" applyBorder="1" applyProtection="1">
      <protection hidden="1"/>
    </xf>
    <xf numFmtId="0" fontId="34" fillId="0" borderId="39" xfId="0" applyFont="1" applyBorder="1" applyProtection="1">
      <protection hidden="1"/>
    </xf>
    <xf numFmtId="0" fontId="34" fillId="0" borderId="36" xfId="0" applyFont="1" applyBorder="1" applyProtection="1">
      <protection hidden="1"/>
    </xf>
    <xf numFmtId="0" fontId="34" fillId="25" borderId="36" xfId="0" applyFont="1" applyFill="1" applyBorder="1" applyProtection="1">
      <protection hidden="1"/>
    </xf>
    <xf numFmtId="0" fontId="34" fillId="0" borderId="37" xfId="0" applyFont="1" applyBorder="1" applyProtection="1">
      <protection hidden="1"/>
    </xf>
    <xf numFmtId="3" fontId="34" fillId="0" borderId="50" xfId="0" applyNumberFormat="1" applyFont="1" applyBorder="1" applyProtection="1">
      <protection hidden="1"/>
    </xf>
    <xf numFmtId="3" fontId="34" fillId="0" borderId="49" xfId="0" applyNumberFormat="1" applyFont="1" applyBorder="1" applyProtection="1">
      <protection hidden="1"/>
    </xf>
    <xf numFmtId="0" fontId="34" fillId="0" borderId="13" xfId="0" applyFont="1" applyBorder="1" applyProtection="1">
      <protection hidden="1"/>
    </xf>
    <xf numFmtId="0" fontId="34" fillId="0" borderId="10" xfId="0" applyFont="1" applyBorder="1" applyProtection="1">
      <protection hidden="1"/>
    </xf>
    <xf numFmtId="0" fontId="34" fillId="25" borderId="10" xfId="0" applyFont="1" applyFill="1" applyBorder="1" applyProtection="1">
      <protection hidden="1"/>
    </xf>
    <xf numFmtId="0" fontId="34" fillId="0" borderId="38" xfId="0" applyFont="1" applyBorder="1" applyProtection="1">
      <protection hidden="1"/>
    </xf>
    <xf numFmtId="3" fontId="34" fillId="29" borderId="25" xfId="0" applyNumberFormat="1" applyFont="1" applyFill="1" applyBorder="1" applyProtection="1">
      <protection hidden="1"/>
    </xf>
    <xf numFmtId="3" fontId="34" fillId="0" borderId="13" xfId="0" applyNumberFormat="1" applyFont="1" applyBorder="1" applyProtection="1">
      <protection hidden="1"/>
    </xf>
    <xf numFmtId="3" fontId="34" fillId="25" borderId="51" xfId="0" applyNumberFormat="1" applyFont="1" applyFill="1" applyBorder="1" applyProtection="1">
      <protection hidden="1"/>
    </xf>
    <xf numFmtId="3" fontId="34" fillId="25" borderId="13" xfId="0" applyNumberFormat="1" applyFont="1" applyFill="1" applyBorder="1" applyProtection="1">
      <protection hidden="1"/>
    </xf>
    <xf numFmtId="3" fontId="34" fillId="25" borderId="52" xfId="0" applyNumberFormat="1" applyFont="1" applyFill="1" applyBorder="1" applyProtection="1">
      <protection hidden="1"/>
    </xf>
    <xf numFmtId="3" fontId="34" fillId="25" borderId="33" xfId="0" applyNumberFormat="1" applyFont="1" applyFill="1" applyBorder="1" applyProtection="1">
      <protection hidden="1"/>
    </xf>
    <xf numFmtId="0" fontId="34" fillId="0" borderId="30" xfId="0" applyFont="1" applyBorder="1" applyProtection="1">
      <protection hidden="1"/>
    </xf>
    <xf numFmtId="0" fontId="34" fillId="0" borderId="40" xfId="0" applyFont="1" applyBorder="1" applyProtection="1">
      <protection hidden="1"/>
    </xf>
    <xf numFmtId="3" fontId="34" fillId="0" borderId="51" xfId="0" applyNumberFormat="1" applyFont="1" applyBorder="1" applyProtection="1">
      <protection hidden="1"/>
    </xf>
    <xf numFmtId="0" fontId="34" fillId="25" borderId="40" xfId="0" applyFont="1" applyFill="1" applyBorder="1" applyProtection="1">
      <protection hidden="1"/>
    </xf>
    <xf numFmtId="0" fontId="34" fillId="0" borderId="41" xfId="0" applyFont="1" applyBorder="1" applyProtection="1">
      <protection hidden="1"/>
    </xf>
    <xf numFmtId="3" fontId="34" fillId="0" borderId="52" xfId="0" applyNumberFormat="1" applyFont="1" applyBorder="1" applyProtection="1">
      <protection hidden="1"/>
    </xf>
    <xf numFmtId="3" fontId="34" fillId="0" borderId="32" xfId="0" applyNumberFormat="1" applyFont="1" applyBorder="1" applyProtection="1">
      <protection hidden="1"/>
    </xf>
    <xf numFmtId="0" fontId="34" fillId="0" borderId="42" xfId="0" applyFont="1" applyBorder="1" applyProtection="1">
      <protection hidden="1"/>
    </xf>
    <xf numFmtId="0" fontId="34" fillId="25" borderId="42" xfId="0" applyFont="1" applyFill="1" applyBorder="1" applyProtection="1">
      <protection hidden="1"/>
    </xf>
    <xf numFmtId="0" fontId="34" fillId="0" borderId="43" xfId="0" applyFont="1" applyBorder="1" applyProtection="1">
      <protection hidden="1"/>
    </xf>
    <xf numFmtId="3" fontId="34" fillId="0" borderId="46" xfId="0" applyNumberFormat="1" applyFont="1" applyBorder="1" applyProtection="1">
      <protection hidden="1"/>
    </xf>
    <xf numFmtId="0" fontId="34" fillId="0" borderId="46" xfId="0" applyFont="1" applyBorder="1" applyProtection="1">
      <protection hidden="1"/>
    </xf>
    <xf numFmtId="0" fontId="34" fillId="25" borderId="46" xfId="0" applyFont="1" applyFill="1" applyBorder="1" applyProtection="1">
      <protection hidden="1"/>
    </xf>
    <xf numFmtId="0" fontId="34" fillId="0" borderId="47" xfId="0" applyFont="1" applyBorder="1" applyProtection="1">
      <protection hidden="1"/>
    </xf>
    <xf numFmtId="3" fontId="46" fillId="25" borderId="27" xfId="0" applyNumberFormat="1" applyFont="1" applyFill="1" applyBorder="1" applyProtection="1">
      <protection hidden="1"/>
    </xf>
    <xf numFmtId="3" fontId="46" fillId="25" borderId="25" xfId="0" applyNumberFormat="1" applyFont="1" applyFill="1" applyBorder="1" applyProtection="1">
      <protection hidden="1"/>
    </xf>
    <xf numFmtId="3" fontId="40" fillId="25" borderId="35" xfId="0" applyNumberFormat="1" applyFont="1" applyFill="1" applyBorder="1" applyProtection="1">
      <protection hidden="1"/>
    </xf>
    <xf numFmtId="0" fontId="33" fillId="0" borderId="17" xfId="0" applyFont="1" applyBorder="1" applyProtection="1">
      <protection hidden="1"/>
    </xf>
    <xf numFmtId="0" fontId="33" fillId="0" borderId="0" xfId="0" applyFont="1" applyBorder="1" applyProtection="1">
      <protection hidden="1"/>
    </xf>
    <xf numFmtId="0" fontId="33" fillId="0" borderId="22" xfId="0" applyFont="1" applyBorder="1" applyProtection="1">
      <protection hidden="1"/>
    </xf>
    <xf numFmtId="4" fontId="33" fillId="0" borderId="0" xfId="0" applyNumberFormat="1" applyFont="1" applyBorder="1" applyProtection="1">
      <protection hidden="1"/>
    </xf>
    <xf numFmtId="4" fontId="33" fillId="0" borderId="22" xfId="0" applyNumberFormat="1" applyFont="1" applyBorder="1" applyProtection="1">
      <protection hidden="1"/>
    </xf>
    <xf numFmtId="3" fontId="33" fillId="0" borderId="0" xfId="0" applyNumberFormat="1" applyFont="1" applyBorder="1" applyProtection="1">
      <protection hidden="1"/>
    </xf>
    <xf numFmtId="3" fontId="33" fillId="0" borderId="22" xfId="0" applyNumberFormat="1" applyFont="1" applyBorder="1" applyProtection="1">
      <protection hidden="1"/>
    </xf>
    <xf numFmtId="3" fontId="40" fillId="0" borderId="0" xfId="0" applyNumberFormat="1" applyFont="1" applyBorder="1" applyProtection="1">
      <protection hidden="1"/>
    </xf>
    <xf numFmtId="3" fontId="40" fillId="0" borderId="22" xfId="0" applyNumberFormat="1" applyFont="1" applyBorder="1" applyProtection="1">
      <protection hidden="1"/>
    </xf>
    <xf numFmtId="0" fontId="39" fillId="0" borderId="0" xfId="0" applyFont="1" applyProtection="1">
      <protection hidden="1"/>
    </xf>
    <xf numFmtId="0" fontId="48" fillId="25" borderId="0" xfId="0" applyFont="1" applyFill="1" applyBorder="1" applyProtection="1">
      <protection hidden="1"/>
    </xf>
    <xf numFmtId="0" fontId="33" fillId="25" borderId="0" xfId="0" applyFont="1" applyFill="1" applyProtection="1">
      <protection hidden="1"/>
    </xf>
    <xf numFmtId="3" fontId="48" fillId="25" borderId="0" xfId="0" applyNumberFormat="1" applyFont="1" applyFill="1" applyBorder="1" applyProtection="1">
      <protection hidden="1"/>
    </xf>
    <xf numFmtId="0" fontId="51" fillId="25" borderId="0" xfId="0" applyFont="1" applyFill="1" applyBorder="1" applyProtection="1">
      <protection hidden="1"/>
    </xf>
    <xf numFmtId="0" fontId="48" fillId="25" borderId="0" xfId="0" applyFont="1" applyFill="1" applyBorder="1" applyAlignment="1" applyProtection="1">
      <alignment horizontal="right"/>
      <protection hidden="1"/>
    </xf>
    <xf numFmtId="0" fontId="0" fillId="25" borderId="0" xfId="0" applyFill="1" applyProtection="1">
      <protection hidden="1"/>
    </xf>
    <xf numFmtId="3" fontId="0" fillId="0" borderId="0" xfId="0" applyNumberFormat="1" applyFont="1" applyAlignment="1">
      <alignment horizontal="left"/>
    </xf>
    <xf numFmtId="0" fontId="33" fillId="0" borderId="0" xfId="0" applyFont="1" applyBorder="1" applyAlignment="1" applyProtection="1">
      <alignment horizontal="right"/>
      <protection hidden="1"/>
    </xf>
    <xf numFmtId="0" fontId="34" fillId="0" borderId="0" xfId="0" applyFont="1" applyBorder="1" applyProtection="1">
      <protection hidden="1"/>
    </xf>
    <xf numFmtId="3" fontId="40" fillId="0" borderId="21" xfId="0" applyNumberFormat="1" applyFont="1" applyBorder="1" applyProtection="1">
      <protection hidden="1"/>
    </xf>
    <xf numFmtId="3" fontId="40" fillId="0" borderId="24" xfId="0" applyNumberFormat="1" applyFont="1" applyBorder="1" applyProtection="1">
      <protection hidden="1"/>
    </xf>
    <xf numFmtId="3" fontId="40" fillId="0" borderId="20" xfId="0" applyNumberFormat="1" applyFont="1" applyBorder="1" applyProtection="1">
      <protection hidden="1"/>
    </xf>
    <xf numFmtId="3" fontId="40" fillId="0" borderId="26" xfId="0" applyNumberFormat="1" applyFont="1" applyBorder="1" applyProtection="1">
      <protection hidden="1"/>
    </xf>
    <xf numFmtId="3" fontId="40" fillId="28" borderId="21" xfId="0" applyNumberFormat="1" applyFont="1" applyFill="1" applyBorder="1" applyProtection="1">
      <protection hidden="1"/>
    </xf>
    <xf numFmtId="3" fontId="34" fillId="29" borderId="20" xfId="0" applyNumberFormat="1" applyFont="1" applyFill="1" applyBorder="1" applyProtection="1">
      <protection hidden="1"/>
    </xf>
    <xf numFmtId="3" fontId="34" fillId="29" borderId="21" xfId="0" applyNumberFormat="1" applyFont="1" applyFill="1" applyBorder="1" applyProtection="1">
      <protection hidden="1"/>
    </xf>
    <xf numFmtId="3" fontId="34" fillId="25" borderId="55" xfId="0" applyNumberFormat="1" applyFont="1" applyFill="1" applyBorder="1" applyProtection="1">
      <protection hidden="1"/>
    </xf>
    <xf numFmtId="3" fontId="34" fillId="0" borderId="12" xfId="0" applyNumberFormat="1" applyFont="1" applyBorder="1" applyProtection="1">
      <protection hidden="1"/>
    </xf>
    <xf numFmtId="3" fontId="34" fillId="0" borderId="56" xfId="0" applyNumberFormat="1" applyFont="1" applyBorder="1" applyProtection="1">
      <protection hidden="1"/>
    </xf>
    <xf numFmtId="3" fontId="34" fillId="0" borderId="57" xfId="0" applyNumberFormat="1" applyFont="1" applyBorder="1" applyProtection="1">
      <protection hidden="1"/>
    </xf>
    <xf numFmtId="3" fontId="34" fillId="0" borderId="58" xfId="0" applyNumberFormat="1" applyFont="1" applyBorder="1" applyProtection="1">
      <protection hidden="1"/>
    </xf>
    <xf numFmtId="3" fontId="46" fillId="25" borderId="44" xfId="0" applyNumberFormat="1" applyFont="1" applyFill="1" applyBorder="1" applyProtection="1">
      <protection hidden="1"/>
    </xf>
    <xf numFmtId="3" fontId="40" fillId="25" borderId="59" xfId="0" applyNumberFormat="1" applyFont="1" applyFill="1" applyBorder="1" applyProtection="1">
      <protection hidden="1"/>
    </xf>
    <xf numFmtId="0" fontId="34" fillId="0" borderId="51" xfId="0" applyFont="1" applyBorder="1" applyProtection="1">
      <protection hidden="1"/>
    </xf>
    <xf numFmtId="0" fontId="34" fillId="0" borderId="49" xfId="0" applyFont="1" applyBorder="1" applyProtection="1">
      <protection hidden="1"/>
    </xf>
    <xf numFmtId="3" fontId="40" fillId="25" borderId="33" xfId="0" applyNumberFormat="1" applyFont="1" applyFill="1" applyBorder="1" applyProtection="1">
      <protection hidden="1"/>
    </xf>
    <xf numFmtId="0" fontId="33" fillId="0" borderId="51" xfId="0" applyFont="1" applyBorder="1" applyAlignment="1" applyProtection="1">
      <alignment horizontal="right"/>
      <protection hidden="1"/>
    </xf>
    <xf numFmtId="0" fontId="33" fillId="0" borderId="49" xfId="0" applyFont="1" applyBorder="1" applyAlignment="1" applyProtection="1">
      <alignment horizontal="right"/>
      <protection hidden="1"/>
    </xf>
    <xf numFmtId="0" fontId="34" fillId="0" borderId="50" xfId="0" applyFont="1" applyBorder="1" applyProtection="1">
      <protection hidden="1"/>
    </xf>
    <xf numFmtId="3" fontId="34" fillId="25" borderId="21" xfId="0" applyNumberFormat="1" applyFont="1" applyFill="1" applyBorder="1" applyProtection="1">
      <protection hidden="1"/>
    </xf>
    <xf numFmtId="0" fontId="33" fillId="0" borderId="50" xfId="0" applyFont="1" applyBorder="1" applyAlignment="1" applyProtection="1">
      <alignment horizontal="right"/>
      <protection hidden="1"/>
    </xf>
    <xf numFmtId="0" fontId="33" fillId="0" borderId="25" xfId="0" applyFont="1" applyBorder="1" applyAlignment="1" applyProtection="1">
      <alignment horizontal="right"/>
      <protection hidden="1"/>
    </xf>
    <xf numFmtId="0" fontId="34" fillId="0" borderId="17" xfId="0" applyFont="1" applyBorder="1" applyProtection="1">
      <protection hidden="1"/>
    </xf>
    <xf numFmtId="3" fontId="40" fillId="0" borderId="16" xfId="0" applyNumberFormat="1" applyFont="1" applyBorder="1" applyProtection="1">
      <protection hidden="1"/>
    </xf>
    <xf numFmtId="3" fontId="40" fillId="0" borderId="19" xfId="0" applyNumberFormat="1" applyFont="1" applyBorder="1" applyProtection="1">
      <protection hidden="1"/>
    </xf>
    <xf numFmtId="0" fontId="63" fillId="0" borderId="16" xfId="0" applyFont="1" applyBorder="1" applyProtection="1">
      <protection hidden="1"/>
    </xf>
    <xf numFmtId="0" fontId="63" fillId="0" borderId="20" xfId="0" applyFont="1" applyBorder="1" applyAlignment="1" applyProtection="1">
      <alignment horizontal="right"/>
      <protection hidden="1"/>
    </xf>
    <xf numFmtId="3" fontId="63" fillId="0" borderId="20" xfId="0" applyNumberFormat="1" applyFont="1" applyBorder="1" applyProtection="1">
      <protection hidden="1"/>
    </xf>
    <xf numFmtId="3" fontId="63" fillId="0" borderId="26" xfId="0" applyNumberFormat="1" applyFont="1" applyBorder="1" applyProtection="1">
      <protection hidden="1"/>
    </xf>
    <xf numFmtId="0" fontId="60" fillId="0" borderId="0" xfId="0" applyFont="1"/>
    <xf numFmtId="0" fontId="58" fillId="0" borderId="0" xfId="0" applyFont="1" applyBorder="1" applyAlignment="1">
      <alignment horizontal="right"/>
    </xf>
    <xf numFmtId="4" fontId="58" fillId="0" borderId="0" xfId="0" applyNumberFormat="1" applyFont="1" applyBorder="1"/>
    <xf numFmtId="0" fontId="58" fillId="0" borderId="0" xfId="0" applyFont="1" applyBorder="1"/>
    <xf numFmtId="0" fontId="58" fillId="0" borderId="0" xfId="0" applyFont="1" applyBorder="1" applyAlignment="1">
      <alignment horizontal="center"/>
    </xf>
    <xf numFmtId="0" fontId="56" fillId="0" borderId="54" xfId="0" applyFont="1" applyFill="1" applyBorder="1" applyAlignment="1">
      <alignment horizontal="right"/>
    </xf>
    <xf numFmtId="0" fontId="56" fillId="0" borderId="14" xfId="0" applyFont="1" applyFill="1" applyBorder="1" applyAlignment="1">
      <alignment horizontal="right"/>
    </xf>
    <xf numFmtId="0" fontId="56" fillId="0" borderId="53" xfId="0" applyFont="1" applyFill="1" applyBorder="1" applyAlignment="1">
      <alignment horizontal="right"/>
    </xf>
    <xf numFmtId="10" fontId="60" fillId="0" borderId="48" xfId="0" applyNumberFormat="1" applyFont="1" applyBorder="1" applyProtection="1">
      <protection locked="0"/>
    </xf>
    <xf numFmtId="10" fontId="60" fillId="0" borderId="49" xfId="0" applyNumberFormat="1" applyFont="1" applyBorder="1" applyProtection="1">
      <protection locked="0"/>
    </xf>
    <xf numFmtId="10" fontId="60" fillId="0" borderId="52" xfId="0" applyNumberFormat="1" applyFont="1" applyBorder="1"/>
    <xf numFmtId="10" fontId="60" fillId="28" borderId="48" xfId="0" applyNumberFormat="1" applyFont="1" applyFill="1" applyBorder="1" applyProtection="1">
      <protection locked="0"/>
    </xf>
    <xf numFmtId="10" fontId="60" fillId="28" borderId="52" xfId="0" applyNumberFormat="1" applyFont="1" applyFill="1" applyBorder="1" applyProtection="1">
      <protection locked="0"/>
    </xf>
    <xf numFmtId="3" fontId="60" fillId="0" borderId="48" xfId="0" applyNumberFormat="1" applyFont="1" applyBorder="1" applyProtection="1">
      <protection locked="0"/>
    </xf>
    <xf numFmtId="3" fontId="60" fillId="0" borderId="49" xfId="0" applyNumberFormat="1" applyFont="1" applyBorder="1" applyProtection="1">
      <protection locked="0"/>
    </xf>
    <xf numFmtId="10" fontId="60" fillId="0" borderId="52" xfId="0" applyNumberFormat="1" applyFont="1" applyBorder="1" applyProtection="1">
      <protection locked="0"/>
    </xf>
    <xf numFmtId="4" fontId="60" fillId="0" borderId="49" xfId="0" applyNumberFormat="1" applyFont="1" applyBorder="1" applyProtection="1">
      <protection locked="0"/>
    </xf>
    <xf numFmtId="4" fontId="60" fillId="0" borderId="52" xfId="0" applyNumberFormat="1" applyFont="1" applyBorder="1" applyProtection="1">
      <protection locked="0"/>
    </xf>
    <xf numFmtId="0" fontId="56" fillId="0" borderId="14" xfId="0" applyFont="1" applyBorder="1" applyAlignment="1">
      <alignment horizontal="right"/>
    </xf>
    <xf numFmtId="3" fontId="60" fillId="0" borderId="52" xfId="0" applyNumberFormat="1" applyFont="1" applyBorder="1" applyProtection="1">
      <protection locked="0"/>
    </xf>
    <xf numFmtId="0" fontId="56" fillId="0" borderId="54" xfId="0" applyFont="1" applyBorder="1" applyAlignment="1">
      <alignment horizontal="right"/>
    </xf>
    <xf numFmtId="0" fontId="56" fillId="0" borderId="53" xfId="0" applyFont="1" applyBorder="1" applyAlignment="1">
      <alignment horizontal="right"/>
    </xf>
    <xf numFmtId="0" fontId="56" fillId="0" borderId="60" xfId="0" applyFont="1" applyBorder="1" applyAlignment="1">
      <alignment horizontal="right"/>
    </xf>
    <xf numFmtId="168" fontId="0" fillId="0" borderId="0" xfId="0" applyNumberFormat="1" applyFont="1"/>
    <xf numFmtId="0" fontId="64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65" fillId="0" borderId="0" xfId="0" applyFont="1" applyAlignment="1">
      <alignment horizontal="right" vertical="center"/>
    </xf>
    <xf numFmtId="0" fontId="67" fillId="0" borderId="0" xfId="0" applyFont="1" applyAlignment="1">
      <alignment horizontal="right"/>
    </xf>
    <xf numFmtId="0" fontId="68" fillId="0" borderId="0" xfId="0" applyFont="1" applyFill="1" applyBorder="1" applyAlignment="1">
      <alignment horizontal="right" vertical="center"/>
    </xf>
    <xf numFmtId="0" fontId="70" fillId="0" borderId="0" xfId="0" applyFont="1"/>
    <xf numFmtId="0" fontId="70" fillId="0" borderId="0" xfId="0" applyFont="1" applyAlignment="1"/>
    <xf numFmtId="0" fontId="70" fillId="0" borderId="0" xfId="0" applyFont="1" applyAlignment="1">
      <alignment horizontal="right"/>
    </xf>
    <xf numFmtId="0" fontId="58" fillId="25" borderId="0" xfId="0" applyFont="1" applyFill="1"/>
    <xf numFmtId="10" fontId="58" fillId="25" borderId="0" xfId="44" applyNumberFormat="1" applyFont="1" applyFill="1"/>
    <xf numFmtId="3" fontId="58" fillId="25" borderId="0" xfId="0" applyNumberFormat="1" applyFont="1" applyFill="1"/>
    <xf numFmtId="0" fontId="58" fillId="25" borderId="0" xfId="0" applyFont="1" applyFill="1" applyBorder="1"/>
    <xf numFmtId="168" fontId="58" fillId="25" borderId="0" xfId="0" applyNumberFormat="1" applyFont="1" applyFill="1" applyBorder="1"/>
    <xf numFmtId="3" fontId="58" fillId="25" borderId="0" xfId="0" applyNumberFormat="1" applyFont="1" applyFill="1" applyBorder="1"/>
    <xf numFmtId="9" fontId="74" fillId="25" borderId="0" xfId="0" applyNumberFormat="1" applyFont="1" applyFill="1" applyBorder="1" applyAlignment="1">
      <alignment horizontal="right"/>
    </xf>
    <xf numFmtId="169" fontId="74" fillId="25" borderId="0" xfId="0" applyNumberFormat="1" applyFont="1" applyFill="1" applyBorder="1"/>
    <xf numFmtId="9" fontId="58" fillId="25" borderId="0" xfId="0" applyNumberFormat="1" applyFont="1" applyFill="1" applyBorder="1"/>
    <xf numFmtId="3" fontId="61" fillId="0" borderId="48" xfId="0" applyNumberFormat="1" applyFont="1" applyBorder="1" applyProtection="1">
      <protection locked="0"/>
    </xf>
    <xf numFmtId="3" fontId="61" fillId="28" borderId="48" xfId="0" applyNumberFormat="1" applyFont="1" applyFill="1" applyBorder="1" applyProtection="1">
      <protection locked="0"/>
    </xf>
    <xf numFmtId="3" fontId="61" fillId="0" borderId="49" xfId="0" applyNumberFormat="1" applyFont="1" applyBorder="1" applyProtection="1">
      <protection locked="0"/>
    </xf>
    <xf numFmtId="3" fontId="61" fillId="0" borderId="50" xfId="0" applyNumberFormat="1" applyFont="1" applyBorder="1" applyProtection="1">
      <protection locked="0"/>
    </xf>
    <xf numFmtId="3" fontId="61" fillId="0" borderId="52" xfId="0" applyNumberFormat="1" applyFont="1" applyBorder="1" applyProtection="1">
      <protection locked="0"/>
    </xf>
    <xf numFmtId="3" fontId="70" fillId="0" borderId="10" xfId="0" applyNumberFormat="1" applyFont="1" applyBorder="1"/>
    <xf numFmtId="0" fontId="70" fillId="0" borderId="61" xfId="0" applyFont="1" applyBorder="1" applyAlignment="1">
      <alignment horizontal="right"/>
    </xf>
    <xf numFmtId="0" fontId="70" fillId="0" borderId="11" xfId="0" applyFont="1" applyBorder="1" applyAlignment="1">
      <alignment horizontal="right"/>
    </xf>
    <xf numFmtId="0" fontId="70" fillId="0" borderId="62" xfId="0" applyFont="1" applyBorder="1" applyAlignment="1">
      <alignment horizontal="right"/>
    </xf>
    <xf numFmtId="0" fontId="70" fillId="0" borderId="63" xfId="0" applyFont="1" applyBorder="1" applyAlignment="1">
      <alignment horizontal="right"/>
    </xf>
    <xf numFmtId="0" fontId="56" fillId="0" borderId="48" xfId="0" applyFont="1" applyFill="1" applyBorder="1" applyAlignment="1">
      <alignment horizontal="left"/>
    </xf>
    <xf numFmtId="0" fontId="56" fillId="0" borderId="49" xfId="0" applyFont="1" applyFill="1" applyBorder="1" applyAlignment="1">
      <alignment horizontal="left"/>
    </xf>
    <xf numFmtId="0" fontId="56" fillId="0" borderId="50" xfId="0" applyFont="1" applyFill="1" applyBorder="1" applyAlignment="1">
      <alignment horizontal="left"/>
    </xf>
    <xf numFmtId="0" fontId="56" fillId="0" borderId="52" xfId="0" applyFont="1" applyFill="1" applyBorder="1" applyAlignment="1">
      <alignment horizontal="left"/>
    </xf>
    <xf numFmtId="4" fontId="56" fillId="0" borderId="48" xfId="0" applyNumberFormat="1" applyFont="1" applyBorder="1"/>
    <xf numFmtId="4" fontId="56" fillId="0" borderId="50" xfId="0" applyNumberFormat="1" applyFont="1" applyBorder="1"/>
    <xf numFmtId="4" fontId="0" fillId="0" borderId="0" xfId="0" applyNumberFormat="1" applyFont="1"/>
    <xf numFmtId="3" fontId="72" fillId="0" borderId="37" xfId="0" applyNumberFormat="1" applyFont="1" applyBorder="1" applyProtection="1">
      <protection locked="0"/>
    </xf>
    <xf numFmtId="3" fontId="72" fillId="0" borderId="38" xfId="0" applyNumberFormat="1" applyFont="1" applyBorder="1" applyProtection="1">
      <protection locked="0"/>
    </xf>
    <xf numFmtId="3" fontId="72" fillId="0" borderId="47" xfId="0" applyNumberFormat="1" applyFont="1" applyBorder="1" applyProtection="1">
      <protection locked="0"/>
    </xf>
    <xf numFmtId="0" fontId="72" fillId="0" borderId="37" xfId="0" applyFont="1" applyBorder="1" applyAlignment="1" applyProtection="1">
      <alignment horizontal="center"/>
      <protection locked="0"/>
    </xf>
    <xf numFmtId="3" fontId="71" fillId="0" borderId="38" xfId="46" applyNumberFormat="1" applyFont="1" applyBorder="1" applyProtection="1">
      <protection locked="0"/>
    </xf>
    <xf numFmtId="0" fontId="72" fillId="0" borderId="47" xfId="0" applyFont="1" applyBorder="1" applyProtection="1">
      <protection locked="0"/>
    </xf>
    <xf numFmtId="0" fontId="58" fillId="30" borderId="0" xfId="0" applyFont="1" applyFill="1"/>
    <xf numFmtId="0" fontId="0" fillId="30" borderId="0" xfId="0" applyFill="1"/>
    <xf numFmtId="0" fontId="70" fillId="30" borderId="0" xfId="0" applyFont="1" applyFill="1"/>
    <xf numFmtId="0" fontId="70" fillId="30" borderId="0" xfId="0" applyFont="1" applyFill="1" applyAlignment="1">
      <alignment horizontal="right"/>
    </xf>
    <xf numFmtId="0" fontId="70" fillId="32" borderId="0" xfId="0" applyFont="1" applyFill="1"/>
    <xf numFmtId="0" fontId="70" fillId="32" borderId="0" xfId="0" applyFont="1" applyFill="1" applyAlignment="1">
      <alignment horizontal="right"/>
    </xf>
    <xf numFmtId="3" fontId="75" fillId="0" borderId="48" xfId="0" applyNumberFormat="1" applyFont="1" applyBorder="1" applyAlignment="1" applyProtection="1">
      <alignment vertical="center" wrapText="1"/>
      <protection locked="0"/>
    </xf>
    <xf numFmtId="3" fontId="75" fillId="0" borderId="49" xfId="0" applyNumberFormat="1" applyFont="1" applyBorder="1" applyAlignment="1" applyProtection="1">
      <alignment vertical="center" wrapText="1"/>
      <protection locked="0"/>
    </xf>
    <xf numFmtId="3" fontId="75" fillId="0" borderId="52" xfId="0" applyNumberFormat="1" applyFont="1" applyBorder="1" applyAlignment="1" applyProtection="1">
      <alignment vertical="center" wrapText="1"/>
      <protection locked="0"/>
    </xf>
    <xf numFmtId="0" fontId="77" fillId="31" borderId="0" xfId="0" applyFont="1" applyFill="1" applyAlignment="1">
      <alignment vertical="center"/>
    </xf>
    <xf numFmtId="0" fontId="78" fillId="31" borderId="0" xfId="0" applyFont="1" applyFill="1" applyAlignment="1">
      <alignment vertical="center"/>
    </xf>
    <xf numFmtId="0" fontId="79" fillId="31" borderId="0" xfId="0" applyFont="1" applyFill="1"/>
    <xf numFmtId="0" fontId="0" fillId="31" borderId="0" xfId="0" applyFill="1"/>
    <xf numFmtId="0" fontId="56" fillId="31" borderId="0" xfId="0" applyFont="1" applyFill="1"/>
    <xf numFmtId="0" fontId="80" fillId="31" borderId="0" xfId="0" applyFont="1" applyFill="1" applyAlignment="1">
      <alignment vertical="center"/>
    </xf>
    <xf numFmtId="3" fontId="70" fillId="0" borderId="36" xfId="0" applyNumberFormat="1" applyFont="1" applyBorder="1"/>
    <xf numFmtId="3" fontId="70" fillId="0" borderId="37" xfId="0" applyNumberFormat="1" applyFont="1" applyBorder="1"/>
    <xf numFmtId="3" fontId="70" fillId="0" borderId="38" xfId="0" applyNumberFormat="1" applyFont="1" applyBorder="1"/>
    <xf numFmtId="4" fontId="81" fillId="25" borderId="0" xfId="45" applyNumberFormat="1" applyFont="1" applyFill="1"/>
    <xf numFmtId="0" fontId="81" fillId="25" borderId="0" xfId="45" applyFont="1" applyFill="1"/>
    <xf numFmtId="9" fontId="81" fillId="25" borderId="0" xfId="45" applyNumberFormat="1" applyFont="1" applyFill="1"/>
    <xf numFmtId="0" fontId="82" fillId="25" borderId="0" xfId="45" applyFont="1" applyFill="1" applyAlignment="1">
      <alignment horizontal="center" wrapText="1" shrinkToFit="1"/>
    </xf>
    <xf numFmtId="0" fontId="82" fillId="25" borderId="0" xfId="45" applyFont="1" applyFill="1" applyAlignment="1">
      <alignment horizontal="center"/>
    </xf>
    <xf numFmtId="0" fontId="82" fillId="25" borderId="0" xfId="45" applyFont="1" applyFill="1" applyAlignment="1">
      <alignment horizontal="left"/>
    </xf>
    <xf numFmtId="10" fontId="81" fillId="25" borderId="0" xfId="45" applyNumberFormat="1" applyFont="1" applyFill="1"/>
    <xf numFmtId="0" fontId="81" fillId="25" borderId="0" xfId="45" applyFont="1" applyFill="1" applyAlignment="1">
      <alignment horizontal="right"/>
    </xf>
    <xf numFmtId="0" fontId="81" fillId="25" borderId="0" xfId="45" applyFont="1" applyFill="1" applyAlignment="1">
      <alignment wrapText="1" shrinkToFit="1"/>
    </xf>
    <xf numFmtId="10" fontId="81" fillId="25" borderId="0" xfId="44" applyNumberFormat="1" applyFont="1" applyFill="1"/>
    <xf numFmtId="4" fontId="81" fillId="25" borderId="0" xfId="45" applyNumberFormat="1" applyFont="1" applyFill="1" applyBorder="1"/>
    <xf numFmtId="0" fontId="81" fillId="25" borderId="0" xfId="45" applyFont="1" applyFill="1" applyBorder="1"/>
    <xf numFmtId="3" fontId="81" fillId="25" borderId="0" xfId="45" applyNumberFormat="1" applyFont="1" applyFill="1" applyBorder="1"/>
    <xf numFmtId="0" fontId="83" fillId="25" borderId="0" xfId="0" applyFont="1" applyFill="1" applyBorder="1" applyAlignment="1" applyProtection="1">
      <alignment horizontal="right"/>
      <protection hidden="1"/>
    </xf>
    <xf numFmtId="0" fontId="58" fillId="25" borderId="0" xfId="0" applyFont="1" applyFill="1" applyBorder="1" applyProtection="1">
      <protection hidden="1"/>
    </xf>
    <xf numFmtId="0" fontId="58" fillId="25" borderId="0" xfId="0" applyFont="1" applyFill="1" applyBorder="1" applyAlignment="1" applyProtection="1">
      <alignment horizontal="right"/>
      <protection hidden="1"/>
    </xf>
    <xf numFmtId="3" fontId="58" fillId="25" borderId="0" xfId="0" applyNumberFormat="1" applyFont="1" applyFill="1" applyBorder="1" applyProtection="1">
      <protection hidden="1"/>
    </xf>
    <xf numFmtId="3" fontId="58" fillId="25" borderId="0" xfId="0" applyNumberFormat="1" applyFont="1" applyFill="1" applyBorder="1" applyAlignment="1" applyProtection="1">
      <alignment horizontal="right"/>
      <protection hidden="1"/>
    </xf>
    <xf numFmtId="3" fontId="74" fillId="25" borderId="0" xfId="0" applyNumberFormat="1" applyFont="1" applyFill="1" applyBorder="1" applyProtection="1">
      <protection hidden="1"/>
    </xf>
    <xf numFmtId="0" fontId="74" fillId="25" borderId="0" xfId="0" applyFont="1" applyFill="1" applyBorder="1" applyAlignment="1" applyProtection="1">
      <alignment horizontal="right"/>
      <protection hidden="1"/>
    </xf>
    <xf numFmtId="0" fontId="74" fillId="25" borderId="0" xfId="0" applyFont="1" applyFill="1" applyBorder="1" applyProtection="1">
      <protection hidden="1"/>
    </xf>
    <xf numFmtId="2" fontId="74" fillId="25" borderId="0" xfId="0" applyNumberFormat="1" applyFont="1" applyFill="1" applyBorder="1" applyAlignment="1" applyProtection="1">
      <alignment horizontal="right" wrapText="1"/>
      <protection hidden="1"/>
    </xf>
    <xf numFmtId="3" fontId="41" fillId="25" borderId="0" xfId="0" applyNumberFormat="1" applyFont="1" applyFill="1" applyBorder="1" applyProtection="1">
      <protection hidden="1"/>
    </xf>
    <xf numFmtId="3" fontId="43" fillId="25" borderId="0" xfId="0" applyNumberFormat="1" applyFont="1" applyFill="1" applyBorder="1" applyProtection="1">
      <protection hidden="1"/>
    </xf>
    <xf numFmtId="0" fontId="42" fillId="25" borderId="0" xfId="0" applyFont="1" applyFill="1" applyBorder="1" applyAlignment="1" applyProtection="1">
      <alignment horizontal="center"/>
      <protection hidden="1"/>
    </xf>
    <xf numFmtId="168" fontId="42" fillId="25" borderId="0" xfId="0" applyNumberFormat="1" applyFont="1" applyFill="1" applyBorder="1" applyProtection="1">
      <protection hidden="1"/>
    </xf>
    <xf numFmtId="0" fontId="42" fillId="25" borderId="0" xfId="0" applyFont="1" applyFill="1" applyBorder="1" applyAlignment="1" applyProtection="1">
      <protection hidden="1"/>
    </xf>
    <xf numFmtId="0" fontId="42" fillId="25" borderId="0" xfId="0" applyFont="1" applyFill="1" applyBorder="1" applyAlignment="1" applyProtection="1">
      <alignment horizontal="right"/>
      <protection hidden="1"/>
    </xf>
    <xf numFmtId="168" fontId="42" fillId="25" borderId="0" xfId="0" applyNumberFormat="1" applyFont="1" applyFill="1" applyBorder="1" applyAlignment="1" applyProtection="1">
      <protection hidden="1"/>
    </xf>
    <xf numFmtId="168" fontId="42" fillId="25" borderId="0" xfId="0" applyNumberFormat="1" applyFont="1" applyFill="1" applyBorder="1" applyAlignment="1" applyProtection="1">
      <alignment horizontal="right"/>
      <protection hidden="1"/>
    </xf>
    <xf numFmtId="0" fontId="84" fillId="25" borderId="0" xfId="0" applyFont="1" applyFill="1" applyBorder="1" applyProtection="1">
      <protection hidden="1"/>
    </xf>
    <xf numFmtId="0" fontId="41" fillId="25" borderId="0" xfId="0" applyFont="1" applyFill="1" applyBorder="1" applyProtection="1">
      <protection hidden="1"/>
    </xf>
    <xf numFmtId="0" fontId="42" fillId="25" borderId="0" xfId="0" applyFont="1" applyFill="1" applyBorder="1" applyProtection="1">
      <protection hidden="1"/>
    </xf>
    <xf numFmtId="3" fontId="57" fillId="25" borderId="0" xfId="0" applyNumberFormat="1" applyFont="1" applyFill="1" applyBorder="1" applyProtection="1">
      <protection hidden="1"/>
    </xf>
    <xf numFmtId="3" fontId="42" fillId="25" borderId="0" xfId="0" applyNumberFormat="1" applyFont="1" applyFill="1" applyBorder="1" applyProtection="1">
      <protection hidden="1"/>
    </xf>
    <xf numFmtId="10" fontId="42" fillId="25" borderId="0" xfId="44" applyNumberFormat="1" applyFont="1" applyFill="1" applyBorder="1" applyProtection="1">
      <protection hidden="1"/>
    </xf>
    <xf numFmtId="9" fontId="42" fillId="25" borderId="0" xfId="44" applyNumberFormat="1" applyFont="1" applyFill="1" applyBorder="1" applyProtection="1">
      <protection hidden="1"/>
    </xf>
    <xf numFmtId="168" fontId="42" fillId="25" borderId="0" xfId="44" applyNumberFormat="1" applyFont="1" applyFill="1" applyBorder="1" applyProtection="1">
      <protection hidden="1"/>
    </xf>
    <xf numFmtId="4" fontId="42" fillId="25" borderId="0" xfId="0" applyNumberFormat="1" applyFont="1" applyFill="1" applyBorder="1" applyProtection="1">
      <protection hidden="1"/>
    </xf>
    <xf numFmtId="10" fontId="42" fillId="25" borderId="0" xfId="0" applyNumberFormat="1" applyFont="1" applyFill="1" applyBorder="1" applyProtection="1">
      <protection hidden="1"/>
    </xf>
    <xf numFmtId="165" fontId="42" fillId="25" borderId="0" xfId="44" applyNumberFormat="1" applyFont="1" applyFill="1" applyBorder="1" applyProtection="1">
      <protection hidden="1"/>
    </xf>
    <xf numFmtId="0" fontId="42" fillId="25" borderId="0" xfId="0" applyFont="1" applyFill="1" applyBorder="1" applyAlignment="1" applyProtection="1">
      <alignment wrapText="1"/>
      <protection hidden="1"/>
    </xf>
    <xf numFmtId="4" fontId="42" fillId="25" borderId="0" xfId="0" applyNumberFormat="1" applyFont="1" applyFill="1" applyBorder="1" applyAlignment="1" applyProtection="1">
      <alignment horizontal="center"/>
      <protection hidden="1"/>
    </xf>
    <xf numFmtId="0" fontId="57" fillId="25" borderId="0" xfId="0" applyFont="1" applyFill="1" applyBorder="1" applyProtection="1">
      <protection hidden="1"/>
    </xf>
    <xf numFmtId="3" fontId="57" fillId="25" borderId="0" xfId="0" applyNumberFormat="1" applyFont="1" applyFill="1" applyBorder="1" applyAlignment="1" applyProtection="1">
      <alignment horizontal="right"/>
      <protection hidden="1"/>
    </xf>
    <xf numFmtId="0" fontId="48" fillId="25" borderId="0" xfId="0" applyFont="1" applyFill="1" applyBorder="1" applyAlignment="1" applyProtection="1">
      <alignment horizontal="center"/>
      <protection hidden="1"/>
    </xf>
    <xf numFmtId="3" fontId="41" fillId="25" borderId="0" xfId="0" applyNumberFormat="1" applyFont="1" applyFill="1" applyBorder="1"/>
    <xf numFmtId="3" fontId="43" fillId="25" borderId="0" xfId="0" applyNumberFormat="1" applyFont="1" applyFill="1" applyBorder="1"/>
    <xf numFmtId="0" fontId="42" fillId="25" borderId="0" xfId="0" applyFont="1" applyFill="1" applyBorder="1" applyAlignment="1">
      <alignment horizontal="center"/>
    </xf>
    <xf numFmtId="168" fontId="42" fillId="25" borderId="0" xfId="0" applyNumberFormat="1" applyFont="1" applyFill="1" applyBorder="1"/>
    <xf numFmtId="0" fontId="42" fillId="25" borderId="0" xfId="0" applyFont="1" applyFill="1" applyBorder="1" applyAlignment="1"/>
    <xf numFmtId="0" fontId="42" fillId="25" borderId="0" xfId="0" applyFont="1" applyFill="1" applyBorder="1" applyAlignment="1">
      <alignment horizontal="right"/>
    </xf>
    <xf numFmtId="168" fontId="42" fillId="25" borderId="0" xfId="0" applyNumberFormat="1" applyFont="1" applyFill="1" applyBorder="1" applyAlignment="1"/>
    <xf numFmtId="168" fontId="42" fillId="25" borderId="0" xfId="0" applyNumberFormat="1" applyFont="1" applyFill="1" applyBorder="1" applyAlignment="1">
      <alignment horizontal="right"/>
    </xf>
    <xf numFmtId="0" fontId="84" fillId="25" borderId="0" xfId="0" applyFont="1" applyFill="1" applyBorder="1"/>
    <xf numFmtId="0" fontId="41" fillId="25" borderId="0" xfId="0" applyFont="1" applyFill="1" applyBorder="1"/>
    <xf numFmtId="0" fontId="42" fillId="25" borderId="0" xfId="0" applyFont="1" applyFill="1" applyBorder="1"/>
    <xf numFmtId="3" fontId="57" fillId="25" borderId="0" xfId="0" applyNumberFormat="1" applyFont="1" applyFill="1" applyBorder="1"/>
    <xf numFmtId="3" fontId="42" fillId="25" borderId="0" xfId="0" applyNumberFormat="1" applyFont="1" applyFill="1" applyBorder="1"/>
    <xf numFmtId="10" fontId="42" fillId="25" borderId="0" xfId="44" applyNumberFormat="1" applyFont="1" applyFill="1" applyBorder="1"/>
    <xf numFmtId="9" fontId="42" fillId="25" borderId="0" xfId="44" applyNumberFormat="1" applyFont="1" applyFill="1" applyBorder="1"/>
    <xf numFmtId="168" fontId="42" fillId="25" borderId="0" xfId="44" applyNumberFormat="1" applyFont="1" applyFill="1" applyBorder="1"/>
    <xf numFmtId="4" fontId="42" fillId="25" borderId="0" xfId="0" applyNumberFormat="1" applyFont="1" applyFill="1" applyBorder="1"/>
    <xf numFmtId="10" fontId="42" fillId="25" borderId="0" xfId="0" applyNumberFormat="1" applyFont="1" applyFill="1" applyBorder="1"/>
    <xf numFmtId="165" fontId="42" fillId="25" borderId="0" xfId="44" applyNumberFormat="1" applyFont="1" applyFill="1" applyBorder="1"/>
    <xf numFmtId="0" fontId="42" fillId="25" borderId="0" xfId="0" applyFont="1" applyFill="1" applyBorder="1" applyAlignment="1">
      <alignment wrapText="1"/>
    </xf>
    <xf numFmtId="4" fontId="42" fillId="25" borderId="0" xfId="0" applyNumberFormat="1" applyFont="1" applyFill="1" applyBorder="1" applyAlignment="1">
      <alignment horizontal="center"/>
    </xf>
    <xf numFmtId="0" fontId="57" fillId="25" borderId="0" xfId="0" applyFont="1" applyFill="1" applyBorder="1"/>
    <xf numFmtId="3" fontId="57" fillId="25" borderId="0" xfId="0" applyNumberFormat="1" applyFont="1" applyFill="1" applyBorder="1" applyAlignment="1">
      <alignment horizontal="right"/>
    </xf>
    <xf numFmtId="0" fontId="48" fillId="25" borderId="0" xfId="0" applyFont="1" applyFill="1" applyBorder="1" applyAlignment="1">
      <alignment horizontal="right"/>
    </xf>
    <xf numFmtId="3" fontId="48" fillId="25" borderId="0" xfId="0" applyNumberFormat="1" applyFont="1" applyFill="1" applyBorder="1"/>
    <xf numFmtId="0" fontId="48" fillId="25" borderId="0" xfId="0" applyFont="1" applyFill="1" applyBorder="1"/>
    <xf numFmtId="0" fontId="48" fillId="25" borderId="0" xfId="0" applyFont="1" applyFill="1" applyBorder="1" applyAlignment="1">
      <alignment horizontal="center"/>
    </xf>
    <xf numFmtId="0" fontId="85" fillId="24" borderId="0" xfId="0" applyFont="1" applyFill="1" applyBorder="1" applyProtection="1">
      <protection hidden="1"/>
    </xf>
    <xf numFmtId="3" fontId="85" fillId="24" borderId="0" xfId="0" applyNumberFormat="1" applyFont="1" applyFill="1" applyBorder="1" applyProtection="1">
      <protection hidden="1"/>
    </xf>
    <xf numFmtId="3" fontId="85" fillId="24" borderId="21" xfId="0" applyNumberFormat="1" applyFont="1" applyFill="1" applyBorder="1" applyProtection="1">
      <protection hidden="1"/>
    </xf>
    <xf numFmtId="3" fontId="0" fillId="25" borderId="0" xfId="0" applyNumberFormat="1" applyFill="1"/>
    <xf numFmtId="0" fontId="66" fillId="25" borderId="0" xfId="0" applyFont="1" applyFill="1" applyBorder="1" applyProtection="1">
      <protection hidden="1"/>
    </xf>
    <xf numFmtId="0" fontId="88" fillId="25" borderId="0" xfId="0" applyFont="1" applyFill="1" applyBorder="1" applyProtection="1">
      <protection hidden="1"/>
    </xf>
    <xf numFmtId="0" fontId="73" fillId="25" borderId="0" xfId="0" applyFont="1" applyFill="1" applyBorder="1" applyProtection="1">
      <protection hidden="1"/>
    </xf>
    <xf numFmtId="0" fontId="85" fillId="30" borderId="21" xfId="0" applyFont="1" applyFill="1" applyBorder="1" applyProtection="1">
      <protection hidden="1"/>
    </xf>
    <xf numFmtId="0" fontId="85" fillId="33" borderId="0" xfId="0" applyFont="1" applyFill="1" applyBorder="1" applyProtection="1">
      <protection hidden="1"/>
    </xf>
    <xf numFmtId="3" fontId="85" fillId="33" borderId="10" xfId="0" applyNumberFormat="1" applyFont="1" applyFill="1" applyBorder="1" applyProtection="1">
      <protection hidden="1"/>
    </xf>
    <xf numFmtId="3" fontId="66" fillId="33" borderId="10" xfId="0" applyNumberFormat="1" applyFont="1" applyFill="1" applyBorder="1"/>
    <xf numFmtId="0" fontId="85" fillId="33" borderId="15" xfId="0" applyFont="1" applyFill="1" applyBorder="1" applyProtection="1">
      <protection hidden="1"/>
    </xf>
    <xf numFmtId="3" fontId="85" fillId="33" borderId="10" xfId="0" applyNumberFormat="1" applyFont="1" applyFill="1" applyBorder="1" applyAlignment="1" applyProtection="1">
      <alignment horizontal="right"/>
      <protection hidden="1"/>
    </xf>
    <xf numFmtId="3" fontId="85" fillId="33" borderId="10" xfId="44" applyNumberFormat="1" applyFont="1" applyFill="1" applyBorder="1" applyAlignment="1" applyProtection="1">
      <alignment horizontal="right"/>
      <protection hidden="1"/>
    </xf>
    <xf numFmtId="3" fontId="89" fillId="25" borderId="10" xfId="0" applyNumberFormat="1" applyFont="1" applyFill="1" applyBorder="1" applyProtection="1">
      <protection hidden="1"/>
    </xf>
    <xf numFmtId="0" fontId="66" fillId="30" borderId="21" xfId="0" applyFont="1" applyFill="1" applyBorder="1" applyProtection="1">
      <protection hidden="1"/>
    </xf>
    <xf numFmtId="3" fontId="66" fillId="30" borderId="28" xfId="0" applyNumberFormat="1" applyFont="1" applyFill="1" applyBorder="1" applyAlignment="1" applyProtection="1">
      <alignment horizontal="right"/>
      <protection hidden="1"/>
    </xf>
    <xf numFmtId="3" fontId="87" fillId="30" borderId="28" xfId="0" applyNumberFormat="1" applyFont="1" applyFill="1" applyBorder="1" applyAlignment="1" applyProtection="1">
      <alignment horizontal="right"/>
      <protection hidden="1"/>
    </xf>
    <xf numFmtId="3" fontId="66" fillId="30" borderId="28" xfId="0" applyNumberFormat="1" applyFont="1" applyFill="1" applyBorder="1"/>
    <xf numFmtId="3" fontId="66" fillId="30" borderId="29" xfId="0" applyNumberFormat="1" applyFont="1" applyFill="1" applyBorder="1"/>
    <xf numFmtId="3" fontId="89" fillId="25" borderId="40" xfId="0" applyNumberFormat="1" applyFont="1" applyFill="1" applyBorder="1" applyProtection="1">
      <protection hidden="1"/>
    </xf>
    <xf numFmtId="3" fontId="70" fillId="0" borderId="40" xfId="0" applyNumberFormat="1" applyFont="1" applyBorder="1"/>
    <xf numFmtId="3" fontId="85" fillId="30" borderId="28" xfId="0" applyNumberFormat="1" applyFont="1" applyFill="1" applyBorder="1" applyProtection="1">
      <protection hidden="1"/>
    </xf>
    <xf numFmtId="0" fontId="85" fillId="25" borderId="48" xfId="0" applyFont="1" applyFill="1" applyBorder="1" applyProtection="1">
      <protection hidden="1"/>
    </xf>
    <xf numFmtId="0" fontId="66" fillId="30" borderId="25" xfId="0" applyFont="1" applyFill="1" applyBorder="1" applyProtection="1">
      <protection hidden="1"/>
    </xf>
    <xf numFmtId="0" fontId="85" fillId="33" borderId="34" xfId="0" applyFont="1" applyFill="1" applyBorder="1" applyAlignment="1" applyProtection="1">
      <alignment horizontal="right"/>
      <protection hidden="1"/>
    </xf>
    <xf numFmtId="0" fontId="85" fillId="25" borderId="34" xfId="0" applyFont="1" applyFill="1" applyBorder="1" applyAlignment="1" applyProtection="1">
      <alignment horizontal="right"/>
      <protection hidden="1"/>
    </xf>
    <xf numFmtId="0" fontId="66" fillId="25" borderId="34" xfId="0" applyFont="1" applyFill="1" applyBorder="1" applyAlignment="1" applyProtection="1">
      <alignment horizontal="right"/>
      <protection hidden="1"/>
    </xf>
    <xf numFmtId="0" fontId="85" fillId="30" borderId="25" xfId="0" applyFont="1" applyFill="1" applyBorder="1" applyAlignment="1" applyProtection="1">
      <alignment horizontal="right"/>
      <protection hidden="1"/>
    </xf>
    <xf numFmtId="0" fontId="85" fillId="24" borderId="34" xfId="0" applyFont="1" applyFill="1" applyBorder="1" applyProtection="1">
      <protection hidden="1"/>
    </xf>
    <xf numFmtId="0" fontId="85" fillId="33" borderId="49" xfId="0" applyFont="1" applyFill="1" applyBorder="1" applyAlignment="1" applyProtection="1">
      <alignment horizontal="right"/>
      <protection hidden="1"/>
    </xf>
    <xf numFmtId="0" fontId="87" fillId="25" borderId="34" xfId="0" applyFont="1" applyFill="1" applyBorder="1" applyAlignment="1" applyProtection="1">
      <alignment horizontal="right"/>
      <protection hidden="1"/>
    </xf>
    <xf numFmtId="0" fontId="86" fillId="25" borderId="12" xfId="0" applyFont="1" applyFill="1" applyBorder="1" applyAlignment="1" applyProtection="1">
      <alignment horizontal="right"/>
      <protection hidden="1"/>
    </xf>
    <xf numFmtId="3" fontId="85" fillId="25" borderId="61" xfId="0" applyNumberFormat="1" applyFont="1" applyFill="1" applyBorder="1" applyProtection="1">
      <protection hidden="1"/>
    </xf>
    <xf numFmtId="3" fontId="85" fillId="25" borderId="36" xfId="0" applyNumberFormat="1" applyFont="1" applyFill="1" applyBorder="1" applyProtection="1">
      <protection hidden="1"/>
    </xf>
    <xf numFmtId="3" fontId="85" fillId="0" borderId="36" xfId="0" applyNumberFormat="1" applyFont="1" applyBorder="1" applyProtection="1">
      <protection hidden="1"/>
    </xf>
    <xf numFmtId="3" fontId="85" fillId="33" borderId="11" xfId="0" applyNumberFormat="1" applyFont="1" applyFill="1" applyBorder="1" applyAlignment="1" applyProtection="1">
      <alignment horizontal="right"/>
      <protection hidden="1"/>
    </xf>
    <xf numFmtId="3" fontId="85" fillId="33" borderId="38" xfId="0" applyNumberFormat="1" applyFont="1" applyFill="1" applyBorder="1" applyProtection="1">
      <protection hidden="1"/>
    </xf>
    <xf numFmtId="3" fontId="66" fillId="33" borderId="38" xfId="0" applyNumberFormat="1" applyFont="1" applyFill="1" applyBorder="1"/>
    <xf numFmtId="3" fontId="66" fillId="30" borderId="27" xfId="0" applyNumberFormat="1" applyFont="1" applyFill="1" applyBorder="1" applyAlignment="1" applyProtection="1">
      <alignment horizontal="right"/>
      <protection hidden="1"/>
    </xf>
    <xf numFmtId="3" fontId="85" fillId="33" borderId="11" xfId="0" applyNumberFormat="1" applyFont="1" applyFill="1" applyBorder="1" applyProtection="1">
      <protection hidden="1"/>
    </xf>
    <xf numFmtId="3" fontId="89" fillId="25" borderId="11" xfId="0" applyNumberFormat="1" applyFont="1" applyFill="1" applyBorder="1" applyProtection="1">
      <protection hidden="1"/>
    </xf>
    <xf numFmtId="3" fontId="89" fillId="25" borderId="64" xfId="0" applyNumberFormat="1" applyFont="1" applyFill="1" applyBorder="1" applyProtection="1">
      <protection hidden="1"/>
    </xf>
    <xf numFmtId="3" fontId="70" fillId="0" borderId="41" xfId="0" applyNumberFormat="1" applyFont="1" applyBorder="1"/>
    <xf numFmtId="3" fontId="85" fillId="30" borderId="27" xfId="0" applyNumberFormat="1" applyFont="1" applyFill="1" applyBorder="1" applyProtection="1">
      <protection hidden="1"/>
    </xf>
    <xf numFmtId="3" fontId="85" fillId="24" borderId="17" xfId="0" applyNumberFormat="1" applyFont="1" applyFill="1" applyBorder="1" applyProtection="1">
      <protection hidden="1"/>
    </xf>
    <xf numFmtId="3" fontId="85" fillId="24" borderId="22" xfId="0" applyNumberFormat="1" applyFont="1" applyFill="1" applyBorder="1" applyProtection="1">
      <protection hidden="1"/>
    </xf>
    <xf numFmtId="4" fontId="43" fillId="25" borderId="0" xfId="0" applyNumberFormat="1" applyFont="1" applyFill="1" applyBorder="1" applyAlignment="1" applyProtection="1">
      <alignment horizontal="center"/>
      <protection hidden="1"/>
    </xf>
    <xf numFmtId="0" fontId="48" fillId="25" borderId="0" xfId="0" applyFont="1" applyFill="1" applyBorder="1" applyAlignment="1" applyProtection="1">
      <protection hidden="1"/>
    </xf>
    <xf numFmtId="3" fontId="51" fillId="25" borderId="0" xfId="0" applyNumberFormat="1" applyFont="1" applyFill="1" applyBorder="1" applyProtection="1">
      <protection hidden="1"/>
    </xf>
    <xf numFmtId="0" fontId="51" fillId="25" borderId="0" xfId="0" applyFont="1" applyFill="1" applyBorder="1" applyAlignment="1" applyProtection="1">
      <alignment horizontal="right"/>
      <protection hidden="1"/>
    </xf>
    <xf numFmtId="9" fontId="48" fillId="25" borderId="0" xfId="0" applyNumberFormat="1" applyFont="1" applyFill="1" applyBorder="1" applyProtection="1">
      <protection hidden="1"/>
    </xf>
    <xf numFmtId="166" fontId="48" fillId="25" borderId="0" xfId="0" applyNumberFormat="1" applyFont="1" applyFill="1" applyBorder="1" applyProtection="1">
      <protection hidden="1"/>
    </xf>
    <xf numFmtId="10" fontId="48" fillId="25" borderId="0" xfId="0" applyNumberFormat="1" applyFont="1" applyFill="1" applyBorder="1" applyProtection="1">
      <protection hidden="1"/>
    </xf>
    <xf numFmtId="168" fontId="48" fillId="25" borderId="0" xfId="0" applyNumberFormat="1" applyFont="1" applyFill="1" applyBorder="1" applyProtection="1">
      <protection hidden="1"/>
    </xf>
    <xf numFmtId="3" fontId="0" fillId="31" borderId="0" xfId="0" applyNumberFormat="1" applyFill="1"/>
    <xf numFmtId="3" fontId="85" fillId="28" borderId="19" xfId="0" applyNumberFormat="1" applyFont="1" applyFill="1" applyBorder="1" applyProtection="1">
      <protection hidden="1"/>
    </xf>
    <xf numFmtId="3" fontId="85" fillId="28" borderId="21" xfId="0" applyNumberFormat="1" applyFont="1" applyFill="1" applyBorder="1" applyProtection="1">
      <protection hidden="1"/>
    </xf>
    <xf numFmtId="3" fontId="85" fillId="28" borderId="24" xfId="0" applyNumberFormat="1" applyFont="1" applyFill="1" applyBorder="1" applyProtection="1">
      <protection hidden="1"/>
    </xf>
    <xf numFmtId="3" fontId="90" fillId="31" borderId="0" xfId="0" applyNumberFormat="1" applyFont="1" applyFill="1" applyAlignment="1">
      <alignment vertical="center"/>
    </xf>
    <xf numFmtId="0" fontId="56" fillId="25" borderId="0" xfId="0" applyFont="1" applyFill="1" applyAlignment="1">
      <alignment horizontal="right"/>
    </xf>
    <xf numFmtId="3" fontId="91" fillId="31" borderId="0" xfId="0" applyNumberFormat="1" applyFont="1" applyFill="1"/>
    <xf numFmtId="0" fontId="66" fillId="0" borderId="11" xfId="0" applyFont="1" applyBorder="1" applyAlignment="1">
      <alignment horizontal="right"/>
    </xf>
    <xf numFmtId="0" fontId="66" fillId="0" borderId="63" xfId="0" applyFont="1" applyBorder="1" applyAlignment="1">
      <alignment horizontal="right"/>
    </xf>
    <xf numFmtId="0" fontId="66" fillId="25" borderId="19" xfId="0" applyFont="1" applyFill="1" applyBorder="1" applyAlignment="1">
      <alignment horizontal="right"/>
    </xf>
    <xf numFmtId="3" fontId="72" fillId="28" borderId="29" xfId="0" applyNumberFormat="1" applyFont="1" applyFill="1" applyBorder="1" applyAlignment="1" applyProtection="1">
      <alignment horizontal="right"/>
      <protection locked="0"/>
    </xf>
    <xf numFmtId="3" fontId="92" fillId="31" borderId="0" xfId="0" applyNumberFormat="1" applyFont="1" applyFill="1"/>
    <xf numFmtId="0" fontId="85" fillId="28" borderId="25" xfId="0" applyFont="1" applyFill="1" applyBorder="1" applyAlignment="1" applyProtection="1">
      <alignment horizontal="right"/>
      <protection hidden="1"/>
    </xf>
    <xf numFmtId="10" fontId="66" fillId="0" borderId="37" xfId="0" applyNumberFormat="1" applyFont="1" applyBorder="1" applyAlignment="1" applyProtection="1">
      <alignment horizontal="right"/>
      <protection hidden="1"/>
    </xf>
    <xf numFmtId="10" fontId="66" fillId="28" borderId="45" xfId="0" applyNumberFormat="1" applyFont="1" applyFill="1" applyBorder="1" applyAlignment="1" applyProtection="1">
      <alignment horizontal="right"/>
      <protection hidden="1"/>
    </xf>
    <xf numFmtId="4" fontId="66" fillId="0" borderId="45" xfId="0" applyNumberFormat="1" applyFont="1" applyBorder="1" applyProtection="1">
      <protection hidden="1"/>
    </xf>
    <xf numFmtId="3" fontId="66" fillId="0" borderId="38" xfId="0" applyNumberFormat="1" applyFont="1" applyBorder="1" applyProtection="1">
      <protection hidden="1"/>
    </xf>
    <xf numFmtId="4" fontId="66" fillId="0" borderId="38" xfId="0" applyNumberFormat="1" applyFont="1" applyBorder="1" applyProtection="1">
      <protection hidden="1"/>
    </xf>
    <xf numFmtId="3" fontId="66" fillId="28" borderId="38" xfId="0" applyNumberFormat="1" applyFont="1" applyFill="1" applyBorder="1" applyProtection="1">
      <protection hidden="1"/>
    </xf>
    <xf numFmtId="167" fontId="66" fillId="0" borderId="38" xfId="0" applyNumberFormat="1" applyFont="1" applyBorder="1" applyProtection="1">
      <protection hidden="1"/>
    </xf>
    <xf numFmtId="4" fontId="66" fillId="0" borderId="47" xfId="0" applyNumberFormat="1" applyFont="1" applyBorder="1" applyProtection="1">
      <protection hidden="1"/>
    </xf>
    <xf numFmtId="4" fontId="66" fillId="0" borderId="37" xfId="0" applyNumberFormat="1" applyFont="1" applyBorder="1" applyProtection="1">
      <protection hidden="1"/>
    </xf>
    <xf numFmtId="0" fontId="58" fillId="30" borderId="0" xfId="0" applyFont="1" applyFill="1" applyProtection="1">
      <protection hidden="1"/>
    </xf>
    <xf numFmtId="0" fontId="0" fillId="30" borderId="0" xfId="0" applyFill="1" applyProtection="1">
      <protection hidden="1"/>
    </xf>
    <xf numFmtId="0" fontId="60" fillId="30" borderId="0" xfId="0" applyFont="1" applyFill="1" applyProtection="1">
      <protection hidden="1"/>
    </xf>
    <xf numFmtId="0" fontId="72" fillId="30" borderId="0" xfId="0" applyFont="1" applyFill="1" applyProtection="1">
      <protection hidden="1"/>
    </xf>
    <xf numFmtId="0" fontId="60" fillId="0" borderId="0" xfId="0" applyFont="1" applyProtection="1">
      <protection hidden="1"/>
    </xf>
    <xf numFmtId="0" fontId="0" fillId="32" borderId="0" xfId="0" applyFill="1" applyProtection="1">
      <protection hidden="1"/>
    </xf>
    <xf numFmtId="4" fontId="70" fillId="32" borderId="0" xfId="0" applyNumberFormat="1" applyFont="1" applyFill="1" applyProtection="1">
      <protection hidden="1"/>
    </xf>
    <xf numFmtId="0" fontId="66" fillId="0" borderId="0" xfId="0" applyFont="1" applyAlignment="1" applyProtection="1">
      <alignment horizontal="right"/>
      <protection hidden="1"/>
    </xf>
    <xf numFmtId="0" fontId="70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70" fillId="0" borderId="0" xfId="0" applyFont="1" applyAlignment="1" applyProtection="1">
      <alignment horizontal="right"/>
      <protection hidden="1"/>
    </xf>
    <xf numFmtId="9" fontId="70" fillId="0" borderId="61" xfId="0" applyNumberFormat="1" applyFont="1" applyBorder="1" applyProtection="1">
      <protection hidden="1"/>
    </xf>
    <xf numFmtId="9" fontId="70" fillId="0" borderId="36" xfId="0" applyNumberFormat="1" applyFont="1" applyBorder="1" applyProtection="1">
      <protection hidden="1"/>
    </xf>
    <xf numFmtId="3" fontId="70" fillId="0" borderId="36" xfId="0" applyNumberFormat="1" applyFont="1" applyBorder="1" applyProtection="1">
      <protection hidden="1"/>
    </xf>
    <xf numFmtId="3" fontId="70" fillId="0" borderId="37" xfId="0" applyNumberFormat="1" applyFont="1" applyBorder="1" applyProtection="1">
      <protection hidden="1"/>
    </xf>
    <xf numFmtId="3" fontId="70" fillId="0" borderId="11" xfId="0" applyNumberFormat="1" applyFont="1" applyBorder="1" applyProtection="1">
      <protection hidden="1"/>
    </xf>
    <xf numFmtId="3" fontId="70" fillId="0" borderId="10" xfId="0" applyNumberFormat="1" applyFont="1" applyBorder="1" applyProtection="1">
      <protection hidden="1"/>
    </xf>
    <xf numFmtId="9" fontId="70" fillId="0" borderId="10" xfId="0" applyNumberFormat="1" applyFont="1" applyBorder="1" applyProtection="1">
      <protection hidden="1"/>
    </xf>
    <xf numFmtId="3" fontId="70" fillId="0" borderId="38" xfId="0" applyNumberFormat="1" applyFont="1" applyBorder="1" applyProtection="1">
      <protection hidden="1"/>
    </xf>
    <xf numFmtId="3" fontId="70" fillId="0" borderId="0" xfId="0" applyNumberFormat="1" applyFont="1" applyProtection="1">
      <protection hidden="1"/>
    </xf>
    <xf numFmtId="9" fontId="70" fillId="0" borderId="38" xfId="0" applyNumberFormat="1" applyFont="1" applyBorder="1" applyProtection="1">
      <protection hidden="1"/>
    </xf>
    <xf numFmtId="9" fontId="70" fillId="0" borderId="0" xfId="0" applyNumberFormat="1" applyFont="1" applyProtection="1">
      <protection hidden="1"/>
    </xf>
    <xf numFmtId="3" fontId="66" fillId="0" borderId="62" xfId="0" applyNumberFormat="1" applyFont="1" applyBorder="1" applyProtection="1">
      <protection hidden="1"/>
    </xf>
    <xf numFmtId="3" fontId="66" fillId="0" borderId="46" xfId="0" applyNumberFormat="1" applyFont="1" applyBorder="1" applyProtection="1">
      <protection hidden="1"/>
    </xf>
    <xf numFmtId="3" fontId="66" fillId="0" borderId="47" xfId="0" applyNumberFormat="1" applyFont="1" applyBorder="1" applyProtection="1">
      <protection hidden="1"/>
    </xf>
    <xf numFmtId="3" fontId="66" fillId="0" borderId="0" xfId="0" applyNumberFormat="1" applyFont="1" applyProtection="1">
      <protection hidden="1"/>
    </xf>
    <xf numFmtId="3" fontId="66" fillId="0" borderId="61" xfId="0" applyNumberFormat="1" applyFont="1" applyBorder="1" applyProtection="1">
      <protection hidden="1"/>
    </xf>
    <xf numFmtId="3" fontId="66" fillId="0" borderId="36" xfId="0" applyNumberFormat="1" applyFont="1" applyBorder="1" applyProtection="1">
      <protection hidden="1"/>
    </xf>
    <xf numFmtId="3" fontId="66" fillId="0" borderId="37" xfId="0" applyNumberFormat="1" applyFont="1" applyBorder="1" applyProtection="1">
      <protection hidden="1"/>
    </xf>
    <xf numFmtId="3" fontId="66" fillId="28" borderId="0" xfId="0" applyNumberFormat="1" applyFont="1" applyFill="1" applyBorder="1" applyProtection="1">
      <protection hidden="1"/>
    </xf>
    <xf numFmtId="3" fontId="65" fillId="28" borderId="0" xfId="0" applyNumberFormat="1" applyFont="1" applyFill="1" applyAlignment="1" applyProtection="1">
      <alignment vertical="center" wrapText="1"/>
      <protection hidden="1"/>
    </xf>
    <xf numFmtId="0" fontId="35" fillId="0" borderId="0" xfId="0" applyFont="1" applyAlignment="1">
      <alignment horizontal="right"/>
    </xf>
    <xf numFmtId="0" fontId="76" fillId="31" borderId="19" xfId="0" applyFont="1" applyFill="1" applyBorder="1" applyAlignment="1">
      <alignment horizontal="center"/>
    </xf>
    <xf numFmtId="0" fontId="76" fillId="31" borderId="24" xfId="0" applyFont="1" applyFill="1" applyBorder="1" applyAlignment="1">
      <alignment horizontal="center"/>
    </xf>
    <xf numFmtId="0" fontId="66" fillId="30" borderId="20" xfId="0" applyFont="1" applyFill="1" applyBorder="1" applyAlignment="1">
      <alignment horizontal="center"/>
    </xf>
    <xf numFmtId="0" fontId="66" fillId="30" borderId="0" xfId="0" applyFont="1" applyFill="1" applyAlignment="1">
      <alignment horizontal="center"/>
    </xf>
    <xf numFmtId="0" fontId="66" fillId="30" borderId="15" xfId="0" applyFont="1" applyFill="1" applyBorder="1" applyAlignment="1">
      <alignment horizontal="center"/>
    </xf>
    <xf numFmtId="0" fontId="35" fillId="0" borderId="0" xfId="0" applyFont="1" applyAlignment="1" applyProtection="1">
      <alignment horizontal="right"/>
      <protection hidden="1"/>
    </xf>
    <xf numFmtId="0" fontId="42" fillId="25" borderId="0" xfId="0" applyFont="1" applyFill="1" applyBorder="1" applyAlignment="1" applyProtection="1">
      <alignment horizontal="right"/>
      <protection hidden="1"/>
    </xf>
    <xf numFmtId="0" fontId="42" fillId="25" borderId="0" xfId="0" applyFont="1" applyFill="1" applyBorder="1" applyAlignment="1">
      <alignment horizontal="right"/>
    </xf>
  </cellXfs>
  <cellStyles count="47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Euro" xfId="28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35" builtinId="20" customBuiltin="1"/>
    <cellStyle name="Вывод" xfId="39" builtinId="21" customBuiltin="1"/>
    <cellStyle name="Вычисление" xfId="26" builtinId="22" customBuiltin="1"/>
    <cellStyle name="Гиперссылка" xfId="46" builtinId="8"/>
    <cellStyle name="Заголовок 1" xfId="31" builtinId="16" customBuiltin="1"/>
    <cellStyle name="Заголовок 2" xfId="32" builtinId="17" customBuiltin="1"/>
    <cellStyle name="Заголовок 3" xfId="33" builtinId="18" customBuiltin="1"/>
    <cellStyle name="Заголовок 4" xfId="34" builtinId="19" customBuiltin="1"/>
    <cellStyle name="Итог" xfId="41" builtinId="25" customBuiltin="1"/>
    <cellStyle name="Контрольная ячейка" xfId="27" builtinId="23" customBuiltin="1"/>
    <cellStyle name="Название" xfId="40" builtinId="15" customBuiltin="1"/>
    <cellStyle name="Нейтральный" xfId="37" builtinId="28" customBuiltin="1"/>
    <cellStyle name="Обычный" xfId="0" builtinId="0"/>
    <cellStyle name="Обычный 2" xfId="45"/>
    <cellStyle name="Плохой" xfId="25" builtinId="27" customBuiltin="1"/>
    <cellStyle name="Пояснение" xfId="29" builtinId="53" customBuiltin="1"/>
    <cellStyle name="Примечание" xfId="38" builtinId="10" customBuiltin="1"/>
    <cellStyle name="Процентный" xfId="44" builtinId="5"/>
    <cellStyle name="Связанная ячейка" xfId="36" builtinId="24" customBuiltin="1"/>
    <cellStyle name="Стиль 1" xfId="43"/>
    <cellStyle name="Текст предупреждения" xfId="42" builtinId="11" customBuiltin="1"/>
    <cellStyle name="Хороший" xfId="30" builtinId="26" customBuiltin="1"/>
  </cellStyles>
  <dxfs count="1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82261076588727"/>
          <c:y val="0.11841152668416448"/>
          <c:w val="0.85871270945500744"/>
          <c:h val="0.86039916885389323"/>
        </c:manualLayout>
      </c:layout>
      <c:lineChart>
        <c:grouping val="standard"/>
        <c:varyColors val="0"/>
        <c:ser>
          <c:idx val="0"/>
          <c:order val="0"/>
          <c:tx>
            <c:strRef>
              <c:f>БДР!$B$2</c:f>
              <c:strCache>
                <c:ptCount val="1"/>
                <c:pt idx="0">
                  <c:v>месяц</c:v>
                </c:pt>
              </c:strCache>
            </c:strRef>
          </c:tx>
          <c:marker>
            <c:symbol val="none"/>
          </c:marker>
          <c:val>
            <c:numRef>
              <c:f>БДР!$C$2:$BO$2</c:f>
              <c:numCache>
                <c:formatCode>#,##0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БДР!$B$26</c:f>
              <c:strCache>
                <c:ptCount val="1"/>
                <c:pt idx="0">
                  <c:v>Денежный поток </c:v>
                </c:pt>
              </c:strCache>
            </c:strRef>
          </c:tx>
          <c:marker>
            <c:symbol val="none"/>
          </c:marker>
          <c:val>
            <c:numRef>
              <c:f>БДР!$C$26:$BO$26</c:f>
              <c:numCache>
                <c:formatCode>#,##0</c:formatCode>
                <c:ptCount val="64"/>
                <c:pt idx="0">
                  <c:v>-2300000</c:v>
                </c:pt>
                <c:pt idx="1">
                  <c:v>-3450000</c:v>
                </c:pt>
                <c:pt idx="2">
                  <c:v>-5450000</c:v>
                </c:pt>
                <c:pt idx="3">
                  <c:v>-6144674.2487844862</c:v>
                </c:pt>
                <c:pt idx="4">
                  <c:v>-6802613.3102851976</c:v>
                </c:pt>
                <c:pt idx="5">
                  <c:v>-6571567.1845021332</c:v>
                </c:pt>
                <c:pt idx="6">
                  <c:v>-6340521.0587190688</c:v>
                </c:pt>
                <c:pt idx="7">
                  <c:v>-6109474.9329360053</c:v>
                </c:pt>
                <c:pt idx="8">
                  <c:v>-5878428.8071529418</c:v>
                </c:pt>
                <c:pt idx="9">
                  <c:v>-5647382.6813698774</c:v>
                </c:pt>
                <c:pt idx="10">
                  <c:v>-5416336.555586813</c:v>
                </c:pt>
                <c:pt idx="11">
                  <c:v>-5185290.4298037495</c:v>
                </c:pt>
                <c:pt idx="12">
                  <c:v>-4954244.3040206861</c:v>
                </c:pt>
                <c:pt idx="13">
                  <c:v>-4723198.1782376217</c:v>
                </c:pt>
                <c:pt idx="14">
                  <c:v>-4492152.0524545573</c:v>
                </c:pt>
                <c:pt idx="15">
                  <c:v>-4261105.9266714938</c:v>
                </c:pt>
                <c:pt idx="16">
                  <c:v>-4030059.8008884299</c:v>
                </c:pt>
                <c:pt idx="17">
                  <c:v>-3799013.6751053659</c:v>
                </c:pt>
                <c:pt idx="18">
                  <c:v>-3567967.549322302</c:v>
                </c:pt>
                <c:pt idx="19">
                  <c:v>-3336921.4235392381</c:v>
                </c:pt>
                <c:pt idx="20">
                  <c:v>-3105875.2977561741</c:v>
                </c:pt>
                <c:pt idx="21">
                  <c:v>-2874829.1719731102</c:v>
                </c:pt>
                <c:pt idx="22">
                  <c:v>-2643783.0461900458</c:v>
                </c:pt>
                <c:pt idx="23">
                  <c:v>-2412736.9204069814</c:v>
                </c:pt>
                <c:pt idx="24">
                  <c:v>-2181690.794623917</c:v>
                </c:pt>
                <c:pt idx="25">
                  <c:v>-1950644.6688408526</c:v>
                </c:pt>
                <c:pt idx="26">
                  <c:v>-1719598.5430577882</c:v>
                </c:pt>
                <c:pt idx="27">
                  <c:v>-1488552.4172747238</c:v>
                </c:pt>
                <c:pt idx="28">
                  <c:v>-1257506.2914916594</c:v>
                </c:pt>
                <c:pt idx="29">
                  <c:v>-1026460.165708595</c:v>
                </c:pt>
                <c:pt idx="30">
                  <c:v>-795414.03992553055</c:v>
                </c:pt>
                <c:pt idx="31">
                  <c:v>-564367.91414246615</c:v>
                </c:pt>
                <c:pt idx="32">
                  <c:v>-333321.78835940175</c:v>
                </c:pt>
                <c:pt idx="33">
                  <c:v>-102275.66257633778</c:v>
                </c:pt>
                <c:pt idx="34">
                  <c:v>128770.46320672618</c:v>
                </c:pt>
                <c:pt idx="35">
                  <c:v>359816.58898979018</c:v>
                </c:pt>
                <c:pt idx="36">
                  <c:v>590862.71477285412</c:v>
                </c:pt>
                <c:pt idx="37">
                  <c:v>821908.84055591805</c:v>
                </c:pt>
                <c:pt idx="38">
                  <c:v>1052954.9663389821</c:v>
                </c:pt>
                <c:pt idx="39">
                  <c:v>1284001.092122046</c:v>
                </c:pt>
                <c:pt idx="40">
                  <c:v>1515047.21790511</c:v>
                </c:pt>
                <c:pt idx="41">
                  <c:v>1746093.3436881739</c:v>
                </c:pt>
                <c:pt idx="42">
                  <c:v>1977139.4694712379</c:v>
                </c:pt>
                <c:pt idx="43">
                  <c:v>2208185.595254302</c:v>
                </c:pt>
                <c:pt idx="44">
                  <c:v>2439231.721037366</c:v>
                </c:pt>
                <c:pt idx="45">
                  <c:v>2670277.8468204299</c:v>
                </c:pt>
                <c:pt idx="46">
                  <c:v>2901323.9726034938</c:v>
                </c:pt>
                <c:pt idx="47">
                  <c:v>3132370.0983865578</c:v>
                </c:pt>
                <c:pt idx="48">
                  <c:v>3363416.2241696217</c:v>
                </c:pt>
                <c:pt idx="49">
                  <c:v>3594462.3499526856</c:v>
                </c:pt>
                <c:pt idx="50">
                  <c:v>3825508.4757357496</c:v>
                </c:pt>
                <c:pt idx="51">
                  <c:v>4056554.6015188135</c:v>
                </c:pt>
                <c:pt idx="52">
                  <c:v>4287600.7273018779</c:v>
                </c:pt>
                <c:pt idx="53">
                  <c:v>4518646.8530849423</c:v>
                </c:pt>
                <c:pt idx="54">
                  <c:v>4749692.9788680067</c:v>
                </c:pt>
                <c:pt idx="55">
                  <c:v>4980739.1046510711</c:v>
                </c:pt>
                <c:pt idx="56">
                  <c:v>5211785.2304341355</c:v>
                </c:pt>
                <c:pt idx="57">
                  <c:v>5442831.3562171999</c:v>
                </c:pt>
                <c:pt idx="58">
                  <c:v>5673877.4820002643</c:v>
                </c:pt>
                <c:pt idx="59">
                  <c:v>5904923.6077833287</c:v>
                </c:pt>
                <c:pt idx="60">
                  <c:v>6135969.7335663931</c:v>
                </c:pt>
                <c:pt idx="61">
                  <c:v>6367015.8593494575</c:v>
                </c:pt>
                <c:pt idx="62">
                  <c:v>6598061.9851325219</c:v>
                </c:pt>
                <c:pt idx="63">
                  <c:v>6829108.1109155864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24096"/>
        <c:axId val="115125632"/>
      </c:lineChart>
      <c:catAx>
        <c:axId val="11512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5125632"/>
        <c:crosses val="autoZero"/>
        <c:auto val="1"/>
        <c:lblAlgn val="ctr"/>
        <c:lblOffset val="100"/>
        <c:noMultiLvlLbl val="0"/>
      </c:catAx>
      <c:valAx>
        <c:axId val="1151256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15124096"/>
        <c:crosses val="autoZero"/>
        <c:crossBetween val="between"/>
      </c:valAx>
      <c:spPr>
        <a:gradFill>
          <a:gsLst>
            <a:gs pos="0">
              <a:srgbClr val="5E9EFF"/>
            </a:gs>
            <a:gs pos="48000">
              <a:srgbClr val="85C2FF"/>
            </a:gs>
            <a:gs pos="42912">
              <a:srgbClr val="81BEFF"/>
            </a:gs>
            <a:gs pos="0">
              <a:srgbClr val="92D050"/>
            </a:gs>
            <a:gs pos="52000">
              <a:schemeClr val="bg1">
                <a:lumMod val="65000"/>
              </a:schemeClr>
            </a:gs>
            <a:gs pos="100000">
              <a:srgbClr val="FFEBFA"/>
            </a:gs>
          </a:gsLst>
          <a:lin ang="5400000" scaled="0"/>
        </a:gradFill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0754507628294037"/>
          <c:y val="0.29832321741032369"/>
          <c:w val="0.15177068885806749"/>
          <c:h val="0.1984924540682414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1000125</xdr:colOff>
      <xdr:row>0</xdr:row>
      <xdr:rowOff>28575</xdr:rowOff>
    </xdr:from>
    <xdr:to>
      <xdr:col>2</xdr:col>
      <xdr:colOff>3641079</xdr:colOff>
      <xdr:row>4</xdr:row>
      <xdr:rowOff>152398</xdr:rowOff>
    </xdr:to>
    <xdr:pic>
      <xdr:nvPicPr>
        <xdr:cNvPr id="2" name="Рисунок 1" descr="cid:image001.jpg@01D2FCB3.B7E8364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81150" y="28575"/>
          <a:ext cx="2640954" cy="7715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1</xdr:col>
      <xdr:colOff>2514600</xdr:colOff>
      <xdr:row>0</xdr:row>
      <xdr:rowOff>985146</xdr:rowOff>
    </xdr:to>
    <xdr:pic>
      <xdr:nvPicPr>
        <xdr:cNvPr id="4" name="Рисунок 1" descr="cid:image001.jpg@01D2FCB3.B7E8364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3086100" cy="9470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19051</xdr:colOff>
      <xdr:row>11</xdr:row>
      <xdr:rowOff>142874</xdr:rowOff>
    </xdr:from>
    <xdr:to>
      <xdr:col>11</xdr:col>
      <xdr:colOff>9526</xdr:colOff>
      <xdr:row>32</xdr:row>
      <xdr:rowOff>152399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12</xdr:row>
      <xdr:rowOff>57150</xdr:rowOff>
    </xdr:from>
    <xdr:to>
      <xdr:col>4</xdr:col>
      <xdr:colOff>790575</xdr:colOff>
      <xdr:row>13</xdr:row>
      <xdr:rowOff>85725</xdr:rowOff>
    </xdr:to>
    <xdr:sp macro="" textlink="">
      <xdr:nvSpPr>
        <xdr:cNvPr id="2" name="TextBox 1"/>
        <xdr:cNvSpPr txBox="1"/>
      </xdr:nvSpPr>
      <xdr:spPr>
        <a:xfrm>
          <a:off x="5229225" y="3133725"/>
          <a:ext cx="75247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/>
            <a:t>Прибыль</a:t>
          </a:r>
        </a:p>
      </xdr:txBody>
    </xdr:sp>
    <xdr:clientData/>
  </xdr:twoCellAnchor>
  <xdr:twoCellAnchor>
    <xdr:from>
      <xdr:col>4</xdr:col>
      <xdr:colOff>2400299</xdr:colOff>
      <xdr:row>12</xdr:row>
      <xdr:rowOff>19050</xdr:rowOff>
    </xdr:from>
    <xdr:to>
      <xdr:col>9</xdr:col>
      <xdr:colOff>285749</xdr:colOff>
      <xdr:row>13</xdr:row>
      <xdr:rowOff>161926</xdr:rowOff>
    </xdr:to>
    <xdr:sp macro="" textlink="">
      <xdr:nvSpPr>
        <xdr:cNvPr id="7" name="TextBox 6"/>
        <xdr:cNvSpPr txBox="1"/>
      </xdr:nvSpPr>
      <xdr:spPr>
        <a:xfrm>
          <a:off x="7591424" y="3095625"/>
          <a:ext cx="3571875" cy="3238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 b="1"/>
            <a:t>График окупаемости проекта</a:t>
          </a:r>
        </a:p>
      </xdr:txBody>
    </xdr:sp>
    <xdr:clientData/>
  </xdr:twoCellAnchor>
  <xdr:twoCellAnchor>
    <xdr:from>
      <xdr:col>10</xdr:col>
      <xdr:colOff>1</xdr:colOff>
      <xdr:row>24</xdr:row>
      <xdr:rowOff>104775</xdr:rowOff>
    </xdr:from>
    <xdr:to>
      <xdr:col>10</xdr:col>
      <xdr:colOff>476251</xdr:colOff>
      <xdr:row>25</xdr:row>
      <xdr:rowOff>142875</xdr:rowOff>
    </xdr:to>
    <xdr:sp macro="" textlink="">
      <xdr:nvSpPr>
        <xdr:cNvPr id="8" name="TextBox 7"/>
        <xdr:cNvSpPr txBox="1"/>
      </xdr:nvSpPr>
      <xdr:spPr>
        <a:xfrm>
          <a:off x="11449051" y="5362575"/>
          <a:ext cx="47625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/>
            <a:t>Мес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0</xdr:row>
      <xdr:rowOff>57151</xdr:rowOff>
    </xdr:from>
    <xdr:to>
      <xdr:col>1</xdr:col>
      <xdr:colOff>3000375</xdr:colOff>
      <xdr:row>0</xdr:row>
      <xdr:rowOff>942975</xdr:rowOff>
    </xdr:to>
    <xdr:pic>
      <xdr:nvPicPr>
        <xdr:cNvPr id="5" name="Рисунок 1" descr="cid:image001.jpg@01D2FCB3.B7E8364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6" y="57151"/>
          <a:ext cx="2981324" cy="8858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lexey%20Lumpov\&#1069;&#1050;&#1062;\_&#1041;&#1048;&#1047;&#1053;&#1045;&#1057;-&#1055;&#1051;&#1040;&#1053;&#1067;\&#1041;&#1055;%20&#1075;&#1086;&#1089;&#1090;&#1080;&#1085;&#1080;&#1094;&#1099;%20&#1074;%20&#1057;&#1086;&#1095;&#1080;\08.01.08\Alexey%20Lumpov\&#1069;&#1050;&#1062;\&#1041;&#1048;&#1047;&#1053;&#1045;&#1057;-&#1055;&#1051;&#1040;&#1053;&#1067;%20&#1069;&#1050;&#1062;\&#1041;&#1055;%20&#1056;&#1099;&#1073;&#1089;&#1091;&#1076;&#1087;&#1088;&#1086;&#1084;\&#1041;&#1055;%20&#1056;&#1099;&#1073;&#1089;&#1091;&#1076;&#1087;&#1088;&#1086;&#1084;%2027.08.2007\Krill_model_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iko1\common\&#1052;&#1040;&#1056;&#1050;&#1045;&#1058;&#1048;&#1053;&#1043;&#1054;&#1042;&#1067;&#1045;%20&#1048;&#1057;&#1057;&#1051;&#1045;&#1044;&#1054;&#1042;&#1040;&#1053;&#1048;&#1071;\&#1055;&#1056;&#1054;&#1045;&#1050;&#1058;&#1067;%20&#1042;%20&#1056;&#1040;&#1041;&#1054;&#1058;&#1045;\&#1047;&#1072;&#1084;&#1086;&#1088;&#1086;&#1078;&#1077;&#1085;&#1085;&#1099;&#1077;%20&#1074;&#1090;&#1086;&#1088;&#1099;&#1077;%20&#1073;&#1083;&#1102;&#1076;&#1072;\31.07.06\finraschetu-&#1082;&#1072;&#1096;&#1088;&#1091;&#109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"/>
      <sheetName val="BS his"/>
      <sheetName val="IS his"/>
      <sheetName val="Input assumptions"/>
      <sheetName val="Exh_BS_Krill"/>
      <sheetName val="WP_Financing"/>
      <sheetName val="WP_Expenses_Krill"/>
      <sheetName val="Exh_IS_Krill"/>
      <sheetName val="Exh_CF_Krill"/>
      <sheetName val="BS"/>
      <sheetName val="IS"/>
      <sheetName val="CF"/>
      <sheetName val="WP_CAPEX"/>
      <sheetName val="WP_Sales_Krill"/>
      <sheetName val="WP_WC_Krill"/>
      <sheetName val="Coefficient"/>
      <sheetName val="DCF"/>
      <sheetName val="Discount Rate"/>
      <sheetName val="Slide_Расходы до промысла"/>
      <sheetName val="Graph CAPEX"/>
      <sheetName val="Graph Sales"/>
      <sheetName val="Graph Expenses"/>
      <sheetName val="Financing - prognose"/>
      <sheetName val="Graphs"/>
      <sheetName val="Scenario"/>
    </sheetNames>
    <sheetDataSet>
      <sheetData sheetId="0" refreshError="1">
        <row r="28">
          <cell r="D28">
            <v>1.2635000000000001</v>
          </cell>
        </row>
        <row r="29">
          <cell r="D29">
            <v>1.1726000000000001</v>
          </cell>
        </row>
        <row r="30">
          <cell r="C30">
            <v>8.2899999999999991</v>
          </cell>
        </row>
        <row r="31">
          <cell r="C31">
            <v>8.1951999999999998</v>
          </cell>
        </row>
        <row r="32">
          <cell r="C32">
            <v>8.6984999999999992</v>
          </cell>
        </row>
        <row r="33">
          <cell r="C33">
            <v>8.2558000000000007</v>
          </cell>
        </row>
        <row r="34">
          <cell r="C34">
            <v>8.2558000000000007</v>
          </cell>
        </row>
        <row r="35">
          <cell r="C35">
            <v>7.43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У"/>
      <sheetName val="ОДДС"/>
      <sheetName val="Точка безубыточности"/>
      <sheetName val="Показатели эффективности"/>
      <sheetName val="доходы"/>
      <sheetName val="доходы-кашрут"/>
      <sheetName val="продукция"/>
      <sheetName val="расходы"/>
      <sheetName val="Первоначальные инвестиции"/>
      <sheetName val="инвестиции"/>
      <sheetName val="Персонал"/>
      <sheetName val="Сытоедов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176"/>
  <sheetViews>
    <sheetView zoomScaleNormal="100" workbookViewId="0">
      <selection activeCell="L66" sqref="L66"/>
    </sheetView>
  </sheetViews>
  <sheetFormatPr defaultRowHeight="12.75" outlineLevelRow="2" x14ac:dyDescent="0.2"/>
  <cols>
    <col min="1" max="1" width="30.7109375" customWidth="1"/>
    <col min="2" max="2" width="8" customWidth="1"/>
    <col min="3" max="3" width="7.85546875" customWidth="1"/>
    <col min="4" max="4" width="8.28515625" customWidth="1"/>
    <col min="5" max="5" width="10" customWidth="1"/>
    <col min="6" max="6" width="9.85546875" customWidth="1"/>
    <col min="7" max="9" width="9.140625" customWidth="1"/>
    <col min="10" max="10" width="9.140625" style="41" customWidth="1"/>
    <col min="11" max="15" width="9.140625" customWidth="1"/>
    <col min="16" max="16" width="9.140625" style="58" customWidth="1"/>
    <col min="17" max="25" width="9.140625" customWidth="1"/>
    <col min="26" max="35" width="8.28515625" customWidth="1"/>
  </cols>
  <sheetData>
    <row r="1" spans="1:35" x14ac:dyDescent="0.2">
      <c r="A1" s="661" t="s">
        <v>45</v>
      </c>
      <c r="B1" s="661"/>
      <c r="C1" s="661"/>
      <c r="D1" s="661"/>
      <c r="E1" s="661"/>
      <c r="F1" s="45">
        <f>F7/(F7-F14)*100</f>
        <v>259.87525987525987</v>
      </c>
      <c r="G1" s="45">
        <f>G7/(G7-G14)*100</f>
        <v>259.87525987525987</v>
      </c>
      <c r="H1" s="45">
        <f t="shared" ref="H1:AI1" si="0">H7/(H7-H14)*100</f>
        <v>259.87525987525987</v>
      </c>
      <c r="I1" s="45">
        <f t="shared" si="0"/>
        <v>259.87525987525987</v>
      </c>
      <c r="J1" s="45">
        <f t="shared" si="0"/>
        <v>259.87525987525987</v>
      </c>
      <c r="K1" s="45">
        <f>K7/(K7-K14)*100</f>
        <v>259.87525987525987</v>
      </c>
      <c r="L1" s="45">
        <f t="shared" si="0"/>
        <v>259.87525987525987</v>
      </c>
      <c r="M1" s="45">
        <f t="shared" si="0"/>
        <v>259.87525987525987</v>
      </c>
      <c r="N1" s="45">
        <f t="shared" si="0"/>
        <v>259.87525987525987</v>
      </c>
      <c r="O1" s="45">
        <f t="shared" si="0"/>
        <v>259.87525987525987</v>
      </c>
      <c r="P1" s="53">
        <f t="shared" si="0"/>
        <v>259.87525987525987</v>
      </c>
      <c r="Q1" s="45">
        <f t="shared" si="0"/>
        <v>259.87525987525987</v>
      </c>
      <c r="R1" s="45">
        <f t="shared" si="0"/>
        <v>259.87525987525987</v>
      </c>
      <c r="S1" s="45">
        <f t="shared" si="0"/>
        <v>259.87525987525987</v>
      </c>
      <c r="T1" s="45">
        <f t="shared" si="0"/>
        <v>259.87525987525987</v>
      </c>
      <c r="U1" s="45">
        <f t="shared" si="0"/>
        <v>259.87525987525987</v>
      </c>
      <c r="V1" s="45">
        <f t="shared" si="0"/>
        <v>259.87525987525987</v>
      </c>
      <c r="W1" s="45">
        <f t="shared" si="0"/>
        <v>259.87525987525987</v>
      </c>
      <c r="X1" s="45">
        <f t="shared" si="0"/>
        <v>259.87525987525987</v>
      </c>
      <c r="Y1" s="45">
        <f t="shared" si="0"/>
        <v>259.87525987525987</v>
      </c>
      <c r="Z1" s="45">
        <f t="shared" si="0"/>
        <v>259.87525987525987</v>
      </c>
      <c r="AA1" s="45">
        <f t="shared" si="0"/>
        <v>259.87525987525987</v>
      </c>
      <c r="AB1" s="45">
        <f t="shared" si="0"/>
        <v>259.87525987525987</v>
      </c>
      <c r="AC1" s="45">
        <f t="shared" si="0"/>
        <v>259.87525987525987</v>
      </c>
      <c r="AD1" s="45">
        <f t="shared" si="0"/>
        <v>259.87525987525987</v>
      </c>
      <c r="AE1" s="45">
        <f t="shared" si="0"/>
        <v>259.87525987525987</v>
      </c>
      <c r="AF1" s="45">
        <f t="shared" si="0"/>
        <v>259.87525987525987</v>
      </c>
      <c r="AG1" s="45">
        <f t="shared" si="0"/>
        <v>259.87525987525987</v>
      </c>
      <c r="AH1" s="45">
        <f t="shared" si="0"/>
        <v>259.87525987525987</v>
      </c>
      <c r="AI1" s="45">
        <f t="shared" si="0"/>
        <v>259.87525987525987</v>
      </c>
    </row>
    <row r="2" spans="1:35" hidden="1" x14ac:dyDescent="0.2">
      <c r="A2" s="661" t="s">
        <v>46</v>
      </c>
      <c r="B2" s="661"/>
      <c r="C2" s="661"/>
      <c r="D2" s="661"/>
      <c r="E2" s="661"/>
      <c r="F2" s="661"/>
      <c r="G2" s="45">
        <f>G9/(G9-G15)*100</f>
        <v>298.50746268656718</v>
      </c>
      <c r="H2" s="45">
        <f t="shared" ref="H2:AI2" si="1">H9/(H9-H15)*100</f>
        <v>298.50746268656718</v>
      </c>
      <c r="I2" s="45">
        <f t="shared" si="1"/>
        <v>298.50746268656718</v>
      </c>
      <c r="J2" s="45">
        <f t="shared" si="1"/>
        <v>298.50746268656718</v>
      </c>
      <c r="K2" s="45">
        <f t="shared" si="1"/>
        <v>298.50746268656718</v>
      </c>
      <c r="L2" s="45">
        <f t="shared" si="1"/>
        <v>298.50746268656718</v>
      </c>
      <c r="M2" s="45">
        <f t="shared" si="1"/>
        <v>298.50746268656718</v>
      </c>
      <c r="N2" s="45">
        <f t="shared" si="1"/>
        <v>298.50746268656718</v>
      </c>
      <c r="O2" s="45">
        <f t="shared" si="1"/>
        <v>298.50746268656718</v>
      </c>
      <c r="P2" s="53">
        <f t="shared" si="1"/>
        <v>298.50746268656718</v>
      </c>
      <c r="Q2" s="45">
        <f t="shared" si="1"/>
        <v>298.50746268656718</v>
      </c>
      <c r="R2" s="45">
        <f t="shared" si="1"/>
        <v>298.50746268656718</v>
      </c>
      <c r="S2" s="45">
        <f t="shared" si="1"/>
        <v>298.50746268656718</v>
      </c>
      <c r="T2" s="45">
        <f t="shared" si="1"/>
        <v>298.50746268656718</v>
      </c>
      <c r="U2" s="45">
        <f t="shared" si="1"/>
        <v>298.50746268656718</v>
      </c>
      <c r="V2" s="45">
        <f t="shared" si="1"/>
        <v>298.50746268656718</v>
      </c>
      <c r="W2" s="45">
        <f t="shared" si="1"/>
        <v>298.50746268656718</v>
      </c>
      <c r="X2" s="45">
        <f t="shared" si="1"/>
        <v>298.50746268656718</v>
      </c>
      <c r="Y2" s="45">
        <f t="shared" si="1"/>
        <v>298.50746268656718</v>
      </c>
      <c r="Z2" s="45">
        <f t="shared" si="1"/>
        <v>298.50746268656718</v>
      </c>
      <c r="AA2" s="45">
        <f t="shared" si="1"/>
        <v>298.50746268656718</v>
      </c>
      <c r="AB2" s="45">
        <f t="shared" si="1"/>
        <v>298.50746268656718</v>
      </c>
      <c r="AC2" s="45">
        <f t="shared" si="1"/>
        <v>298.50746268656718</v>
      </c>
      <c r="AD2" s="45">
        <f t="shared" si="1"/>
        <v>298.50746268656718</v>
      </c>
      <c r="AE2" s="45">
        <f t="shared" si="1"/>
        <v>298.50746268656718</v>
      </c>
      <c r="AF2" s="45">
        <f t="shared" si="1"/>
        <v>298.50746268656718</v>
      </c>
      <c r="AG2" s="45">
        <f t="shared" si="1"/>
        <v>298.50746268656718</v>
      </c>
      <c r="AH2" s="45">
        <f t="shared" si="1"/>
        <v>298.50746268656718</v>
      </c>
      <c r="AI2" s="45">
        <f t="shared" si="1"/>
        <v>298.50746268656718</v>
      </c>
    </row>
    <row r="3" spans="1:35" hidden="1" x14ac:dyDescent="0.2">
      <c r="A3" s="661" t="s">
        <v>47</v>
      </c>
      <c r="B3" s="661"/>
      <c r="C3" s="661"/>
      <c r="D3" s="661"/>
      <c r="E3" s="661"/>
      <c r="F3" s="661"/>
      <c r="G3" s="45">
        <f>G11/(G11-G16)*100</f>
        <v>133.33333333333331</v>
      </c>
      <c r="H3" s="45">
        <f t="shared" ref="H3:AI3" si="2">H11/(H11-H16)*100</f>
        <v>133.33333333333331</v>
      </c>
      <c r="I3" s="45">
        <f t="shared" si="2"/>
        <v>133.33333333333331</v>
      </c>
      <c r="J3" s="45">
        <f t="shared" si="2"/>
        <v>133.33333333333331</v>
      </c>
      <c r="K3" s="45">
        <f t="shared" si="2"/>
        <v>133.33333333333331</v>
      </c>
      <c r="L3" s="45">
        <f t="shared" si="2"/>
        <v>133.33333333333331</v>
      </c>
      <c r="M3" s="45">
        <f t="shared" si="2"/>
        <v>133.33333333333331</v>
      </c>
      <c r="N3" s="45">
        <f t="shared" si="2"/>
        <v>133.33333333333331</v>
      </c>
      <c r="O3" s="45">
        <f t="shared" si="2"/>
        <v>133.33333333333331</v>
      </c>
      <c r="P3" s="53">
        <f t="shared" si="2"/>
        <v>133.33333333333331</v>
      </c>
      <c r="Q3" s="45">
        <f t="shared" si="2"/>
        <v>133.33333333333331</v>
      </c>
      <c r="R3" s="45">
        <f t="shared" si="2"/>
        <v>133.33333333333331</v>
      </c>
      <c r="S3" s="45">
        <f t="shared" si="2"/>
        <v>133.33333333333331</v>
      </c>
      <c r="T3" s="45">
        <f t="shared" si="2"/>
        <v>133.33333333333331</v>
      </c>
      <c r="U3" s="45">
        <f t="shared" si="2"/>
        <v>133.33333333333331</v>
      </c>
      <c r="V3" s="45">
        <f t="shared" si="2"/>
        <v>133.33333333333331</v>
      </c>
      <c r="W3" s="45">
        <f t="shared" si="2"/>
        <v>133.33333333333331</v>
      </c>
      <c r="X3" s="45">
        <f t="shared" si="2"/>
        <v>133.33333333333331</v>
      </c>
      <c r="Y3" s="45">
        <f t="shared" si="2"/>
        <v>133.33333333333331</v>
      </c>
      <c r="Z3" s="45">
        <f t="shared" si="2"/>
        <v>133.33333333333331</v>
      </c>
      <c r="AA3" s="45">
        <f t="shared" si="2"/>
        <v>133.33333333333331</v>
      </c>
      <c r="AB3" s="45">
        <f t="shared" si="2"/>
        <v>133.33333333333331</v>
      </c>
      <c r="AC3" s="45">
        <f t="shared" si="2"/>
        <v>133.33333333333331</v>
      </c>
      <c r="AD3" s="45">
        <f t="shared" si="2"/>
        <v>133.33333333333331</v>
      </c>
      <c r="AE3" s="45">
        <f t="shared" si="2"/>
        <v>133.33333333333331</v>
      </c>
      <c r="AF3" s="45">
        <f t="shared" si="2"/>
        <v>133.33333333333331</v>
      </c>
      <c r="AG3" s="45">
        <f t="shared" si="2"/>
        <v>133.33333333333331</v>
      </c>
      <c r="AH3" s="45">
        <f t="shared" si="2"/>
        <v>133.33333333333331</v>
      </c>
      <c r="AI3" s="45">
        <f t="shared" si="2"/>
        <v>133.33333333333331</v>
      </c>
    </row>
    <row r="4" spans="1:35" ht="14.25" customHeight="1" x14ac:dyDescent="0.3">
      <c r="A4" s="40" t="s">
        <v>124</v>
      </c>
      <c r="B4" s="1"/>
      <c r="C4" s="80">
        <f>цех!L105</f>
        <v>231046.12578306397</v>
      </c>
      <c r="D4" s="1"/>
      <c r="E4" s="6"/>
      <c r="F4" s="76" t="s">
        <v>73</v>
      </c>
      <c r="G4" s="76" t="s">
        <v>74</v>
      </c>
      <c r="H4" s="76" t="s">
        <v>75</v>
      </c>
      <c r="I4" s="76" t="s">
        <v>76</v>
      </c>
      <c r="J4" s="76" t="s">
        <v>66</v>
      </c>
      <c r="K4" s="76" t="s">
        <v>63</v>
      </c>
      <c r="L4" s="76" t="s">
        <v>67</v>
      </c>
      <c r="M4" s="76" t="s">
        <v>68</v>
      </c>
      <c r="N4" s="76" t="s">
        <v>69</v>
      </c>
      <c r="O4" s="76" t="s">
        <v>70</v>
      </c>
      <c r="P4" s="76" t="s">
        <v>71</v>
      </c>
      <c r="Q4" s="76" t="s">
        <v>72</v>
      </c>
      <c r="R4" s="76" t="s">
        <v>73</v>
      </c>
      <c r="S4" s="76" t="s">
        <v>74</v>
      </c>
      <c r="T4" s="76" t="s">
        <v>75</v>
      </c>
      <c r="U4" s="76" t="s">
        <v>76</v>
      </c>
      <c r="V4" s="76" t="s">
        <v>66</v>
      </c>
      <c r="W4" s="76" t="s">
        <v>63</v>
      </c>
      <c r="X4" s="76" t="s">
        <v>67</v>
      </c>
      <c r="Y4" s="76" t="s">
        <v>68</v>
      </c>
      <c r="Z4" s="76" t="s">
        <v>69</v>
      </c>
      <c r="AA4" s="76" t="s">
        <v>70</v>
      </c>
      <c r="AB4" s="76" t="s">
        <v>71</v>
      </c>
      <c r="AC4" s="76" t="s">
        <v>72</v>
      </c>
      <c r="AD4" s="76" t="s">
        <v>73</v>
      </c>
      <c r="AE4" s="76" t="s">
        <v>74</v>
      </c>
      <c r="AF4" s="76" t="s">
        <v>75</v>
      </c>
      <c r="AG4" s="76" t="s">
        <v>76</v>
      </c>
      <c r="AH4" s="76" t="s">
        <v>66</v>
      </c>
      <c r="AI4" s="76" t="s">
        <v>63</v>
      </c>
    </row>
    <row r="5" spans="1:35" ht="15.75" thickBot="1" x14ac:dyDescent="0.3">
      <c r="A5" s="6"/>
      <c r="B5" s="1"/>
      <c r="C5" s="1"/>
      <c r="D5" s="52" t="s">
        <v>43</v>
      </c>
      <c r="E5" s="77">
        <v>0</v>
      </c>
      <c r="F5" s="77">
        <v>0</v>
      </c>
      <c r="G5" s="3"/>
      <c r="H5" s="3"/>
      <c r="I5" s="79"/>
      <c r="J5" s="79"/>
      <c r="K5" s="79"/>
      <c r="L5" s="79"/>
      <c r="M5" s="54"/>
      <c r="N5" s="54"/>
      <c r="O5" s="3"/>
      <c r="P5" s="54"/>
      <c r="Q5" s="3"/>
      <c r="R5" s="3"/>
      <c r="S5" s="2"/>
      <c r="T5" s="2"/>
      <c r="U5" s="2"/>
    </row>
    <row r="6" spans="1:35" ht="13.5" thickBot="1" x14ac:dyDescent="0.25">
      <c r="A6" s="16" t="s">
        <v>1</v>
      </c>
      <c r="B6" s="17"/>
      <c r="C6" s="17"/>
      <c r="D6" s="17"/>
      <c r="E6" s="17"/>
      <c r="F6" s="78">
        <v>35000</v>
      </c>
      <c r="G6" s="104">
        <f>цех!$E$76</f>
        <v>20000</v>
      </c>
      <c r="H6" s="104">
        <f>цех!$E$76</f>
        <v>20000</v>
      </c>
      <c r="I6" s="104">
        <f>цех!$E$76</f>
        <v>20000</v>
      </c>
      <c r="J6" s="104">
        <f>цех!$E$76</f>
        <v>20000</v>
      </c>
      <c r="K6" s="104">
        <f>цех!$E$76</f>
        <v>20000</v>
      </c>
      <c r="L6" s="104">
        <f>цех!$E$76</f>
        <v>20000</v>
      </c>
      <c r="M6" s="104">
        <f>цех!$E$76</f>
        <v>20000</v>
      </c>
      <c r="N6" s="104">
        <f>цех!$E$76</f>
        <v>20000</v>
      </c>
      <c r="O6" s="104">
        <f>цех!$E$76</f>
        <v>20000</v>
      </c>
      <c r="P6" s="104">
        <f>цех!$E$76</f>
        <v>20000</v>
      </c>
      <c r="Q6" s="104">
        <f>цех!$E$76</f>
        <v>20000</v>
      </c>
      <c r="R6" s="104">
        <f>цех!$E$76</f>
        <v>20000</v>
      </c>
      <c r="S6" s="104">
        <f>цех!$E$76</f>
        <v>20000</v>
      </c>
      <c r="T6" s="104">
        <f>цех!$E$76</f>
        <v>20000</v>
      </c>
      <c r="U6" s="104">
        <f>цех!$E$76</f>
        <v>20000</v>
      </c>
      <c r="V6" s="104">
        <f>цех!$E$76</f>
        <v>20000</v>
      </c>
      <c r="W6" s="104">
        <f>цех!$E$76</f>
        <v>20000</v>
      </c>
      <c r="X6" s="104">
        <f>цех!$E$76</f>
        <v>20000</v>
      </c>
      <c r="Y6" s="104">
        <f>цех!$E$76</f>
        <v>20000</v>
      </c>
      <c r="Z6" s="104">
        <f>цех!$E$76</f>
        <v>20000</v>
      </c>
      <c r="AA6" s="104">
        <f>цех!$E$76</f>
        <v>20000</v>
      </c>
      <c r="AB6" s="104">
        <f>цех!$E$76</f>
        <v>20000</v>
      </c>
      <c r="AC6" s="104">
        <f>цех!$E$76</f>
        <v>20000</v>
      </c>
      <c r="AD6" s="104">
        <f>цех!$E$76</f>
        <v>20000</v>
      </c>
      <c r="AE6" s="104">
        <f>цех!$E$76</f>
        <v>20000</v>
      </c>
      <c r="AF6" s="104">
        <f>цех!$E$76</f>
        <v>20000</v>
      </c>
      <c r="AG6" s="104">
        <f>цех!$E$76</f>
        <v>20000</v>
      </c>
      <c r="AH6" s="104">
        <f>цех!$E$76</f>
        <v>20000</v>
      </c>
      <c r="AI6" s="104">
        <f>цех!$E$76</f>
        <v>20000</v>
      </c>
    </row>
    <row r="7" spans="1:35" ht="13.5" thickBot="1" x14ac:dyDescent="0.25">
      <c r="A7" s="19" t="s">
        <v>2</v>
      </c>
      <c r="B7" s="20"/>
      <c r="C7" s="20"/>
      <c r="D7" s="20"/>
      <c r="E7" s="20"/>
      <c r="F7" s="88">
        <f t="shared" ref="F7:AI7" si="3">F6*30</f>
        <v>1050000</v>
      </c>
      <c r="G7" s="21">
        <f t="shared" si="3"/>
        <v>600000</v>
      </c>
      <c r="H7" s="21">
        <f t="shared" si="3"/>
        <v>600000</v>
      </c>
      <c r="I7" s="21">
        <f t="shared" si="3"/>
        <v>600000</v>
      </c>
      <c r="J7" s="27">
        <f t="shared" si="3"/>
        <v>600000</v>
      </c>
      <c r="K7" s="21">
        <f t="shared" si="3"/>
        <v>600000</v>
      </c>
      <c r="L7" s="21">
        <f t="shared" si="3"/>
        <v>600000</v>
      </c>
      <c r="M7" s="21">
        <f t="shared" si="3"/>
        <v>600000</v>
      </c>
      <c r="N7" s="21">
        <f t="shared" si="3"/>
        <v>600000</v>
      </c>
      <c r="O7" s="21">
        <f>O6*30</f>
        <v>600000</v>
      </c>
      <c r="P7" s="21">
        <f t="shared" si="3"/>
        <v>600000</v>
      </c>
      <c r="Q7" s="21">
        <f t="shared" si="3"/>
        <v>600000</v>
      </c>
      <c r="R7" s="21">
        <f t="shared" si="3"/>
        <v>600000</v>
      </c>
      <c r="S7" s="21">
        <f t="shared" si="3"/>
        <v>600000</v>
      </c>
      <c r="T7" s="21">
        <f t="shared" si="3"/>
        <v>600000</v>
      </c>
      <c r="U7" s="21">
        <f t="shared" si="3"/>
        <v>600000</v>
      </c>
      <c r="V7" s="21">
        <f t="shared" si="3"/>
        <v>600000</v>
      </c>
      <c r="W7" s="21">
        <f t="shared" si="3"/>
        <v>600000</v>
      </c>
      <c r="X7" s="21">
        <f t="shared" si="3"/>
        <v>600000</v>
      </c>
      <c r="Y7" s="21">
        <f t="shared" si="3"/>
        <v>600000</v>
      </c>
      <c r="Z7" s="21">
        <f t="shared" si="3"/>
        <v>600000</v>
      </c>
      <c r="AA7" s="21">
        <f t="shared" si="3"/>
        <v>600000</v>
      </c>
      <c r="AB7" s="21">
        <f t="shared" si="3"/>
        <v>600000</v>
      </c>
      <c r="AC7" s="21">
        <f t="shared" si="3"/>
        <v>600000</v>
      </c>
      <c r="AD7" s="21">
        <f t="shared" si="3"/>
        <v>600000</v>
      </c>
      <c r="AE7" s="21">
        <f t="shared" si="3"/>
        <v>600000</v>
      </c>
      <c r="AF7" s="21">
        <f t="shared" si="3"/>
        <v>600000</v>
      </c>
      <c r="AG7" s="21">
        <f t="shared" si="3"/>
        <v>600000</v>
      </c>
      <c r="AH7" s="21">
        <f t="shared" si="3"/>
        <v>600000</v>
      </c>
      <c r="AI7" s="75">
        <f t="shared" si="3"/>
        <v>600000</v>
      </c>
    </row>
    <row r="8" spans="1:35" x14ac:dyDescent="0.2">
      <c r="A8" s="16" t="s">
        <v>3</v>
      </c>
      <c r="B8" s="17"/>
      <c r="C8" s="17"/>
      <c r="D8" s="17"/>
      <c r="E8" s="17"/>
      <c r="F8" s="103"/>
      <c r="G8" s="105"/>
      <c r="H8" s="12"/>
      <c r="I8" s="12"/>
      <c r="J8" s="13"/>
      <c r="K8" s="12"/>
      <c r="L8" s="12"/>
      <c r="M8" s="12"/>
      <c r="N8" s="12"/>
      <c r="O8" s="12"/>
      <c r="P8" s="12"/>
      <c r="Q8" s="12"/>
      <c r="R8" s="12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62"/>
    </row>
    <row r="9" spans="1:35" x14ac:dyDescent="0.2">
      <c r="A9" s="23" t="s">
        <v>4</v>
      </c>
      <c r="B9" s="24"/>
      <c r="C9" s="24" t="s">
        <v>5</v>
      </c>
      <c r="D9" s="25">
        <f>цех!I120+цех!I121</f>
        <v>0.88</v>
      </c>
      <c r="E9" s="24"/>
      <c r="F9" s="90">
        <f>F7*$D9</f>
        <v>924000</v>
      </c>
      <c r="G9" s="12">
        <f>G7*$D9</f>
        <v>528000</v>
      </c>
      <c r="H9" s="12">
        <f>H7*$D9</f>
        <v>528000</v>
      </c>
      <c r="I9" s="12">
        <f>I7*$D9</f>
        <v>528000</v>
      </c>
      <c r="J9" s="13">
        <f>J7*$D9</f>
        <v>528000</v>
      </c>
      <c r="K9" s="12">
        <f t="shared" ref="K9:AI9" si="4">K7*$D9</f>
        <v>528000</v>
      </c>
      <c r="L9" s="12">
        <f t="shared" si="4"/>
        <v>528000</v>
      </c>
      <c r="M9" s="12">
        <f t="shared" si="4"/>
        <v>528000</v>
      </c>
      <c r="N9" s="12">
        <f t="shared" si="4"/>
        <v>528000</v>
      </c>
      <c r="O9" s="12">
        <f t="shared" si="4"/>
        <v>528000</v>
      </c>
      <c r="P9" s="12">
        <f t="shared" si="4"/>
        <v>528000</v>
      </c>
      <c r="Q9" s="12">
        <f t="shared" si="4"/>
        <v>528000</v>
      </c>
      <c r="R9" s="12">
        <f t="shared" si="4"/>
        <v>528000</v>
      </c>
      <c r="S9" s="13">
        <f t="shared" si="4"/>
        <v>528000</v>
      </c>
      <c r="T9" s="13">
        <f t="shared" si="4"/>
        <v>528000</v>
      </c>
      <c r="U9" s="13">
        <f t="shared" si="4"/>
        <v>528000</v>
      </c>
      <c r="V9" s="13">
        <f t="shared" si="4"/>
        <v>528000</v>
      </c>
      <c r="W9" s="13">
        <f t="shared" si="4"/>
        <v>528000</v>
      </c>
      <c r="X9" s="13">
        <f t="shared" si="4"/>
        <v>528000</v>
      </c>
      <c r="Y9" s="13">
        <f t="shared" si="4"/>
        <v>528000</v>
      </c>
      <c r="Z9" s="13">
        <f t="shared" si="4"/>
        <v>528000</v>
      </c>
      <c r="AA9" s="13">
        <f t="shared" si="4"/>
        <v>528000</v>
      </c>
      <c r="AB9" s="13">
        <f t="shared" si="4"/>
        <v>528000</v>
      </c>
      <c r="AC9" s="13">
        <f t="shared" si="4"/>
        <v>528000</v>
      </c>
      <c r="AD9" s="13">
        <f t="shared" si="4"/>
        <v>528000</v>
      </c>
      <c r="AE9" s="13">
        <f t="shared" si="4"/>
        <v>528000</v>
      </c>
      <c r="AF9" s="13">
        <f t="shared" si="4"/>
        <v>528000</v>
      </c>
      <c r="AG9" s="13">
        <f t="shared" si="4"/>
        <v>528000</v>
      </c>
      <c r="AH9" s="13">
        <f t="shared" si="4"/>
        <v>528000</v>
      </c>
      <c r="AI9" s="62">
        <f t="shared" si="4"/>
        <v>528000</v>
      </c>
    </row>
    <row r="10" spans="1:35" hidden="1" x14ac:dyDescent="0.2">
      <c r="A10" s="23" t="s">
        <v>6</v>
      </c>
      <c r="B10" s="24"/>
      <c r="C10" s="24" t="s">
        <v>5</v>
      </c>
      <c r="D10" s="25">
        <v>0.16669999999999999</v>
      </c>
      <c r="E10" s="24"/>
      <c r="F10" s="90">
        <f>F9*$D10</f>
        <v>154030.79999999999</v>
      </c>
      <c r="G10" s="12">
        <f>G9*$D10</f>
        <v>88017.599999999991</v>
      </c>
      <c r="H10" s="12">
        <f>H9*$D10</f>
        <v>88017.599999999991</v>
      </c>
      <c r="I10" s="12">
        <f>I9*$D10</f>
        <v>88017.599999999991</v>
      </c>
      <c r="J10" s="13">
        <f>J9*$D10</f>
        <v>88017.599999999991</v>
      </c>
      <c r="K10" s="12">
        <f t="shared" ref="K10:AI10" si="5">K9*$D10</f>
        <v>88017.599999999991</v>
      </c>
      <c r="L10" s="12">
        <f t="shared" si="5"/>
        <v>88017.599999999991</v>
      </c>
      <c r="M10" s="12">
        <f t="shared" si="5"/>
        <v>88017.599999999991</v>
      </c>
      <c r="N10" s="12">
        <f t="shared" si="5"/>
        <v>88017.599999999991</v>
      </c>
      <c r="O10" s="12">
        <f t="shared" si="5"/>
        <v>88017.599999999991</v>
      </c>
      <c r="P10" s="12">
        <f t="shared" si="5"/>
        <v>88017.599999999991</v>
      </c>
      <c r="Q10" s="12">
        <f t="shared" si="5"/>
        <v>88017.599999999991</v>
      </c>
      <c r="R10" s="12">
        <f t="shared" si="5"/>
        <v>88017.599999999991</v>
      </c>
      <c r="S10" s="13">
        <f t="shared" si="5"/>
        <v>88017.599999999991</v>
      </c>
      <c r="T10" s="13">
        <f t="shared" si="5"/>
        <v>88017.599999999991</v>
      </c>
      <c r="U10" s="13">
        <f t="shared" si="5"/>
        <v>88017.599999999991</v>
      </c>
      <c r="V10" s="13">
        <f t="shared" si="5"/>
        <v>88017.599999999991</v>
      </c>
      <c r="W10" s="13">
        <f t="shared" si="5"/>
        <v>88017.599999999991</v>
      </c>
      <c r="X10" s="13">
        <f t="shared" si="5"/>
        <v>88017.599999999991</v>
      </c>
      <c r="Y10" s="13">
        <f t="shared" si="5"/>
        <v>88017.599999999991</v>
      </c>
      <c r="Z10" s="13">
        <f t="shared" si="5"/>
        <v>88017.599999999991</v>
      </c>
      <c r="AA10" s="13">
        <f t="shared" si="5"/>
        <v>88017.599999999991</v>
      </c>
      <c r="AB10" s="13">
        <f t="shared" si="5"/>
        <v>88017.599999999991</v>
      </c>
      <c r="AC10" s="13">
        <f t="shared" si="5"/>
        <v>88017.599999999991</v>
      </c>
      <c r="AD10" s="13">
        <f t="shared" si="5"/>
        <v>88017.599999999991</v>
      </c>
      <c r="AE10" s="13">
        <f t="shared" si="5"/>
        <v>88017.599999999991</v>
      </c>
      <c r="AF10" s="13">
        <f t="shared" si="5"/>
        <v>88017.599999999991</v>
      </c>
      <c r="AG10" s="13">
        <f t="shared" si="5"/>
        <v>88017.599999999991</v>
      </c>
      <c r="AH10" s="13">
        <f t="shared" si="5"/>
        <v>88017.599999999991</v>
      </c>
      <c r="AI10" s="62">
        <f t="shared" si="5"/>
        <v>88017.599999999991</v>
      </c>
    </row>
    <row r="11" spans="1:35" ht="13.5" thickBot="1" x14ac:dyDescent="0.25">
      <c r="A11" s="19" t="s">
        <v>7</v>
      </c>
      <c r="B11" s="20"/>
      <c r="C11" s="20" t="s">
        <v>5</v>
      </c>
      <c r="D11" s="26">
        <f>цех!I122</f>
        <v>0.12</v>
      </c>
      <c r="E11" s="20"/>
      <c r="F11" s="88">
        <f t="shared" ref="F11:AI11" si="6">F7*$D11</f>
        <v>126000</v>
      </c>
      <c r="G11" s="21">
        <f t="shared" si="6"/>
        <v>72000</v>
      </c>
      <c r="H11" s="21">
        <f t="shared" si="6"/>
        <v>72000</v>
      </c>
      <c r="I11" s="21">
        <f t="shared" si="6"/>
        <v>72000</v>
      </c>
      <c r="J11" s="27">
        <f t="shared" si="6"/>
        <v>72000</v>
      </c>
      <c r="K11" s="21">
        <f t="shared" si="6"/>
        <v>72000</v>
      </c>
      <c r="L11" s="21">
        <f t="shared" si="6"/>
        <v>72000</v>
      </c>
      <c r="M11" s="21">
        <f t="shared" si="6"/>
        <v>72000</v>
      </c>
      <c r="N11" s="21">
        <f t="shared" si="6"/>
        <v>72000</v>
      </c>
      <c r="O11" s="21">
        <f t="shared" si="6"/>
        <v>72000</v>
      </c>
      <c r="P11" s="21">
        <f t="shared" si="6"/>
        <v>72000</v>
      </c>
      <c r="Q11" s="21">
        <f t="shared" si="6"/>
        <v>72000</v>
      </c>
      <c r="R11" s="21">
        <f t="shared" si="6"/>
        <v>72000</v>
      </c>
      <c r="S11" s="27">
        <f t="shared" si="6"/>
        <v>72000</v>
      </c>
      <c r="T11" s="27">
        <f t="shared" si="6"/>
        <v>72000</v>
      </c>
      <c r="U11" s="27">
        <f t="shared" si="6"/>
        <v>72000</v>
      </c>
      <c r="V11" s="27">
        <f t="shared" si="6"/>
        <v>72000</v>
      </c>
      <c r="W11" s="27">
        <f t="shared" si="6"/>
        <v>72000</v>
      </c>
      <c r="X11" s="27">
        <f t="shared" si="6"/>
        <v>72000</v>
      </c>
      <c r="Y11" s="27">
        <f t="shared" si="6"/>
        <v>72000</v>
      </c>
      <c r="Z11" s="27">
        <f t="shared" si="6"/>
        <v>72000</v>
      </c>
      <c r="AA11" s="27">
        <f t="shared" si="6"/>
        <v>72000</v>
      </c>
      <c r="AB11" s="27">
        <f t="shared" si="6"/>
        <v>72000</v>
      </c>
      <c r="AC11" s="27">
        <f t="shared" si="6"/>
        <v>72000</v>
      </c>
      <c r="AD11" s="27">
        <f t="shared" si="6"/>
        <v>72000</v>
      </c>
      <c r="AE11" s="27">
        <f t="shared" si="6"/>
        <v>72000</v>
      </c>
      <c r="AF11" s="27">
        <f t="shared" si="6"/>
        <v>72000</v>
      </c>
      <c r="AG11" s="27">
        <f t="shared" si="6"/>
        <v>72000</v>
      </c>
      <c r="AH11" s="27">
        <f t="shared" si="6"/>
        <v>72000</v>
      </c>
      <c r="AI11" s="66">
        <f t="shared" si="6"/>
        <v>72000</v>
      </c>
    </row>
    <row r="12" spans="1:35" x14ac:dyDescent="0.2">
      <c r="A12" s="16" t="s">
        <v>8</v>
      </c>
      <c r="B12" s="17"/>
      <c r="C12" s="17" t="s">
        <v>5</v>
      </c>
      <c r="D12" s="28">
        <v>0.33</v>
      </c>
      <c r="E12" s="17"/>
      <c r="F12" s="89">
        <f>F7*$D12</f>
        <v>346500</v>
      </c>
      <c r="G12" s="18">
        <f>G7*$D12</f>
        <v>198000</v>
      </c>
      <c r="H12" s="18">
        <f t="shared" ref="H12:AI12" si="7">H7*$D12</f>
        <v>198000</v>
      </c>
      <c r="I12" s="18">
        <f t="shared" si="7"/>
        <v>198000</v>
      </c>
      <c r="J12" s="22">
        <f t="shared" si="7"/>
        <v>198000</v>
      </c>
      <c r="K12" s="18">
        <f t="shared" si="7"/>
        <v>198000</v>
      </c>
      <c r="L12" s="18">
        <f t="shared" si="7"/>
        <v>198000</v>
      </c>
      <c r="M12" s="18">
        <f t="shared" si="7"/>
        <v>198000</v>
      </c>
      <c r="N12" s="18">
        <f t="shared" si="7"/>
        <v>198000</v>
      </c>
      <c r="O12" s="18">
        <f t="shared" si="7"/>
        <v>198000</v>
      </c>
      <c r="P12" s="18">
        <f t="shared" si="7"/>
        <v>198000</v>
      </c>
      <c r="Q12" s="18">
        <f t="shared" si="7"/>
        <v>198000</v>
      </c>
      <c r="R12" s="18">
        <f t="shared" si="7"/>
        <v>198000</v>
      </c>
      <c r="S12" s="22">
        <f t="shared" si="7"/>
        <v>198000</v>
      </c>
      <c r="T12" s="22">
        <f t="shared" si="7"/>
        <v>198000</v>
      </c>
      <c r="U12" s="22">
        <f t="shared" si="7"/>
        <v>198000</v>
      </c>
      <c r="V12" s="22">
        <f t="shared" si="7"/>
        <v>198000</v>
      </c>
      <c r="W12" s="22">
        <f t="shared" si="7"/>
        <v>198000</v>
      </c>
      <c r="X12" s="22">
        <f t="shared" si="7"/>
        <v>198000</v>
      </c>
      <c r="Y12" s="22">
        <f t="shared" si="7"/>
        <v>198000</v>
      </c>
      <c r="Z12" s="22">
        <f t="shared" si="7"/>
        <v>198000</v>
      </c>
      <c r="AA12" s="22">
        <f t="shared" si="7"/>
        <v>198000</v>
      </c>
      <c r="AB12" s="22">
        <f t="shared" si="7"/>
        <v>198000</v>
      </c>
      <c r="AC12" s="22">
        <f t="shared" si="7"/>
        <v>198000</v>
      </c>
      <c r="AD12" s="22">
        <f t="shared" si="7"/>
        <v>198000</v>
      </c>
      <c r="AE12" s="22">
        <f t="shared" si="7"/>
        <v>198000</v>
      </c>
      <c r="AF12" s="22">
        <f t="shared" si="7"/>
        <v>198000</v>
      </c>
      <c r="AG12" s="22">
        <f t="shared" si="7"/>
        <v>198000</v>
      </c>
      <c r="AH12" s="22">
        <f t="shared" si="7"/>
        <v>198000</v>
      </c>
      <c r="AI12" s="59">
        <f t="shared" si="7"/>
        <v>198000</v>
      </c>
    </row>
    <row r="13" spans="1:35" ht="13.5" thickBot="1" x14ac:dyDescent="0.25">
      <c r="A13" s="19" t="s">
        <v>9</v>
      </c>
      <c r="B13" s="20"/>
      <c r="C13" s="20" t="s">
        <v>5</v>
      </c>
      <c r="D13" s="26">
        <v>0.67</v>
      </c>
      <c r="E13" s="20"/>
      <c r="F13" s="88">
        <f>F7*$D13</f>
        <v>703500</v>
      </c>
      <c r="G13" s="21">
        <f>G7*$D13</f>
        <v>402000</v>
      </c>
      <c r="H13" s="21">
        <f t="shared" ref="H13:AI13" si="8">H7*$D13</f>
        <v>402000</v>
      </c>
      <c r="I13" s="21">
        <f t="shared" si="8"/>
        <v>402000</v>
      </c>
      <c r="J13" s="27">
        <f t="shared" si="8"/>
        <v>402000</v>
      </c>
      <c r="K13" s="21">
        <f t="shared" si="8"/>
        <v>402000</v>
      </c>
      <c r="L13" s="21">
        <f t="shared" si="8"/>
        <v>402000</v>
      </c>
      <c r="M13" s="21">
        <f t="shared" si="8"/>
        <v>402000</v>
      </c>
      <c r="N13" s="21">
        <f t="shared" si="8"/>
        <v>402000</v>
      </c>
      <c r="O13" s="21">
        <f t="shared" si="8"/>
        <v>402000</v>
      </c>
      <c r="P13" s="21">
        <f t="shared" si="8"/>
        <v>402000</v>
      </c>
      <c r="Q13" s="21">
        <f t="shared" si="8"/>
        <v>402000</v>
      </c>
      <c r="R13" s="21">
        <f t="shared" si="8"/>
        <v>402000</v>
      </c>
      <c r="S13" s="27">
        <f t="shared" si="8"/>
        <v>402000</v>
      </c>
      <c r="T13" s="27">
        <f t="shared" si="8"/>
        <v>402000</v>
      </c>
      <c r="U13" s="27">
        <f t="shared" si="8"/>
        <v>402000</v>
      </c>
      <c r="V13" s="27">
        <f t="shared" si="8"/>
        <v>402000</v>
      </c>
      <c r="W13" s="27">
        <f t="shared" si="8"/>
        <v>402000</v>
      </c>
      <c r="X13" s="27">
        <f t="shared" si="8"/>
        <v>402000</v>
      </c>
      <c r="Y13" s="27">
        <f t="shared" si="8"/>
        <v>402000</v>
      </c>
      <c r="Z13" s="27">
        <f t="shared" si="8"/>
        <v>402000</v>
      </c>
      <c r="AA13" s="27">
        <f t="shared" si="8"/>
        <v>402000</v>
      </c>
      <c r="AB13" s="27">
        <f t="shared" si="8"/>
        <v>402000</v>
      </c>
      <c r="AC13" s="27">
        <f t="shared" si="8"/>
        <v>402000</v>
      </c>
      <c r="AD13" s="27">
        <f t="shared" si="8"/>
        <v>402000</v>
      </c>
      <c r="AE13" s="27">
        <f t="shared" si="8"/>
        <v>402000</v>
      </c>
      <c r="AF13" s="27">
        <f t="shared" si="8"/>
        <v>402000</v>
      </c>
      <c r="AG13" s="27">
        <f t="shared" si="8"/>
        <v>402000</v>
      </c>
      <c r="AH13" s="27">
        <f t="shared" si="8"/>
        <v>402000</v>
      </c>
      <c r="AI13" s="66">
        <f t="shared" si="8"/>
        <v>402000</v>
      </c>
    </row>
    <row r="14" spans="1:35" s="41" customFormat="1" x14ac:dyDescent="0.2">
      <c r="A14" s="42" t="s">
        <v>10</v>
      </c>
      <c r="B14" s="43"/>
      <c r="C14" s="44" t="s">
        <v>49</v>
      </c>
      <c r="D14" s="81">
        <f>G7/(G7-G14)*100</f>
        <v>259.87525987525987</v>
      </c>
      <c r="E14" s="43"/>
      <c r="F14" s="91">
        <f>SUM(F15:F16)</f>
        <v>645960</v>
      </c>
      <c r="G14" s="22">
        <f>SUM(G15:G16)</f>
        <v>369120</v>
      </c>
      <c r="H14" s="22">
        <f>SUM(H15:H16)</f>
        <v>369120</v>
      </c>
      <c r="I14" s="22">
        <f>SUM(I15:I16)</f>
        <v>369120</v>
      </c>
      <c r="J14" s="22">
        <f>SUM(J15:J16)</f>
        <v>369120</v>
      </c>
      <c r="K14" s="22">
        <f t="shared" ref="K14:AI14" si="9">SUM(K15:K16)</f>
        <v>369120</v>
      </c>
      <c r="L14" s="22">
        <f t="shared" si="9"/>
        <v>369120</v>
      </c>
      <c r="M14" s="22">
        <f t="shared" si="9"/>
        <v>369120</v>
      </c>
      <c r="N14" s="22">
        <f t="shared" si="9"/>
        <v>369120</v>
      </c>
      <c r="O14" s="22">
        <f t="shared" si="9"/>
        <v>369120</v>
      </c>
      <c r="P14" s="22">
        <f t="shared" si="9"/>
        <v>369120</v>
      </c>
      <c r="Q14" s="22">
        <f t="shared" si="9"/>
        <v>369120</v>
      </c>
      <c r="R14" s="22">
        <f t="shared" si="9"/>
        <v>369120</v>
      </c>
      <c r="S14" s="22">
        <f t="shared" si="9"/>
        <v>369120</v>
      </c>
      <c r="T14" s="22">
        <f t="shared" si="9"/>
        <v>369120</v>
      </c>
      <c r="U14" s="22">
        <f t="shared" si="9"/>
        <v>369120</v>
      </c>
      <c r="V14" s="22">
        <f t="shared" si="9"/>
        <v>369120</v>
      </c>
      <c r="W14" s="22">
        <f t="shared" si="9"/>
        <v>369120</v>
      </c>
      <c r="X14" s="22">
        <f t="shared" si="9"/>
        <v>369120</v>
      </c>
      <c r="Y14" s="22">
        <f t="shared" si="9"/>
        <v>369120</v>
      </c>
      <c r="Z14" s="22">
        <f t="shared" si="9"/>
        <v>369120</v>
      </c>
      <c r="AA14" s="22">
        <f t="shared" si="9"/>
        <v>369120</v>
      </c>
      <c r="AB14" s="22">
        <f t="shared" si="9"/>
        <v>369120</v>
      </c>
      <c r="AC14" s="22">
        <f t="shared" si="9"/>
        <v>369120</v>
      </c>
      <c r="AD14" s="22">
        <f t="shared" si="9"/>
        <v>369120</v>
      </c>
      <c r="AE14" s="22">
        <f t="shared" si="9"/>
        <v>369120</v>
      </c>
      <c r="AF14" s="22">
        <f t="shared" si="9"/>
        <v>369120</v>
      </c>
      <c r="AG14" s="22">
        <f t="shared" si="9"/>
        <v>369120</v>
      </c>
      <c r="AH14" s="22">
        <f t="shared" si="9"/>
        <v>369120</v>
      </c>
      <c r="AI14" s="59">
        <f t="shared" si="9"/>
        <v>369120</v>
      </c>
    </row>
    <row r="15" spans="1:35" x14ac:dyDescent="0.2">
      <c r="A15" s="23" t="s">
        <v>4</v>
      </c>
      <c r="B15" s="24"/>
      <c r="C15" s="50">
        <v>0.66500000000000004</v>
      </c>
      <c r="D15" s="82">
        <f>G9/(G9-G15)*100</f>
        <v>298.50746268656718</v>
      </c>
      <c r="E15" s="24"/>
      <c r="F15" s="90">
        <f>F9*$C15</f>
        <v>614460</v>
      </c>
      <c r="G15" s="12">
        <f>G9*$C15</f>
        <v>351120</v>
      </c>
      <c r="H15" s="12">
        <f t="shared" ref="H15:AI15" si="10">H9*$C15</f>
        <v>351120</v>
      </c>
      <c r="I15" s="12">
        <f t="shared" si="10"/>
        <v>351120</v>
      </c>
      <c r="J15" s="13">
        <f t="shared" si="10"/>
        <v>351120</v>
      </c>
      <c r="K15" s="12">
        <f t="shared" si="10"/>
        <v>351120</v>
      </c>
      <c r="L15" s="12">
        <f t="shared" si="10"/>
        <v>351120</v>
      </c>
      <c r="M15" s="12">
        <f t="shared" si="10"/>
        <v>351120</v>
      </c>
      <c r="N15" s="12">
        <f t="shared" si="10"/>
        <v>351120</v>
      </c>
      <c r="O15" s="12">
        <f t="shared" si="10"/>
        <v>351120</v>
      </c>
      <c r="P15" s="12">
        <f t="shared" si="10"/>
        <v>351120</v>
      </c>
      <c r="Q15" s="12">
        <f t="shared" si="10"/>
        <v>351120</v>
      </c>
      <c r="R15" s="12">
        <f t="shared" si="10"/>
        <v>351120</v>
      </c>
      <c r="S15" s="13">
        <f t="shared" si="10"/>
        <v>351120</v>
      </c>
      <c r="T15" s="13">
        <f t="shared" si="10"/>
        <v>351120</v>
      </c>
      <c r="U15" s="13">
        <f t="shared" si="10"/>
        <v>351120</v>
      </c>
      <c r="V15" s="13">
        <f t="shared" si="10"/>
        <v>351120</v>
      </c>
      <c r="W15" s="13">
        <f t="shared" si="10"/>
        <v>351120</v>
      </c>
      <c r="X15" s="13">
        <f t="shared" si="10"/>
        <v>351120</v>
      </c>
      <c r="Y15" s="13">
        <f t="shared" si="10"/>
        <v>351120</v>
      </c>
      <c r="Z15" s="13">
        <f t="shared" si="10"/>
        <v>351120</v>
      </c>
      <c r="AA15" s="13">
        <f t="shared" si="10"/>
        <v>351120</v>
      </c>
      <c r="AB15" s="13">
        <f t="shared" si="10"/>
        <v>351120</v>
      </c>
      <c r="AC15" s="13">
        <f t="shared" si="10"/>
        <v>351120</v>
      </c>
      <c r="AD15" s="13">
        <f t="shared" si="10"/>
        <v>351120</v>
      </c>
      <c r="AE15" s="13">
        <f t="shared" si="10"/>
        <v>351120</v>
      </c>
      <c r="AF15" s="13">
        <f t="shared" si="10"/>
        <v>351120</v>
      </c>
      <c r="AG15" s="13">
        <f t="shared" si="10"/>
        <v>351120</v>
      </c>
      <c r="AH15" s="13">
        <f t="shared" si="10"/>
        <v>351120</v>
      </c>
      <c r="AI15" s="62">
        <f t="shared" si="10"/>
        <v>351120</v>
      </c>
    </row>
    <row r="16" spans="1:35" ht="13.5" thickBot="1" x14ac:dyDescent="0.25">
      <c r="A16" s="19" t="s">
        <v>7</v>
      </c>
      <c r="B16" s="20"/>
      <c r="C16" s="51">
        <v>0.25</v>
      </c>
      <c r="D16" s="83">
        <f>G11/(G11-G16)*100</f>
        <v>133.33333333333331</v>
      </c>
      <c r="E16" s="20"/>
      <c r="F16" s="88">
        <f>F11*$C16</f>
        <v>31500</v>
      </c>
      <c r="G16" s="21">
        <f>G11*$C16</f>
        <v>18000</v>
      </c>
      <c r="H16" s="21">
        <f>H11*$C16</f>
        <v>18000</v>
      </c>
      <c r="I16" s="21">
        <f>I11*$C16</f>
        <v>18000</v>
      </c>
      <c r="J16" s="27">
        <f t="shared" ref="J16:AI16" si="11">J11*$C16</f>
        <v>18000</v>
      </c>
      <c r="K16" s="21">
        <f t="shared" si="11"/>
        <v>18000</v>
      </c>
      <c r="L16" s="21">
        <f t="shared" si="11"/>
        <v>18000</v>
      </c>
      <c r="M16" s="21">
        <f t="shared" si="11"/>
        <v>18000</v>
      </c>
      <c r="N16" s="21">
        <f t="shared" si="11"/>
        <v>18000</v>
      </c>
      <c r="O16" s="21">
        <f t="shared" si="11"/>
        <v>18000</v>
      </c>
      <c r="P16" s="21">
        <f t="shared" si="11"/>
        <v>18000</v>
      </c>
      <c r="Q16" s="21">
        <f t="shared" si="11"/>
        <v>18000</v>
      </c>
      <c r="R16" s="21">
        <f t="shared" si="11"/>
        <v>18000</v>
      </c>
      <c r="S16" s="27">
        <f t="shared" si="11"/>
        <v>18000</v>
      </c>
      <c r="T16" s="27">
        <f t="shared" si="11"/>
        <v>18000</v>
      </c>
      <c r="U16" s="27">
        <f t="shared" si="11"/>
        <v>18000</v>
      </c>
      <c r="V16" s="27">
        <f t="shared" si="11"/>
        <v>18000</v>
      </c>
      <c r="W16" s="27">
        <f t="shared" si="11"/>
        <v>18000</v>
      </c>
      <c r="X16" s="27">
        <f t="shared" si="11"/>
        <v>18000</v>
      </c>
      <c r="Y16" s="27">
        <f t="shared" si="11"/>
        <v>18000</v>
      </c>
      <c r="Z16" s="27">
        <f t="shared" si="11"/>
        <v>18000</v>
      </c>
      <c r="AA16" s="27">
        <f t="shared" si="11"/>
        <v>18000</v>
      </c>
      <c r="AB16" s="27">
        <f t="shared" si="11"/>
        <v>18000</v>
      </c>
      <c r="AC16" s="27">
        <f t="shared" si="11"/>
        <v>18000</v>
      </c>
      <c r="AD16" s="27">
        <f t="shared" si="11"/>
        <v>18000</v>
      </c>
      <c r="AE16" s="27">
        <f t="shared" si="11"/>
        <v>18000</v>
      </c>
      <c r="AF16" s="27">
        <f t="shared" si="11"/>
        <v>18000</v>
      </c>
      <c r="AG16" s="27">
        <f t="shared" si="11"/>
        <v>18000</v>
      </c>
      <c r="AH16" s="27">
        <f t="shared" si="11"/>
        <v>18000</v>
      </c>
      <c r="AI16" s="66">
        <f t="shared" si="11"/>
        <v>18000</v>
      </c>
    </row>
    <row r="17" spans="1:35" x14ac:dyDescent="0.2">
      <c r="A17" s="16" t="s">
        <v>11</v>
      </c>
      <c r="B17" s="17"/>
      <c r="C17" s="17"/>
      <c r="D17" s="17"/>
      <c r="E17" s="17"/>
      <c r="F17" s="89"/>
      <c r="G17" s="18"/>
      <c r="H17" s="18"/>
      <c r="I17" s="18"/>
      <c r="J17" s="22"/>
      <c r="K17" s="18"/>
      <c r="L17" s="18"/>
      <c r="M17" s="18"/>
      <c r="N17" s="18"/>
      <c r="O17" s="18"/>
      <c r="P17" s="18"/>
      <c r="Q17" s="18"/>
      <c r="R17" s="18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59"/>
    </row>
    <row r="18" spans="1:35" x14ac:dyDescent="0.2">
      <c r="A18" s="23" t="s">
        <v>98</v>
      </c>
      <c r="B18" s="24"/>
      <c r="C18" s="24"/>
      <c r="D18" s="24"/>
      <c r="E18" s="24">
        <f>SUM(E19:E22,E29,E33:E34,E37:E43)</f>
        <v>0</v>
      </c>
      <c r="F18" s="92">
        <f>SUM(F19:F22,F29,F33:F34,F37:F44)</f>
        <v>267698.2</v>
      </c>
      <c r="G18" s="14">
        <f>SUM(G19:G22,G29,G33:G34,G37:G44)</f>
        <v>263754.40000000002</v>
      </c>
      <c r="H18" s="14">
        <f t="shared" ref="H18:AI18" si="12">SUM(H19:H22,H29,H33:H34,H37:H44)</f>
        <v>263754.40000000002</v>
      </c>
      <c r="I18" s="14">
        <f>SUM(I19:I22,I29,I33:I34,I37:I44)</f>
        <v>263754.40000000002</v>
      </c>
      <c r="J18" s="14">
        <f>SUM(J19:J22,J29,J33:J34,J37:J44)</f>
        <v>263754.40000000002</v>
      </c>
      <c r="K18" s="14">
        <f>SUM(K19:K22,K29,K33:K34,K37:K44)</f>
        <v>263754.40000000002</v>
      </c>
      <c r="L18" s="14">
        <f>SUM(L19:L22,L29,L33:L34,L37:L44)</f>
        <v>263754.40000000002</v>
      </c>
      <c r="M18" s="14">
        <f>SUM(M19:M22,M29,M33:M34,M37:M44)</f>
        <v>263754.40000000002</v>
      </c>
      <c r="N18" s="14">
        <f t="shared" si="12"/>
        <v>263754.40000000002</v>
      </c>
      <c r="O18" s="14">
        <f t="shared" si="12"/>
        <v>263754.40000000002</v>
      </c>
      <c r="P18" s="14">
        <f t="shared" si="12"/>
        <v>263754.40000000002</v>
      </c>
      <c r="Q18" s="14">
        <f t="shared" si="12"/>
        <v>263754.40000000002</v>
      </c>
      <c r="R18" s="14">
        <f t="shared" si="12"/>
        <v>263754.40000000002</v>
      </c>
      <c r="S18" s="14">
        <f t="shared" si="12"/>
        <v>263754.40000000002</v>
      </c>
      <c r="T18" s="14">
        <f t="shared" si="12"/>
        <v>263754.40000000002</v>
      </c>
      <c r="U18" s="14">
        <f t="shared" si="12"/>
        <v>263754.40000000002</v>
      </c>
      <c r="V18" s="14">
        <f t="shared" si="12"/>
        <v>263754.40000000002</v>
      </c>
      <c r="W18" s="14">
        <f t="shared" si="12"/>
        <v>263754.40000000002</v>
      </c>
      <c r="X18" s="14">
        <f t="shared" si="12"/>
        <v>263754.40000000002</v>
      </c>
      <c r="Y18" s="14">
        <f t="shared" si="12"/>
        <v>263754.40000000002</v>
      </c>
      <c r="Z18" s="14">
        <f t="shared" si="12"/>
        <v>263754.40000000002</v>
      </c>
      <c r="AA18" s="14">
        <f t="shared" si="12"/>
        <v>263754.40000000002</v>
      </c>
      <c r="AB18" s="14">
        <f t="shared" si="12"/>
        <v>263754.40000000002</v>
      </c>
      <c r="AC18" s="14">
        <f t="shared" si="12"/>
        <v>263754.40000000002</v>
      </c>
      <c r="AD18" s="14">
        <f t="shared" si="12"/>
        <v>263754.40000000002</v>
      </c>
      <c r="AE18" s="14">
        <f t="shared" si="12"/>
        <v>263754.40000000002</v>
      </c>
      <c r="AF18" s="14">
        <f t="shared" si="12"/>
        <v>263754.40000000002</v>
      </c>
      <c r="AG18" s="14">
        <f t="shared" si="12"/>
        <v>263754.40000000002</v>
      </c>
      <c r="AH18" s="14">
        <f t="shared" si="12"/>
        <v>263754.40000000002</v>
      </c>
      <c r="AI18" s="60">
        <f t="shared" si="12"/>
        <v>263754.40000000002</v>
      </c>
    </row>
    <row r="19" spans="1:35" x14ac:dyDescent="0.2">
      <c r="A19" s="23" t="s">
        <v>12</v>
      </c>
      <c r="B19" s="72"/>
      <c r="C19" s="72" t="s">
        <v>60</v>
      </c>
      <c r="D19" s="72"/>
      <c r="E19" s="85">
        <v>0</v>
      </c>
      <c r="F19" s="90">
        <v>37500</v>
      </c>
      <c r="G19" s="12">
        <v>37500</v>
      </c>
      <c r="H19" s="12">
        <v>37500</v>
      </c>
      <c r="I19" s="12">
        <v>37500</v>
      </c>
      <c r="J19" s="12">
        <v>37500</v>
      </c>
      <c r="K19" s="12">
        <v>37500</v>
      </c>
      <c r="L19" s="12">
        <v>37500</v>
      </c>
      <c r="M19" s="12">
        <v>37500</v>
      </c>
      <c r="N19" s="12">
        <v>37500</v>
      </c>
      <c r="O19" s="12">
        <v>37500</v>
      </c>
      <c r="P19" s="12">
        <v>37500</v>
      </c>
      <c r="Q19" s="12">
        <v>37500</v>
      </c>
      <c r="R19" s="12">
        <v>37500</v>
      </c>
      <c r="S19" s="12">
        <v>37500</v>
      </c>
      <c r="T19" s="12">
        <v>37500</v>
      </c>
      <c r="U19" s="12">
        <v>37500</v>
      </c>
      <c r="V19" s="12">
        <v>37500</v>
      </c>
      <c r="W19" s="12">
        <v>37500</v>
      </c>
      <c r="X19" s="12">
        <v>37500</v>
      </c>
      <c r="Y19" s="12">
        <v>37500</v>
      </c>
      <c r="Z19" s="12">
        <v>37500</v>
      </c>
      <c r="AA19" s="12">
        <v>37500</v>
      </c>
      <c r="AB19" s="12">
        <v>37500</v>
      </c>
      <c r="AC19" s="12">
        <v>37500</v>
      </c>
      <c r="AD19" s="12">
        <v>37500</v>
      </c>
      <c r="AE19" s="12">
        <v>37500</v>
      </c>
      <c r="AF19" s="12">
        <v>37500</v>
      </c>
      <c r="AG19" s="12">
        <v>37500</v>
      </c>
      <c r="AH19" s="12">
        <v>37500</v>
      </c>
      <c r="AI19" s="12">
        <v>37500</v>
      </c>
    </row>
    <row r="20" spans="1:35" ht="11.25" customHeight="1" x14ac:dyDescent="0.2">
      <c r="A20" s="23" t="s">
        <v>13</v>
      </c>
      <c r="B20" s="72"/>
      <c r="C20" s="72"/>
      <c r="D20" s="72"/>
      <c r="E20" s="72"/>
      <c r="F20" s="90">
        <v>20000</v>
      </c>
      <c r="G20" s="12">
        <v>20000</v>
      </c>
      <c r="H20" s="12">
        <v>20000</v>
      </c>
      <c r="I20" s="12">
        <v>20000</v>
      </c>
      <c r="J20" s="12">
        <v>20000</v>
      </c>
      <c r="K20" s="12">
        <v>20000</v>
      </c>
      <c r="L20" s="12">
        <v>20000</v>
      </c>
      <c r="M20" s="12">
        <v>20000</v>
      </c>
      <c r="N20" s="12">
        <v>20000</v>
      </c>
      <c r="O20" s="12">
        <v>20000</v>
      </c>
      <c r="P20" s="12">
        <v>20000</v>
      </c>
      <c r="Q20" s="12">
        <v>20000</v>
      </c>
      <c r="R20" s="12">
        <v>20000</v>
      </c>
      <c r="S20" s="12">
        <v>20000</v>
      </c>
      <c r="T20" s="12">
        <v>20000</v>
      </c>
      <c r="U20" s="12">
        <v>20000</v>
      </c>
      <c r="V20" s="12">
        <v>20000</v>
      </c>
      <c r="W20" s="12">
        <v>20000</v>
      </c>
      <c r="X20" s="12">
        <v>20000</v>
      </c>
      <c r="Y20" s="12">
        <v>20000</v>
      </c>
      <c r="Z20" s="12">
        <v>20000</v>
      </c>
      <c r="AA20" s="12">
        <v>20000</v>
      </c>
      <c r="AB20" s="12">
        <v>20000</v>
      </c>
      <c r="AC20" s="12">
        <v>20000</v>
      </c>
      <c r="AD20" s="12">
        <v>20000</v>
      </c>
      <c r="AE20" s="12">
        <v>20000</v>
      </c>
      <c r="AF20" s="12">
        <v>20000</v>
      </c>
      <c r="AG20" s="12">
        <v>20000</v>
      </c>
      <c r="AH20" s="12">
        <v>20000</v>
      </c>
      <c r="AI20" s="61">
        <v>20000</v>
      </c>
    </row>
    <row r="21" spans="1:35" ht="1.5" customHeight="1" x14ac:dyDescent="0.2">
      <c r="A21" s="23"/>
      <c r="B21" s="72"/>
      <c r="C21" s="72"/>
      <c r="D21" s="72"/>
      <c r="E21" s="72"/>
      <c r="F21" s="90"/>
      <c r="G21" s="12"/>
      <c r="H21" s="12"/>
      <c r="I21" s="12"/>
      <c r="J21" s="13"/>
      <c r="K21" s="12"/>
      <c r="L21" s="12"/>
      <c r="M21" s="12"/>
      <c r="N21" s="12"/>
      <c r="O21" s="12"/>
      <c r="P21" s="12"/>
      <c r="Q21" s="12"/>
      <c r="R21" s="12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62"/>
    </row>
    <row r="22" spans="1:35" x14ac:dyDescent="0.2">
      <c r="A22" s="23" t="s">
        <v>52</v>
      </c>
      <c r="B22" s="72"/>
      <c r="C22" s="72"/>
      <c r="D22" s="72"/>
      <c r="E22" s="61">
        <v>0</v>
      </c>
      <c r="F22" s="90">
        <f>$H$62</f>
        <v>154000</v>
      </c>
      <c r="G22" s="12">
        <f t="shared" ref="G22:AI22" si="13">$H$62</f>
        <v>154000</v>
      </c>
      <c r="H22" s="12">
        <f t="shared" si="13"/>
        <v>154000</v>
      </c>
      <c r="I22" s="12">
        <f t="shared" si="13"/>
        <v>154000</v>
      </c>
      <c r="J22" s="12">
        <f t="shared" si="13"/>
        <v>154000</v>
      </c>
      <c r="K22" s="12">
        <f t="shared" si="13"/>
        <v>154000</v>
      </c>
      <c r="L22" s="12">
        <f t="shared" si="13"/>
        <v>154000</v>
      </c>
      <c r="M22" s="12">
        <f t="shared" si="13"/>
        <v>154000</v>
      </c>
      <c r="N22" s="12">
        <f t="shared" si="13"/>
        <v>154000</v>
      </c>
      <c r="O22" s="12">
        <f t="shared" si="13"/>
        <v>154000</v>
      </c>
      <c r="P22" s="12">
        <f t="shared" si="13"/>
        <v>154000</v>
      </c>
      <c r="Q22" s="12">
        <f t="shared" si="13"/>
        <v>154000</v>
      </c>
      <c r="R22" s="12">
        <f t="shared" si="13"/>
        <v>154000</v>
      </c>
      <c r="S22" s="12">
        <f t="shared" si="13"/>
        <v>154000</v>
      </c>
      <c r="T22" s="12">
        <f t="shared" si="13"/>
        <v>154000</v>
      </c>
      <c r="U22" s="12">
        <f t="shared" si="13"/>
        <v>154000</v>
      </c>
      <c r="V22" s="12">
        <f t="shared" si="13"/>
        <v>154000</v>
      </c>
      <c r="W22" s="12">
        <f t="shared" si="13"/>
        <v>154000</v>
      </c>
      <c r="X22" s="12">
        <f t="shared" si="13"/>
        <v>154000</v>
      </c>
      <c r="Y22" s="12">
        <f t="shared" si="13"/>
        <v>154000</v>
      </c>
      <c r="Z22" s="12">
        <f t="shared" si="13"/>
        <v>154000</v>
      </c>
      <c r="AA22" s="12">
        <f t="shared" si="13"/>
        <v>154000</v>
      </c>
      <c r="AB22" s="12">
        <f t="shared" si="13"/>
        <v>154000</v>
      </c>
      <c r="AC22" s="12">
        <f t="shared" si="13"/>
        <v>154000</v>
      </c>
      <c r="AD22" s="12">
        <f t="shared" si="13"/>
        <v>154000</v>
      </c>
      <c r="AE22" s="12">
        <f t="shared" si="13"/>
        <v>154000</v>
      </c>
      <c r="AF22" s="12">
        <f t="shared" si="13"/>
        <v>154000</v>
      </c>
      <c r="AG22" s="12">
        <f t="shared" si="13"/>
        <v>154000</v>
      </c>
      <c r="AH22" s="12">
        <f t="shared" si="13"/>
        <v>154000</v>
      </c>
      <c r="AI22" s="61">
        <f t="shared" si="13"/>
        <v>154000</v>
      </c>
    </row>
    <row r="23" spans="1:35" hidden="1" outlineLevel="1" x14ac:dyDescent="0.2">
      <c r="A23" s="29" t="s">
        <v>14</v>
      </c>
      <c r="B23" s="97">
        <v>2</v>
      </c>
      <c r="C23" s="97">
        <v>35000</v>
      </c>
      <c r="D23" s="97">
        <f>B23*C23</f>
        <v>70000</v>
      </c>
      <c r="E23" s="72"/>
      <c r="F23" s="90"/>
      <c r="G23" s="12"/>
      <c r="H23" s="12"/>
      <c r="I23" s="12"/>
      <c r="J23" s="13"/>
      <c r="K23" s="12"/>
      <c r="L23" s="12"/>
      <c r="M23" s="12"/>
      <c r="N23" s="12"/>
      <c r="O23" s="12"/>
      <c r="P23" s="12"/>
      <c r="Q23" s="12"/>
      <c r="R23" s="12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62"/>
    </row>
    <row r="24" spans="1:35" hidden="1" outlineLevel="1" x14ac:dyDescent="0.2">
      <c r="A24" s="29" t="s">
        <v>15</v>
      </c>
      <c r="B24" s="97">
        <v>0</v>
      </c>
      <c r="C24" s="97">
        <v>37000</v>
      </c>
      <c r="D24" s="97">
        <f t="shared" ref="D24:D25" si="14">B24*C24</f>
        <v>0</v>
      </c>
      <c r="E24" s="72"/>
      <c r="F24" s="90"/>
      <c r="G24" s="12"/>
      <c r="H24" s="12"/>
      <c r="I24" s="12"/>
      <c r="J24" s="13"/>
      <c r="K24" s="12"/>
      <c r="L24" s="12"/>
      <c r="M24" s="12"/>
      <c r="N24" s="12"/>
      <c r="O24" s="12"/>
      <c r="P24" s="12"/>
      <c r="Q24" s="12"/>
      <c r="R24" s="12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62"/>
    </row>
    <row r="25" spans="1:35" hidden="1" outlineLevel="1" x14ac:dyDescent="0.2">
      <c r="A25" s="29" t="s">
        <v>16</v>
      </c>
      <c r="B25" s="97">
        <v>0</v>
      </c>
      <c r="C25" s="97">
        <v>24000</v>
      </c>
      <c r="D25" s="97">
        <f t="shared" si="14"/>
        <v>0</v>
      </c>
      <c r="E25" s="72"/>
      <c r="F25" s="90"/>
      <c r="G25" s="12"/>
      <c r="H25" s="12"/>
      <c r="I25" s="12"/>
      <c r="J25" s="13"/>
      <c r="K25" s="12"/>
      <c r="L25" s="12"/>
      <c r="M25" s="12"/>
      <c r="N25" s="12"/>
      <c r="O25" s="12"/>
      <c r="P25" s="12"/>
      <c r="Q25" s="12"/>
      <c r="R25" s="12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62"/>
    </row>
    <row r="26" spans="1:35" hidden="1" outlineLevel="1" x14ac:dyDescent="0.2">
      <c r="A26" s="29" t="s">
        <v>17</v>
      </c>
      <c r="B26" s="97">
        <v>0</v>
      </c>
      <c r="C26" s="97"/>
      <c r="D26" s="97">
        <f>B26*C26</f>
        <v>0</v>
      </c>
      <c r="E26" s="72"/>
      <c r="F26" s="90"/>
      <c r="G26" s="12"/>
      <c r="H26" s="12"/>
      <c r="I26" s="12"/>
      <c r="J26" s="13"/>
      <c r="K26" s="12"/>
      <c r="L26" s="12"/>
      <c r="M26" s="12"/>
      <c r="N26" s="12"/>
      <c r="O26" s="12"/>
      <c r="P26" s="12"/>
      <c r="Q26" s="12"/>
      <c r="R26" s="12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62"/>
    </row>
    <row r="27" spans="1:35" hidden="1" outlineLevel="1" x14ac:dyDescent="0.2">
      <c r="A27" s="30" t="s">
        <v>18</v>
      </c>
      <c r="B27" s="98"/>
      <c r="C27" s="99"/>
      <c r="D27" s="97">
        <f>SUM(D23:D26)</f>
        <v>70000</v>
      </c>
      <c r="E27" s="72"/>
      <c r="F27" s="90"/>
      <c r="G27" s="12"/>
      <c r="H27" s="12"/>
      <c r="I27" s="12"/>
      <c r="J27" s="13"/>
      <c r="K27" s="12"/>
      <c r="L27" s="12"/>
      <c r="M27" s="12"/>
      <c r="N27" s="12"/>
      <c r="O27" s="12"/>
      <c r="P27" s="12"/>
      <c r="Q27" s="12"/>
      <c r="R27" s="12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62"/>
    </row>
    <row r="28" spans="1:35" hidden="1" outlineLevel="1" x14ac:dyDescent="0.2">
      <c r="A28" s="30" t="s">
        <v>19</v>
      </c>
      <c r="B28" s="98"/>
      <c r="C28" s="99"/>
      <c r="D28" s="97">
        <f>D27-D26</f>
        <v>70000</v>
      </c>
      <c r="E28" s="72"/>
      <c r="F28" s="90"/>
      <c r="G28" s="12"/>
      <c r="H28" s="12"/>
      <c r="I28" s="12"/>
      <c r="J28" s="13"/>
      <c r="K28" s="12"/>
      <c r="L28" s="12"/>
      <c r="M28" s="12"/>
      <c r="N28" s="12"/>
      <c r="O28" s="12"/>
      <c r="P28" s="12"/>
      <c r="Q28" s="12"/>
      <c r="R28" s="12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62"/>
    </row>
    <row r="29" spans="1:35" collapsed="1" x14ac:dyDescent="0.2">
      <c r="A29" s="23" t="s">
        <v>20</v>
      </c>
      <c r="B29" s="72">
        <f>B23+B24+B25</f>
        <v>2</v>
      </c>
      <c r="C29" s="72">
        <v>11000</v>
      </c>
      <c r="D29" s="100">
        <v>0.30199999999999999</v>
      </c>
      <c r="E29" s="72"/>
      <c r="F29" s="90">
        <f>$H$64</f>
        <v>14496</v>
      </c>
      <c r="G29" s="12">
        <f t="shared" ref="G29:AI29" si="15">$H$64</f>
        <v>14496</v>
      </c>
      <c r="H29" s="12">
        <f t="shared" si="15"/>
        <v>14496</v>
      </c>
      <c r="I29" s="12">
        <f t="shared" si="15"/>
        <v>14496</v>
      </c>
      <c r="J29" s="12">
        <f t="shared" si="15"/>
        <v>14496</v>
      </c>
      <c r="K29" s="12">
        <f t="shared" si="15"/>
        <v>14496</v>
      </c>
      <c r="L29" s="12">
        <f t="shared" si="15"/>
        <v>14496</v>
      </c>
      <c r="M29" s="12">
        <f t="shared" si="15"/>
        <v>14496</v>
      </c>
      <c r="N29" s="12">
        <f t="shared" si="15"/>
        <v>14496</v>
      </c>
      <c r="O29" s="12">
        <f t="shared" si="15"/>
        <v>14496</v>
      </c>
      <c r="P29" s="12">
        <f t="shared" si="15"/>
        <v>14496</v>
      </c>
      <c r="Q29" s="12">
        <f t="shared" si="15"/>
        <v>14496</v>
      </c>
      <c r="R29" s="12">
        <f t="shared" si="15"/>
        <v>14496</v>
      </c>
      <c r="S29" s="12">
        <f t="shared" si="15"/>
        <v>14496</v>
      </c>
      <c r="T29" s="12">
        <f t="shared" si="15"/>
        <v>14496</v>
      </c>
      <c r="U29" s="12">
        <f t="shared" si="15"/>
        <v>14496</v>
      </c>
      <c r="V29" s="12">
        <f t="shared" si="15"/>
        <v>14496</v>
      </c>
      <c r="W29" s="12">
        <f t="shared" si="15"/>
        <v>14496</v>
      </c>
      <c r="X29" s="12">
        <f t="shared" si="15"/>
        <v>14496</v>
      </c>
      <c r="Y29" s="12">
        <f t="shared" si="15"/>
        <v>14496</v>
      </c>
      <c r="Z29" s="12">
        <f t="shared" si="15"/>
        <v>14496</v>
      </c>
      <c r="AA29" s="12">
        <f t="shared" si="15"/>
        <v>14496</v>
      </c>
      <c r="AB29" s="12">
        <f t="shared" si="15"/>
        <v>14496</v>
      </c>
      <c r="AC29" s="12">
        <f t="shared" si="15"/>
        <v>14496</v>
      </c>
      <c r="AD29" s="12">
        <f t="shared" si="15"/>
        <v>14496</v>
      </c>
      <c r="AE29" s="12">
        <f t="shared" si="15"/>
        <v>14496</v>
      </c>
      <c r="AF29" s="12">
        <f t="shared" si="15"/>
        <v>14496</v>
      </c>
      <c r="AG29" s="12">
        <f t="shared" si="15"/>
        <v>14496</v>
      </c>
      <c r="AH29" s="12">
        <f t="shared" si="15"/>
        <v>14496</v>
      </c>
      <c r="AI29" s="61">
        <f t="shared" si="15"/>
        <v>14496</v>
      </c>
    </row>
    <row r="30" spans="1:35" hidden="1" outlineLevel="2" x14ac:dyDescent="0.2">
      <c r="A30" s="23"/>
      <c r="B30" s="72"/>
      <c r="C30" s="72" t="s">
        <v>21</v>
      </c>
      <c r="D30" s="72">
        <f>SUM(B23:B26)-B26</f>
        <v>2</v>
      </c>
      <c r="E30" s="72"/>
      <c r="F30" s="90"/>
      <c r="G30" s="12"/>
      <c r="H30" s="12"/>
      <c r="I30" s="12"/>
      <c r="J30" s="13"/>
      <c r="K30" s="12"/>
      <c r="L30" s="12"/>
      <c r="M30" s="12"/>
      <c r="N30" s="12"/>
      <c r="O30" s="12"/>
      <c r="P30" s="12"/>
      <c r="Q30" s="12"/>
      <c r="R30" s="12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62"/>
    </row>
    <row r="31" spans="1:35" hidden="1" outlineLevel="2" x14ac:dyDescent="0.2">
      <c r="A31" s="23"/>
      <c r="B31" s="72"/>
      <c r="C31" s="72" t="s">
        <v>22</v>
      </c>
      <c r="D31" s="72">
        <v>10000</v>
      </c>
      <c r="E31" s="72"/>
      <c r="F31" s="90"/>
      <c r="G31" s="12"/>
      <c r="H31" s="12"/>
      <c r="I31" s="12"/>
      <c r="J31" s="13"/>
      <c r="K31" s="12"/>
      <c r="L31" s="12"/>
      <c r="M31" s="12"/>
      <c r="N31" s="12"/>
      <c r="O31" s="12"/>
      <c r="P31" s="12"/>
      <c r="Q31" s="12"/>
      <c r="R31" s="12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62"/>
    </row>
    <row r="32" spans="1:35" hidden="1" outlineLevel="2" x14ac:dyDescent="0.2">
      <c r="A32" s="23"/>
      <c r="B32" s="72"/>
      <c r="C32" s="72" t="s">
        <v>23</v>
      </c>
      <c r="D32" s="73">
        <v>0.30199999999999999</v>
      </c>
      <c r="E32" s="72"/>
      <c r="F32" s="90"/>
      <c r="G32" s="12"/>
      <c r="H32" s="12"/>
      <c r="I32" s="12"/>
      <c r="J32" s="13"/>
      <c r="K32" s="12"/>
      <c r="L32" s="12"/>
      <c r="M32" s="12"/>
      <c r="N32" s="12"/>
      <c r="O32" s="12"/>
      <c r="P32" s="12"/>
      <c r="Q32" s="12"/>
      <c r="R32" s="12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62"/>
    </row>
    <row r="33" spans="1:36" collapsed="1" x14ac:dyDescent="0.2">
      <c r="A33" s="23" t="s">
        <v>24</v>
      </c>
      <c r="B33" s="72"/>
      <c r="C33" s="72"/>
      <c r="D33" s="72"/>
      <c r="E33" s="72"/>
      <c r="F33" s="90">
        <f>1300+200</f>
        <v>1500</v>
      </c>
      <c r="G33" s="12">
        <f t="shared" ref="G33:AI33" si="16">1300+200</f>
        <v>1500</v>
      </c>
      <c r="H33" s="12">
        <f t="shared" si="16"/>
        <v>1500</v>
      </c>
      <c r="I33" s="12">
        <f t="shared" si="16"/>
        <v>1500</v>
      </c>
      <c r="J33" s="12">
        <f t="shared" si="16"/>
        <v>1500</v>
      </c>
      <c r="K33" s="12">
        <f t="shared" si="16"/>
        <v>1500</v>
      </c>
      <c r="L33" s="12">
        <f t="shared" si="16"/>
        <v>1500</v>
      </c>
      <c r="M33" s="12">
        <f t="shared" si="16"/>
        <v>1500</v>
      </c>
      <c r="N33" s="12">
        <f t="shared" si="16"/>
        <v>1500</v>
      </c>
      <c r="O33" s="12">
        <f t="shared" si="16"/>
        <v>1500</v>
      </c>
      <c r="P33" s="12">
        <f t="shared" si="16"/>
        <v>1500</v>
      </c>
      <c r="Q33" s="12">
        <f t="shared" si="16"/>
        <v>1500</v>
      </c>
      <c r="R33" s="12">
        <f t="shared" si="16"/>
        <v>1500</v>
      </c>
      <c r="S33" s="12">
        <f t="shared" si="16"/>
        <v>1500</v>
      </c>
      <c r="T33" s="12">
        <f t="shared" si="16"/>
        <v>1500</v>
      </c>
      <c r="U33" s="12">
        <f t="shared" si="16"/>
        <v>1500</v>
      </c>
      <c r="V33" s="12">
        <f t="shared" si="16"/>
        <v>1500</v>
      </c>
      <c r="W33" s="12">
        <f t="shared" si="16"/>
        <v>1500</v>
      </c>
      <c r="X33" s="12">
        <f t="shared" si="16"/>
        <v>1500</v>
      </c>
      <c r="Y33" s="12">
        <f t="shared" si="16"/>
        <v>1500</v>
      </c>
      <c r="Z33" s="12">
        <f t="shared" si="16"/>
        <v>1500</v>
      </c>
      <c r="AA33" s="12">
        <f t="shared" si="16"/>
        <v>1500</v>
      </c>
      <c r="AB33" s="12">
        <f t="shared" si="16"/>
        <v>1500</v>
      </c>
      <c r="AC33" s="12">
        <f t="shared" si="16"/>
        <v>1500</v>
      </c>
      <c r="AD33" s="12">
        <f t="shared" si="16"/>
        <v>1500</v>
      </c>
      <c r="AE33" s="12">
        <f t="shared" si="16"/>
        <v>1500</v>
      </c>
      <c r="AF33" s="12">
        <f t="shared" si="16"/>
        <v>1500</v>
      </c>
      <c r="AG33" s="12">
        <f t="shared" si="16"/>
        <v>1500</v>
      </c>
      <c r="AH33" s="12">
        <f t="shared" si="16"/>
        <v>1500</v>
      </c>
      <c r="AI33" s="61">
        <f t="shared" si="16"/>
        <v>1500</v>
      </c>
    </row>
    <row r="34" spans="1:36" x14ac:dyDescent="0.2">
      <c r="A34" s="23" t="s">
        <v>25</v>
      </c>
      <c r="B34" s="72"/>
      <c r="C34" s="72"/>
      <c r="D34" s="72"/>
      <c r="E34" s="72"/>
      <c r="F34" s="90">
        <f t="shared" ref="F34:AI34" si="17">F35+F36</f>
        <v>5000</v>
      </c>
      <c r="G34" s="12">
        <f t="shared" si="17"/>
        <v>5000</v>
      </c>
      <c r="H34" s="12">
        <f t="shared" si="17"/>
        <v>5000</v>
      </c>
      <c r="I34" s="12">
        <f t="shared" si="17"/>
        <v>5000</v>
      </c>
      <c r="J34" s="12">
        <f t="shared" si="17"/>
        <v>5000</v>
      </c>
      <c r="K34" s="12">
        <f>K35+K36</f>
        <v>5000</v>
      </c>
      <c r="L34" s="12">
        <f t="shared" si="17"/>
        <v>5000</v>
      </c>
      <c r="M34" s="12">
        <f t="shared" si="17"/>
        <v>5000</v>
      </c>
      <c r="N34" s="12">
        <f t="shared" si="17"/>
        <v>5000</v>
      </c>
      <c r="O34" s="12">
        <f t="shared" si="17"/>
        <v>5000</v>
      </c>
      <c r="P34" s="12">
        <f t="shared" si="17"/>
        <v>5000</v>
      </c>
      <c r="Q34" s="12">
        <f t="shared" si="17"/>
        <v>5000</v>
      </c>
      <c r="R34" s="12">
        <f t="shared" si="17"/>
        <v>5000</v>
      </c>
      <c r="S34" s="12">
        <f t="shared" si="17"/>
        <v>5000</v>
      </c>
      <c r="T34" s="12">
        <f t="shared" si="17"/>
        <v>5000</v>
      </c>
      <c r="U34" s="12">
        <f t="shared" si="17"/>
        <v>5000</v>
      </c>
      <c r="V34" s="12">
        <f t="shared" si="17"/>
        <v>5000</v>
      </c>
      <c r="W34" s="12">
        <f t="shared" si="17"/>
        <v>5000</v>
      </c>
      <c r="X34" s="12">
        <f t="shared" si="17"/>
        <v>5000</v>
      </c>
      <c r="Y34" s="12">
        <f t="shared" si="17"/>
        <v>5000</v>
      </c>
      <c r="Z34" s="12">
        <f t="shared" si="17"/>
        <v>5000</v>
      </c>
      <c r="AA34" s="12">
        <f t="shared" si="17"/>
        <v>5000</v>
      </c>
      <c r="AB34" s="12">
        <f t="shared" si="17"/>
        <v>5000</v>
      </c>
      <c r="AC34" s="12">
        <f t="shared" si="17"/>
        <v>5000</v>
      </c>
      <c r="AD34" s="12">
        <f t="shared" si="17"/>
        <v>5000</v>
      </c>
      <c r="AE34" s="12">
        <f t="shared" si="17"/>
        <v>5000</v>
      </c>
      <c r="AF34" s="12">
        <f t="shared" si="17"/>
        <v>5000</v>
      </c>
      <c r="AG34" s="12">
        <f t="shared" si="17"/>
        <v>5000</v>
      </c>
      <c r="AH34" s="12">
        <f t="shared" si="17"/>
        <v>5000</v>
      </c>
      <c r="AI34" s="61">
        <f t="shared" si="17"/>
        <v>5000</v>
      </c>
    </row>
    <row r="35" spans="1:36" hidden="1" x14ac:dyDescent="0.2">
      <c r="A35" s="23" t="s">
        <v>26</v>
      </c>
      <c r="B35" s="72"/>
      <c r="C35" s="72"/>
      <c r="D35" s="72"/>
      <c r="E35" s="72"/>
      <c r="F35" s="90">
        <v>1000</v>
      </c>
      <c r="G35" s="12">
        <v>1000</v>
      </c>
      <c r="H35" s="12">
        <v>1000</v>
      </c>
      <c r="I35" s="12">
        <v>1000</v>
      </c>
      <c r="J35" s="12">
        <v>1000</v>
      </c>
      <c r="K35" s="12">
        <v>1000</v>
      </c>
      <c r="L35" s="12">
        <v>1000</v>
      </c>
      <c r="M35" s="12">
        <v>1000</v>
      </c>
      <c r="N35" s="12">
        <v>1000</v>
      </c>
      <c r="O35" s="12">
        <v>1000</v>
      </c>
      <c r="P35" s="12">
        <v>1000</v>
      </c>
      <c r="Q35" s="12">
        <v>1000</v>
      </c>
      <c r="R35" s="12">
        <v>1000</v>
      </c>
      <c r="S35" s="12">
        <v>1000</v>
      </c>
      <c r="T35" s="12">
        <v>1000</v>
      </c>
      <c r="U35" s="12">
        <v>1000</v>
      </c>
      <c r="V35" s="12">
        <v>1000</v>
      </c>
      <c r="W35" s="12">
        <v>1000</v>
      </c>
      <c r="X35" s="12">
        <v>1000</v>
      </c>
      <c r="Y35" s="12">
        <v>1000</v>
      </c>
      <c r="Z35" s="12">
        <v>1000</v>
      </c>
      <c r="AA35" s="12">
        <v>1000</v>
      </c>
      <c r="AB35" s="12">
        <v>1000</v>
      </c>
      <c r="AC35" s="12">
        <v>1000</v>
      </c>
      <c r="AD35" s="12">
        <v>1000</v>
      </c>
      <c r="AE35" s="12">
        <v>1000</v>
      </c>
      <c r="AF35" s="12">
        <v>1000</v>
      </c>
      <c r="AG35" s="12">
        <v>1000</v>
      </c>
      <c r="AH35" s="12">
        <v>1000</v>
      </c>
      <c r="AI35" s="61">
        <v>1000</v>
      </c>
    </row>
    <row r="36" spans="1:36" hidden="1" x14ac:dyDescent="0.2">
      <c r="A36" s="23" t="s">
        <v>27</v>
      </c>
      <c r="B36" s="72"/>
      <c r="C36" s="72"/>
      <c r="D36" s="72"/>
      <c r="E36" s="72"/>
      <c r="F36" s="90">
        <v>4000</v>
      </c>
      <c r="G36" s="12">
        <v>4000</v>
      </c>
      <c r="H36" s="12">
        <v>4000</v>
      </c>
      <c r="I36" s="12">
        <v>4000</v>
      </c>
      <c r="J36" s="12">
        <v>4000</v>
      </c>
      <c r="K36" s="12">
        <v>4000</v>
      </c>
      <c r="L36" s="12">
        <v>4000</v>
      </c>
      <c r="M36" s="12">
        <v>4000</v>
      </c>
      <c r="N36" s="12">
        <v>4000</v>
      </c>
      <c r="O36" s="12">
        <v>4000</v>
      </c>
      <c r="P36" s="12">
        <v>4000</v>
      </c>
      <c r="Q36" s="12">
        <v>4000</v>
      </c>
      <c r="R36" s="12">
        <v>4000</v>
      </c>
      <c r="S36" s="12">
        <v>4000</v>
      </c>
      <c r="T36" s="12">
        <v>4000</v>
      </c>
      <c r="U36" s="12">
        <v>4000</v>
      </c>
      <c r="V36" s="12">
        <v>4000</v>
      </c>
      <c r="W36" s="12">
        <v>4000</v>
      </c>
      <c r="X36" s="12">
        <v>4000</v>
      </c>
      <c r="Y36" s="12">
        <v>4000</v>
      </c>
      <c r="Z36" s="12">
        <v>4000</v>
      </c>
      <c r="AA36" s="12">
        <v>4000</v>
      </c>
      <c r="AB36" s="12">
        <v>4000</v>
      </c>
      <c r="AC36" s="12">
        <v>4000</v>
      </c>
      <c r="AD36" s="12">
        <v>4000</v>
      </c>
      <c r="AE36" s="12">
        <v>4000</v>
      </c>
      <c r="AF36" s="12">
        <v>4000</v>
      </c>
      <c r="AG36" s="12">
        <v>4000</v>
      </c>
      <c r="AH36" s="12">
        <v>4000</v>
      </c>
      <c r="AI36" s="61">
        <v>4000</v>
      </c>
    </row>
    <row r="37" spans="1:36" x14ac:dyDescent="0.2">
      <c r="A37" s="23" t="s">
        <v>28</v>
      </c>
      <c r="B37" s="72"/>
      <c r="C37" s="72"/>
      <c r="D37" s="72"/>
      <c r="E37" s="72"/>
      <c r="F37" s="90">
        <v>5000</v>
      </c>
      <c r="G37" s="12">
        <v>5000</v>
      </c>
      <c r="H37" s="12">
        <v>5000</v>
      </c>
      <c r="I37" s="12">
        <v>5000</v>
      </c>
      <c r="J37" s="12">
        <v>5000</v>
      </c>
      <c r="K37" s="12">
        <v>5000</v>
      </c>
      <c r="L37" s="12">
        <v>5000</v>
      </c>
      <c r="M37" s="12">
        <v>5000</v>
      </c>
      <c r="N37" s="12">
        <v>5000</v>
      </c>
      <c r="O37" s="12">
        <v>5000</v>
      </c>
      <c r="P37" s="12">
        <v>5000</v>
      </c>
      <c r="Q37" s="12">
        <v>5000</v>
      </c>
      <c r="R37" s="12">
        <v>5000</v>
      </c>
      <c r="S37" s="12">
        <v>5000</v>
      </c>
      <c r="T37" s="12">
        <v>5000</v>
      </c>
      <c r="U37" s="12">
        <v>5000</v>
      </c>
      <c r="V37" s="12">
        <v>5000</v>
      </c>
      <c r="W37" s="12">
        <v>5000</v>
      </c>
      <c r="X37" s="12">
        <v>5000</v>
      </c>
      <c r="Y37" s="12">
        <v>5000</v>
      </c>
      <c r="Z37" s="12">
        <v>5000</v>
      </c>
      <c r="AA37" s="12">
        <v>5000</v>
      </c>
      <c r="AB37" s="12">
        <v>5000</v>
      </c>
      <c r="AC37" s="12">
        <v>5000</v>
      </c>
      <c r="AD37" s="12">
        <v>5000</v>
      </c>
      <c r="AE37" s="12">
        <v>5000</v>
      </c>
      <c r="AF37" s="12">
        <v>5000</v>
      </c>
      <c r="AG37" s="12">
        <v>5000</v>
      </c>
      <c r="AH37" s="12">
        <v>5000</v>
      </c>
      <c r="AI37" s="61">
        <v>5000</v>
      </c>
    </row>
    <row r="38" spans="1:36" x14ac:dyDescent="0.2">
      <c r="A38" s="23" t="s">
        <v>29</v>
      </c>
      <c r="B38" s="72"/>
      <c r="C38" s="72"/>
      <c r="D38" s="72"/>
      <c r="E38" s="72"/>
      <c r="F38" s="90">
        <v>3000</v>
      </c>
      <c r="G38" s="12">
        <v>3000</v>
      </c>
      <c r="H38" s="12">
        <v>3000</v>
      </c>
      <c r="I38" s="12">
        <v>3000</v>
      </c>
      <c r="J38" s="12">
        <v>3000</v>
      </c>
      <c r="K38" s="12">
        <v>3000</v>
      </c>
      <c r="L38" s="12">
        <v>3000</v>
      </c>
      <c r="M38" s="12">
        <v>3000</v>
      </c>
      <c r="N38" s="12">
        <v>3000</v>
      </c>
      <c r="O38" s="12">
        <v>3000</v>
      </c>
      <c r="P38" s="12">
        <v>3000</v>
      </c>
      <c r="Q38" s="12">
        <v>3000</v>
      </c>
      <c r="R38" s="12">
        <v>3000</v>
      </c>
      <c r="S38" s="12">
        <v>3000</v>
      </c>
      <c r="T38" s="12">
        <v>3000</v>
      </c>
      <c r="U38" s="12">
        <v>3000</v>
      </c>
      <c r="V38" s="12">
        <v>3000</v>
      </c>
      <c r="W38" s="12">
        <v>3000</v>
      </c>
      <c r="X38" s="12">
        <v>3000</v>
      </c>
      <c r="Y38" s="12">
        <v>3000</v>
      </c>
      <c r="Z38" s="12">
        <v>3000</v>
      </c>
      <c r="AA38" s="12">
        <v>3000</v>
      </c>
      <c r="AB38" s="12">
        <v>3000</v>
      </c>
      <c r="AC38" s="12">
        <v>3000</v>
      </c>
      <c r="AD38" s="12">
        <v>3000</v>
      </c>
      <c r="AE38" s="12">
        <v>3000</v>
      </c>
      <c r="AF38" s="12">
        <v>3000</v>
      </c>
      <c r="AG38" s="12">
        <v>3000</v>
      </c>
      <c r="AH38" s="12">
        <v>3000</v>
      </c>
      <c r="AI38" s="61">
        <v>3000</v>
      </c>
    </row>
    <row r="39" spans="1:36" x14ac:dyDescent="0.2">
      <c r="A39" s="23" t="s">
        <v>97</v>
      </c>
      <c r="B39" s="72"/>
      <c r="C39" s="72"/>
      <c r="D39" s="72"/>
      <c r="E39" s="72"/>
      <c r="F39" s="90">
        <v>10000</v>
      </c>
      <c r="G39" s="12">
        <v>10000</v>
      </c>
      <c r="H39" s="12">
        <v>10000</v>
      </c>
      <c r="I39" s="12">
        <v>10000</v>
      </c>
      <c r="J39" s="12">
        <v>10000</v>
      </c>
      <c r="K39" s="12">
        <v>10000</v>
      </c>
      <c r="L39" s="12">
        <v>10000</v>
      </c>
      <c r="M39" s="12">
        <v>10000</v>
      </c>
      <c r="N39" s="12">
        <v>10000</v>
      </c>
      <c r="O39" s="12">
        <v>10000</v>
      </c>
      <c r="P39" s="12">
        <v>10000</v>
      </c>
      <c r="Q39" s="12">
        <v>10000</v>
      </c>
      <c r="R39" s="12">
        <v>10000</v>
      </c>
      <c r="S39" s="12">
        <v>10000</v>
      </c>
      <c r="T39" s="12">
        <v>10000</v>
      </c>
      <c r="U39" s="12">
        <v>10000</v>
      </c>
      <c r="V39" s="12">
        <v>10000</v>
      </c>
      <c r="W39" s="12">
        <v>10000</v>
      </c>
      <c r="X39" s="12">
        <v>10000</v>
      </c>
      <c r="Y39" s="12">
        <v>10000</v>
      </c>
      <c r="Z39" s="12">
        <v>10000</v>
      </c>
      <c r="AA39" s="12">
        <v>10000</v>
      </c>
      <c r="AB39" s="12">
        <v>10000</v>
      </c>
      <c r="AC39" s="12">
        <v>10000</v>
      </c>
      <c r="AD39" s="12">
        <v>10000</v>
      </c>
      <c r="AE39" s="12">
        <v>10000</v>
      </c>
      <c r="AF39" s="12">
        <v>10000</v>
      </c>
      <c r="AG39" s="12">
        <v>10000</v>
      </c>
      <c r="AH39" s="12">
        <v>10000</v>
      </c>
      <c r="AI39" s="61">
        <v>10000</v>
      </c>
    </row>
    <row r="40" spans="1:36" x14ac:dyDescent="0.2">
      <c r="A40" s="23" t="s">
        <v>44</v>
      </c>
      <c r="B40" s="72"/>
      <c r="C40" s="72" t="s">
        <v>30</v>
      </c>
      <c r="D40" s="101">
        <v>1.6E-2</v>
      </c>
      <c r="E40" s="72"/>
      <c r="F40" s="90">
        <f>F12*$D40</f>
        <v>5544</v>
      </c>
      <c r="G40" s="12">
        <f>G12*$D40</f>
        <v>3168</v>
      </c>
      <c r="H40" s="12">
        <f t="shared" ref="H40:AI41" si="18">H12*$D40</f>
        <v>3168</v>
      </c>
      <c r="I40" s="12">
        <f t="shared" si="18"/>
        <v>3168</v>
      </c>
      <c r="J40" s="12">
        <f t="shared" si="18"/>
        <v>3168</v>
      </c>
      <c r="K40" s="12">
        <f>K12*$D40</f>
        <v>3168</v>
      </c>
      <c r="L40" s="12">
        <f t="shared" si="18"/>
        <v>3168</v>
      </c>
      <c r="M40" s="12">
        <f t="shared" si="18"/>
        <v>3168</v>
      </c>
      <c r="N40" s="12">
        <f t="shared" si="18"/>
        <v>3168</v>
      </c>
      <c r="O40" s="12">
        <f t="shared" si="18"/>
        <v>3168</v>
      </c>
      <c r="P40" s="12">
        <f t="shared" si="18"/>
        <v>3168</v>
      </c>
      <c r="Q40" s="12">
        <f t="shared" si="18"/>
        <v>3168</v>
      </c>
      <c r="R40" s="12">
        <f t="shared" si="18"/>
        <v>3168</v>
      </c>
      <c r="S40" s="12">
        <f t="shared" si="18"/>
        <v>3168</v>
      </c>
      <c r="T40" s="12">
        <f t="shared" si="18"/>
        <v>3168</v>
      </c>
      <c r="U40" s="12">
        <f t="shared" si="18"/>
        <v>3168</v>
      </c>
      <c r="V40" s="12">
        <f t="shared" si="18"/>
        <v>3168</v>
      </c>
      <c r="W40" s="12">
        <f t="shared" si="18"/>
        <v>3168</v>
      </c>
      <c r="X40" s="12">
        <f t="shared" si="18"/>
        <v>3168</v>
      </c>
      <c r="Y40" s="12">
        <f t="shared" si="18"/>
        <v>3168</v>
      </c>
      <c r="Z40" s="12">
        <f t="shared" si="18"/>
        <v>3168</v>
      </c>
      <c r="AA40" s="12">
        <f t="shared" si="18"/>
        <v>3168</v>
      </c>
      <c r="AB40" s="12">
        <f t="shared" si="18"/>
        <v>3168</v>
      </c>
      <c r="AC40" s="12">
        <f t="shared" si="18"/>
        <v>3168</v>
      </c>
      <c r="AD40" s="12">
        <f t="shared" si="18"/>
        <v>3168</v>
      </c>
      <c r="AE40" s="12">
        <f t="shared" si="18"/>
        <v>3168</v>
      </c>
      <c r="AF40" s="12">
        <f t="shared" si="18"/>
        <v>3168</v>
      </c>
      <c r="AG40" s="12">
        <f t="shared" si="18"/>
        <v>3168</v>
      </c>
      <c r="AH40" s="12">
        <f t="shared" si="18"/>
        <v>3168</v>
      </c>
      <c r="AI40" s="61">
        <f t="shared" si="18"/>
        <v>3168</v>
      </c>
    </row>
    <row r="41" spans="1:36" x14ac:dyDescent="0.2">
      <c r="A41" s="23" t="s">
        <v>31</v>
      </c>
      <c r="B41" s="72"/>
      <c r="C41" s="72" t="s">
        <v>30</v>
      </c>
      <c r="D41" s="101">
        <v>5.1999999999999998E-3</v>
      </c>
      <c r="E41" s="72"/>
      <c r="F41" s="90">
        <f>F13*$D41</f>
        <v>3658.2</v>
      </c>
      <c r="G41" s="12">
        <f>G13*$D41</f>
        <v>2090.4</v>
      </c>
      <c r="H41" s="12">
        <f t="shared" si="18"/>
        <v>2090.4</v>
      </c>
      <c r="I41" s="12">
        <f t="shared" si="18"/>
        <v>2090.4</v>
      </c>
      <c r="J41" s="12">
        <f t="shared" si="18"/>
        <v>2090.4</v>
      </c>
      <c r="K41" s="12">
        <f t="shared" si="18"/>
        <v>2090.4</v>
      </c>
      <c r="L41" s="12">
        <f t="shared" si="18"/>
        <v>2090.4</v>
      </c>
      <c r="M41" s="12">
        <f t="shared" si="18"/>
        <v>2090.4</v>
      </c>
      <c r="N41" s="12">
        <f t="shared" si="18"/>
        <v>2090.4</v>
      </c>
      <c r="O41" s="12">
        <f t="shared" si="18"/>
        <v>2090.4</v>
      </c>
      <c r="P41" s="12">
        <f t="shared" si="18"/>
        <v>2090.4</v>
      </c>
      <c r="Q41" s="12">
        <f t="shared" si="18"/>
        <v>2090.4</v>
      </c>
      <c r="R41" s="12">
        <f t="shared" si="18"/>
        <v>2090.4</v>
      </c>
      <c r="S41" s="12">
        <f t="shared" si="18"/>
        <v>2090.4</v>
      </c>
      <c r="T41" s="12">
        <f t="shared" si="18"/>
        <v>2090.4</v>
      </c>
      <c r="U41" s="12">
        <f t="shared" si="18"/>
        <v>2090.4</v>
      </c>
      <c r="V41" s="12">
        <f t="shared" si="18"/>
        <v>2090.4</v>
      </c>
      <c r="W41" s="12">
        <f t="shared" si="18"/>
        <v>2090.4</v>
      </c>
      <c r="X41" s="12">
        <f t="shared" si="18"/>
        <v>2090.4</v>
      </c>
      <c r="Y41" s="12">
        <f t="shared" si="18"/>
        <v>2090.4</v>
      </c>
      <c r="Z41" s="12">
        <f t="shared" si="18"/>
        <v>2090.4</v>
      </c>
      <c r="AA41" s="12">
        <f t="shared" si="18"/>
        <v>2090.4</v>
      </c>
      <c r="AB41" s="12">
        <f t="shared" si="18"/>
        <v>2090.4</v>
      </c>
      <c r="AC41" s="12">
        <f t="shared" si="18"/>
        <v>2090.4</v>
      </c>
      <c r="AD41" s="12">
        <f t="shared" si="18"/>
        <v>2090.4</v>
      </c>
      <c r="AE41" s="12">
        <f t="shared" si="18"/>
        <v>2090.4</v>
      </c>
      <c r="AF41" s="12">
        <f t="shared" si="18"/>
        <v>2090.4</v>
      </c>
      <c r="AG41" s="12">
        <f t="shared" si="18"/>
        <v>2090.4</v>
      </c>
      <c r="AH41" s="12">
        <f t="shared" si="18"/>
        <v>2090.4</v>
      </c>
      <c r="AI41" s="61">
        <f t="shared" si="18"/>
        <v>2090.4</v>
      </c>
    </row>
    <row r="42" spans="1:36" x14ac:dyDescent="0.2">
      <c r="A42" s="23" t="s">
        <v>91</v>
      </c>
      <c r="B42" s="72"/>
      <c r="C42" s="72"/>
      <c r="D42" s="72"/>
      <c r="E42" s="72"/>
      <c r="F42" s="90">
        <v>7000</v>
      </c>
      <c r="G42" s="12">
        <v>7000</v>
      </c>
      <c r="H42" s="12">
        <v>7000</v>
      </c>
      <c r="I42" s="12">
        <v>7000</v>
      </c>
      <c r="J42" s="12">
        <v>7000</v>
      </c>
      <c r="K42" s="12">
        <v>7000</v>
      </c>
      <c r="L42" s="12">
        <v>7000</v>
      </c>
      <c r="M42" s="12">
        <v>7000</v>
      </c>
      <c r="N42" s="12">
        <v>7000</v>
      </c>
      <c r="O42" s="12">
        <v>7000</v>
      </c>
      <c r="P42" s="12">
        <v>7000</v>
      </c>
      <c r="Q42" s="12">
        <v>7000</v>
      </c>
      <c r="R42" s="12">
        <v>7000</v>
      </c>
      <c r="S42" s="12">
        <v>7000</v>
      </c>
      <c r="T42" s="12">
        <v>7000</v>
      </c>
      <c r="U42" s="12">
        <v>7000</v>
      </c>
      <c r="V42" s="12">
        <v>7000</v>
      </c>
      <c r="W42" s="12">
        <v>7000</v>
      </c>
      <c r="X42" s="12">
        <v>7000</v>
      </c>
      <c r="Y42" s="12">
        <v>7000</v>
      </c>
      <c r="Z42" s="12">
        <v>7000</v>
      </c>
      <c r="AA42" s="12">
        <v>7000</v>
      </c>
      <c r="AB42" s="12">
        <v>7000</v>
      </c>
      <c r="AC42" s="12">
        <v>7000</v>
      </c>
      <c r="AD42" s="12">
        <v>7000</v>
      </c>
      <c r="AE42" s="12">
        <v>7000</v>
      </c>
      <c r="AF42" s="12">
        <v>7000</v>
      </c>
      <c r="AG42" s="12">
        <v>7000</v>
      </c>
      <c r="AH42" s="12">
        <v>7000</v>
      </c>
      <c r="AI42" s="61">
        <v>7000</v>
      </c>
    </row>
    <row r="43" spans="1:36" x14ac:dyDescent="0.2">
      <c r="A43" s="23" t="s">
        <v>32</v>
      </c>
      <c r="B43" s="72"/>
      <c r="C43" s="72"/>
      <c r="D43" s="72"/>
      <c r="E43" s="72"/>
      <c r="F43" s="90">
        <v>1000</v>
      </c>
      <c r="G43" s="12">
        <v>1000</v>
      </c>
      <c r="H43" s="12">
        <v>1000</v>
      </c>
      <c r="I43" s="12">
        <v>1000</v>
      </c>
      <c r="J43" s="12">
        <v>1000</v>
      </c>
      <c r="K43" s="12">
        <v>1000</v>
      </c>
      <c r="L43" s="12">
        <v>1000</v>
      </c>
      <c r="M43" s="12">
        <v>1000</v>
      </c>
      <c r="N43" s="12">
        <v>1000</v>
      </c>
      <c r="O43" s="12">
        <v>1000</v>
      </c>
      <c r="P43" s="12">
        <v>1000</v>
      </c>
      <c r="Q43" s="12">
        <v>1000</v>
      </c>
      <c r="R43" s="12">
        <v>1000</v>
      </c>
      <c r="S43" s="12">
        <v>1000</v>
      </c>
      <c r="T43" s="12">
        <v>1000</v>
      </c>
      <c r="U43" s="12">
        <v>1000</v>
      </c>
      <c r="V43" s="12">
        <v>1000</v>
      </c>
      <c r="W43" s="12">
        <v>1000</v>
      </c>
      <c r="X43" s="12">
        <v>1000</v>
      </c>
      <c r="Y43" s="12">
        <v>1000</v>
      </c>
      <c r="Z43" s="12">
        <v>1000</v>
      </c>
      <c r="AA43" s="12">
        <v>1000</v>
      </c>
      <c r="AB43" s="12">
        <v>1000</v>
      </c>
      <c r="AC43" s="12">
        <v>1000</v>
      </c>
      <c r="AD43" s="12">
        <v>1000</v>
      </c>
      <c r="AE43" s="12">
        <v>1000</v>
      </c>
      <c r="AF43" s="12">
        <v>1000</v>
      </c>
      <c r="AG43" s="12">
        <v>1000</v>
      </c>
      <c r="AH43" s="12">
        <v>1000</v>
      </c>
      <c r="AI43" s="61">
        <v>1000</v>
      </c>
    </row>
    <row r="44" spans="1:36" s="68" customFormat="1" hidden="1" x14ac:dyDescent="0.2">
      <c r="A44" s="67"/>
      <c r="B44" s="72"/>
      <c r="C44" s="72"/>
      <c r="D44" s="72"/>
      <c r="E44" s="72"/>
      <c r="F44" s="92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60">
        <v>0</v>
      </c>
    </row>
    <row r="45" spans="1:36" s="41" customFormat="1" x14ac:dyDescent="0.2">
      <c r="A45" s="102" t="s">
        <v>33</v>
      </c>
      <c r="B45" s="15"/>
      <c r="C45" s="15" t="s">
        <v>34</v>
      </c>
      <c r="D45" s="117"/>
      <c r="E45" s="15"/>
      <c r="F45" s="118">
        <v>18000</v>
      </c>
      <c r="G45" s="13">
        <v>18000</v>
      </c>
      <c r="H45" s="13">
        <v>18000</v>
      </c>
      <c r="I45" s="13">
        <v>18000</v>
      </c>
      <c r="J45" s="13">
        <v>18000</v>
      </c>
      <c r="K45" s="13">
        <v>18000</v>
      </c>
      <c r="L45" s="13">
        <v>18000</v>
      </c>
      <c r="M45" s="13">
        <v>18000</v>
      </c>
      <c r="N45" s="13">
        <v>18000</v>
      </c>
      <c r="O45" s="13">
        <v>18000</v>
      </c>
      <c r="P45" s="13">
        <v>18000</v>
      </c>
      <c r="Q45" s="13">
        <v>18000</v>
      </c>
      <c r="R45" s="13">
        <v>18000</v>
      </c>
      <c r="S45" s="13">
        <v>18000</v>
      </c>
      <c r="T45" s="13">
        <v>18000</v>
      </c>
      <c r="U45" s="13">
        <v>18000</v>
      </c>
      <c r="V45" s="13">
        <v>18000</v>
      </c>
      <c r="W45" s="13">
        <v>18000</v>
      </c>
      <c r="X45" s="13">
        <v>18000</v>
      </c>
      <c r="Y45" s="13">
        <v>18000</v>
      </c>
      <c r="Z45" s="13">
        <v>18000</v>
      </c>
      <c r="AA45" s="13">
        <v>18000</v>
      </c>
      <c r="AB45" s="13">
        <v>18000</v>
      </c>
      <c r="AC45" s="13">
        <v>18000</v>
      </c>
      <c r="AD45" s="13">
        <v>18000</v>
      </c>
      <c r="AE45" s="13">
        <v>18000</v>
      </c>
      <c r="AF45" s="13">
        <v>18000</v>
      </c>
      <c r="AG45" s="13">
        <v>18000</v>
      </c>
      <c r="AH45" s="13">
        <v>18000</v>
      </c>
      <c r="AI45" s="62">
        <v>18000</v>
      </c>
    </row>
    <row r="46" spans="1:36" hidden="1" x14ac:dyDescent="0.2">
      <c r="A46" s="23"/>
      <c r="B46" s="72"/>
      <c r="C46" s="72"/>
      <c r="D46" s="72"/>
      <c r="E46" s="72"/>
      <c r="F46" s="93">
        <v>0</v>
      </c>
      <c r="G46" s="46">
        <v>0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63"/>
    </row>
    <row r="47" spans="1:36" s="87" customFormat="1" hidden="1" x14ac:dyDescent="0.2">
      <c r="A47" s="84" t="s">
        <v>35</v>
      </c>
      <c r="B47" s="72"/>
      <c r="C47" s="72"/>
      <c r="D47" s="72"/>
      <c r="E47" s="72"/>
      <c r="F47" s="93">
        <v>0</v>
      </c>
      <c r="G47" s="46">
        <v>0</v>
      </c>
      <c r="H47" s="46">
        <v>0</v>
      </c>
      <c r="I47" s="46">
        <v>0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A47" s="46">
        <v>0</v>
      </c>
      <c r="AB47" s="46">
        <v>0</v>
      </c>
      <c r="AC47" s="46">
        <v>0</v>
      </c>
      <c r="AD47" s="46">
        <v>0</v>
      </c>
      <c r="AE47" s="46">
        <v>0</v>
      </c>
      <c r="AF47" s="46">
        <v>0</v>
      </c>
      <c r="AG47" s="46">
        <v>0</v>
      </c>
      <c r="AH47" s="46">
        <v>0</v>
      </c>
      <c r="AI47" s="63">
        <v>0</v>
      </c>
      <c r="AJ47" s="86"/>
    </row>
    <row r="48" spans="1:36" hidden="1" x14ac:dyDescent="0.2">
      <c r="A48" s="23"/>
      <c r="B48" s="72"/>
      <c r="C48" s="72"/>
      <c r="D48" s="72"/>
      <c r="E48" s="72"/>
      <c r="F48" s="94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64"/>
    </row>
    <row r="49" spans="1:35" s="116" customFormat="1" x14ac:dyDescent="0.2">
      <c r="A49" s="110" t="s">
        <v>53</v>
      </c>
      <c r="B49" s="111"/>
      <c r="C49" s="111"/>
      <c r="D49" s="112"/>
      <c r="E49" s="111">
        <v>0</v>
      </c>
      <c r="F49" s="113">
        <v>25000</v>
      </c>
      <c r="G49" s="114">
        <v>50000</v>
      </c>
      <c r="H49" s="114">
        <v>50000</v>
      </c>
      <c r="I49" s="114">
        <v>50000</v>
      </c>
      <c r="J49" s="114">
        <v>50000</v>
      </c>
      <c r="K49" s="114">
        <v>50000</v>
      </c>
      <c r="L49" s="114">
        <v>50000</v>
      </c>
      <c r="M49" s="114">
        <v>50000</v>
      </c>
      <c r="N49" s="114">
        <v>50000</v>
      </c>
      <c r="O49" s="114">
        <v>50000</v>
      </c>
      <c r="P49" s="114">
        <v>50000</v>
      </c>
      <c r="Q49" s="114">
        <v>50000</v>
      </c>
      <c r="R49" s="114">
        <v>50000</v>
      </c>
      <c r="S49" s="114">
        <v>50000</v>
      </c>
      <c r="T49" s="114">
        <v>50000</v>
      </c>
      <c r="U49" s="114">
        <v>50000</v>
      </c>
      <c r="V49" s="114">
        <v>50000</v>
      </c>
      <c r="W49" s="114">
        <v>50000</v>
      </c>
      <c r="X49" s="114">
        <v>50000</v>
      </c>
      <c r="Y49" s="114">
        <v>50000</v>
      </c>
      <c r="Z49" s="114">
        <v>50000</v>
      </c>
      <c r="AA49" s="114">
        <v>50000</v>
      </c>
      <c r="AB49" s="114">
        <v>50000</v>
      </c>
      <c r="AC49" s="114">
        <v>50000</v>
      </c>
      <c r="AD49" s="114">
        <v>50000</v>
      </c>
      <c r="AE49" s="114">
        <v>50000</v>
      </c>
      <c r="AF49" s="114">
        <v>50000</v>
      </c>
      <c r="AG49" s="114">
        <v>50000</v>
      </c>
      <c r="AH49" s="114">
        <v>50000</v>
      </c>
      <c r="AI49" s="115">
        <v>50000</v>
      </c>
    </row>
    <row r="50" spans="1:35" hidden="1" x14ac:dyDescent="0.2">
      <c r="A50" s="23"/>
      <c r="B50" s="24"/>
      <c r="C50" s="24"/>
      <c r="D50" s="24"/>
      <c r="E50" s="24"/>
      <c r="F50" s="95"/>
      <c r="G50" s="24"/>
      <c r="H50" s="24"/>
      <c r="I50" s="24"/>
      <c r="J50" s="15"/>
      <c r="K50" s="24"/>
      <c r="L50" s="24"/>
      <c r="M50" s="24"/>
      <c r="N50" s="24"/>
      <c r="O50" s="24"/>
      <c r="P50" s="24"/>
      <c r="Q50" s="24"/>
      <c r="R50" s="24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65"/>
    </row>
    <row r="51" spans="1:35" ht="13.5" thickBot="1" x14ac:dyDescent="0.25">
      <c r="A51" s="19" t="s">
        <v>37</v>
      </c>
      <c r="B51" s="20"/>
      <c r="C51" s="20"/>
      <c r="D51" s="20"/>
      <c r="E51" s="21">
        <f>E14-E18-E45-E47-E49</f>
        <v>0</v>
      </c>
      <c r="F51" s="88">
        <f>F14-F18-F45-F47-F49</f>
        <v>335261.8</v>
      </c>
      <c r="G51" s="21">
        <f>G14-G18-G45-G47-G49</f>
        <v>37365.599999999977</v>
      </c>
      <c r="H51" s="21">
        <f>H14-H18-H45-H47-H49</f>
        <v>37365.599999999977</v>
      </c>
      <c r="I51" s="21">
        <f t="shared" ref="I51:AI51" si="19">I14-I18-I45-I47-I49</f>
        <v>37365.599999999977</v>
      </c>
      <c r="J51" s="27">
        <f>J14-J18-J45-J47-J49</f>
        <v>37365.599999999977</v>
      </c>
      <c r="K51" s="21">
        <f>K14-K18-K45-K47-K49</f>
        <v>37365.599999999977</v>
      </c>
      <c r="L51" s="21">
        <f>L14-L18-L45-L47-L49</f>
        <v>37365.599999999977</v>
      </c>
      <c r="M51" s="21">
        <f>M14-M18-M45-M47-M49</f>
        <v>37365.599999999977</v>
      </c>
      <c r="N51" s="21">
        <f t="shared" si="19"/>
        <v>37365.599999999977</v>
      </c>
      <c r="O51" s="21">
        <f t="shared" si="19"/>
        <v>37365.599999999977</v>
      </c>
      <c r="P51" s="21">
        <f t="shared" si="19"/>
        <v>37365.599999999977</v>
      </c>
      <c r="Q51" s="21">
        <f>Q14-Q18-Q45-Q47-Q49</f>
        <v>37365.599999999977</v>
      </c>
      <c r="R51" s="21">
        <f t="shared" si="19"/>
        <v>37365.599999999977</v>
      </c>
      <c r="S51" s="27">
        <f t="shared" si="19"/>
        <v>37365.599999999977</v>
      </c>
      <c r="T51" s="27">
        <f t="shared" si="19"/>
        <v>37365.599999999977</v>
      </c>
      <c r="U51" s="27">
        <f t="shared" si="19"/>
        <v>37365.599999999977</v>
      </c>
      <c r="V51" s="27">
        <f t="shared" si="19"/>
        <v>37365.599999999977</v>
      </c>
      <c r="W51" s="27">
        <f t="shared" si="19"/>
        <v>37365.599999999977</v>
      </c>
      <c r="X51" s="27">
        <f t="shared" si="19"/>
        <v>37365.599999999977</v>
      </c>
      <c r="Y51" s="27">
        <f t="shared" si="19"/>
        <v>37365.599999999977</v>
      </c>
      <c r="Z51" s="27">
        <f t="shared" si="19"/>
        <v>37365.599999999977</v>
      </c>
      <c r="AA51" s="27">
        <f t="shared" si="19"/>
        <v>37365.599999999977</v>
      </c>
      <c r="AB51" s="27">
        <f t="shared" si="19"/>
        <v>37365.599999999977</v>
      </c>
      <c r="AC51" s="27">
        <f t="shared" si="19"/>
        <v>37365.599999999977</v>
      </c>
      <c r="AD51" s="27">
        <f t="shared" si="19"/>
        <v>37365.599999999977</v>
      </c>
      <c r="AE51" s="27">
        <f t="shared" si="19"/>
        <v>37365.599999999977</v>
      </c>
      <c r="AF51" s="27">
        <f t="shared" si="19"/>
        <v>37365.599999999977</v>
      </c>
      <c r="AG51" s="27">
        <f t="shared" si="19"/>
        <v>37365.599999999977</v>
      </c>
      <c r="AH51" s="27">
        <f t="shared" si="19"/>
        <v>37365.599999999977</v>
      </c>
      <c r="AI51" s="66">
        <f t="shared" si="19"/>
        <v>37365.599999999977</v>
      </c>
    </row>
    <row r="52" spans="1:35" ht="13.5" thickBot="1" x14ac:dyDescent="0.25">
      <c r="A52" s="31" t="s">
        <v>38</v>
      </c>
      <c r="B52" s="32"/>
      <c r="C52" s="32"/>
      <c r="D52" s="32"/>
      <c r="E52" s="33">
        <f t="shared" ref="E52:L52" si="20">E51+E21</f>
        <v>0</v>
      </c>
      <c r="F52" s="96">
        <f>F51+F21</f>
        <v>335261.8</v>
      </c>
      <c r="G52" s="33">
        <f t="shared" si="20"/>
        <v>37365.599999999977</v>
      </c>
      <c r="H52" s="33">
        <f t="shared" si="20"/>
        <v>37365.599999999977</v>
      </c>
      <c r="I52" s="33">
        <f t="shared" si="20"/>
        <v>37365.599999999977</v>
      </c>
      <c r="J52" s="35">
        <f>J51+J21</f>
        <v>37365.599999999977</v>
      </c>
      <c r="K52" s="33">
        <f>K51+K21</f>
        <v>37365.599999999977</v>
      </c>
      <c r="L52" s="33">
        <f t="shared" si="20"/>
        <v>37365.599999999977</v>
      </c>
      <c r="M52" s="33">
        <f>M51+M21</f>
        <v>37365.599999999977</v>
      </c>
      <c r="N52" s="33">
        <f t="shared" ref="N52:AI52" si="21">N51+N21</f>
        <v>37365.599999999977</v>
      </c>
      <c r="O52" s="33">
        <f t="shared" si="21"/>
        <v>37365.599999999977</v>
      </c>
      <c r="P52" s="33">
        <f t="shared" si="21"/>
        <v>37365.599999999977</v>
      </c>
      <c r="Q52" s="33">
        <f t="shared" si="21"/>
        <v>37365.599999999977</v>
      </c>
      <c r="R52" s="33">
        <f t="shared" si="21"/>
        <v>37365.599999999977</v>
      </c>
      <c r="S52" s="35">
        <f>S51+S21</f>
        <v>37365.599999999977</v>
      </c>
      <c r="T52" s="35">
        <f t="shared" si="21"/>
        <v>37365.599999999977</v>
      </c>
      <c r="U52" s="35">
        <f t="shared" si="21"/>
        <v>37365.599999999977</v>
      </c>
      <c r="V52" s="35">
        <f t="shared" si="21"/>
        <v>37365.599999999977</v>
      </c>
      <c r="W52" s="35">
        <f t="shared" si="21"/>
        <v>37365.599999999977</v>
      </c>
      <c r="X52" s="35">
        <f t="shared" si="21"/>
        <v>37365.599999999977</v>
      </c>
      <c r="Y52" s="35">
        <f t="shared" si="21"/>
        <v>37365.599999999977</v>
      </c>
      <c r="Z52" s="35">
        <f t="shared" si="21"/>
        <v>37365.599999999977</v>
      </c>
      <c r="AA52" s="35">
        <f t="shared" si="21"/>
        <v>37365.599999999977</v>
      </c>
      <c r="AB52" s="35">
        <f t="shared" si="21"/>
        <v>37365.599999999977</v>
      </c>
      <c r="AC52" s="35">
        <f t="shared" si="21"/>
        <v>37365.599999999977</v>
      </c>
      <c r="AD52" s="35">
        <f t="shared" si="21"/>
        <v>37365.599999999977</v>
      </c>
      <c r="AE52" s="35">
        <f t="shared" si="21"/>
        <v>37365.599999999977</v>
      </c>
      <c r="AF52" s="35">
        <f t="shared" si="21"/>
        <v>37365.599999999977</v>
      </c>
      <c r="AG52" s="35">
        <f t="shared" si="21"/>
        <v>37365.599999999977</v>
      </c>
      <c r="AH52" s="35">
        <f t="shared" si="21"/>
        <v>37365.599999999977</v>
      </c>
      <c r="AI52" s="69">
        <f t="shared" si="21"/>
        <v>37365.599999999977</v>
      </c>
    </row>
    <row r="53" spans="1:35" ht="13.5" thickBot="1" x14ac:dyDescent="0.25">
      <c r="A53" s="16" t="s">
        <v>48</v>
      </c>
      <c r="B53" s="17"/>
      <c r="C53" s="17"/>
      <c r="D53" s="17"/>
      <c r="E53" s="48">
        <f>IF(E52&lt;0,0,E52*0.5)</f>
        <v>0</v>
      </c>
      <c r="F53" s="70">
        <v>0</v>
      </c>
      <c r="G53" s="49">
        <v>0</v>
      </c>
      <c r="H53" s="49">
        <v>0</v>
      </c>
      <c r="I53" s="49">
        <v>0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49">
        <v>0</v>
      </c>
      <c r="Q53" s="49">
        <v>0</v>
      </c>
      <c r="R53" s="49">
        <v>0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49">
        <v>0</v>
      </c>
      <c r="AA53" s="49">
        <v>0</v>
      </c>
      <c r="AB53" s="49">
        <v>0</v>
      </c>
      <c r="AC53" s="49">
        <v>0</v>
      </c>
      <c r="AD53" s="49">
        <v>0</v>
      </c>
      <c r="AE53" s="49">
        <v>0</v>
      </c>
      <c r="AF53" s="49">
        <v>0</v>
      </c>
      <c r="AG53" s="49">
        <v>0</v>
      </c>
      <c r="AH53" s="49">
        <v>0</v>
      </c>
      <c r="AI53" s="70">
        <f t="shared" ref="AI53" si="22">IF(AI52&lt;0,0,AI52*0.5)</f>
        <v>18682.799999999988</v>
      </c>
    </row>
    <row r="54" spans="1:35" ht="26.25" customHeight="1" thickBot="1" x14ac:dyDescent="0.25">
      <c r="A54" s="36" t="s">
        <v>50</v>
      </c>
      <c r="B54" s="17"/>
      <c r="C54" s="17"/>
      <c r="D54" s="17"/>
      <c r="E54" s="18">
        <f t="shared" ref="E54:S54" si="23">SUM(E5:E5)*-1+E52-E53</f>
        <v>0</v>
      </c>
      <c r="F54" s="96">
        <f t="shared" si="23"/>
        <v>335261.8</v>
      </c>
      <c r="G54" s="33">
        <f t="shared" si="23"/>
        <v>37365.599999999977</v>
      </c>
      <c r="H54" s="33">
        <f t="shared" si="23"/>
        <v>37365.599999999977</v>
      </c>
      <c r="I54" s="33">
        <f t="shared" si="23"/>
        <v>37365.599999999977</v>
      </c>
      <c r="J54" s="35">
        <f t="shared" si="23"/>
        <v>37365.599999999977</v>
      </c>
      <c r="K54" s="33">
        <f t="shared" si="23"/>
        <v>37365.599999999977</v>
      </c>
      <c r="L54" s="33">
        <f t="shared" si="23"/>
        <v>37365.599999999977</v>
      </c>
      <c r="M54" s="33">
        <f t="shared" si="23"/>
        <v>37365.599999999977</v>
      </c>
      <c r="N54" s="33">
        <f>SUM(N5:N5)*-1+N52-N53</f>
        <v>37365.599999999977</v>
      </c>
      <c r="O54" s="33">
        <f t="shared" si="23"/>
        <v>37365.599999999977</v>
      </c>
      <c r="P54" s="33">
        <f t="shared" si="23"/>
        <v>37365.599999999977</v>
      </c>
      <c r="Q54" s="33">
        <f t="shared" si="23"/>
        <v>37365.599999999977</v>
      </c>
      <c r="R54" s="33">
        <f t="shared" si="23"/>
        <v>37365.599999999977</v>
      </c>
      <c r="S54" s="35">
        <f t="shared" si="23"/>
        <v>37365.599999999977</v>
      </c>
      <c r="T54" s="35">
        <f>SUM(T5:T5)*-1+T52-T53</f>
        <v>37365.599999999977</v>
      </c>
      <c r="U54" s="35">
        <f t="shared" ref="U54:AI54" si="24">SUM(U5:U5)*-1+U52-U53</f>
        <v>37365.599999999977</v>
      </c>
      <c r="V54" s="35">
        <f t="shared" si="24"/>
        <v>37365.599999999977</v>
      </c>
      <c r="W54" s="35">
        <f t="shared" si="24"/>
        <v>37365.599999999977</v>
      </c>
      <c r="X54" s="35">
        <f t="shared" si="24"/>
        <v>37365.599999999977</v>
      </c>
      <c r="Y54" s="35">
        <f t="shared" si="24"/>
        <v>37365.599999999977</v>
      </c>
      <c r="Z54" s="35">
        <f t="shared" si="24"/>
        <v>37365.599999999977</v>
      </c>
      <c r="AA54" s="35">
        <f t="shared" si="24"/>
        <v>37365.599999999977</v>
      </c>
      <c r="AB54" s="35">
        <f t="shared" si="24"/>
        <v>37365.599999999977</v>
      </c>
      <c r="AC54" s="35">
        <f t="shared" si="24"/>
        <v>37365.599999999977</v>
      </c>
      <c r="AD54" s="35">
        <f t="shared" si="24"/>
        <v>37365.599999999977</v>
      </c>
      <c r="AE54" s="35">
        <f t="shared" si="24"/>
        <v>37365.599999999977</v>
      </c>
      <c r="AF54" s="35">
        <f t="shared" si="24"/>
        <v>37365.599999999977</v>
      </c>
      <c r="AG54" s="35">
        <f t="shared" si="24"/>
        <v>37365.599999999977</v>
      </c>
      <c r="AH54" s="35">
        <f t="shared" si="24"/>
        <v>37365.599999999977</v>
      </c>
      <c r="AI54" s="69">
        <f t="shared" si="24"/>
        <v>18682.799999999988</v>
      </c>
    </row>
    <row r="55" spans="1:35" s="7" customFormat="1" ht="13.5" thickBot="1" x14ac:dyDescent="0.25">
      <c r="A55" s="34" t="s">
        <v>39</v>
      </c>
      <c r="B55" s="33"/>
      <c r="C55" s="33"/>
      <c r="D55" s="33"/>
      <c r="E55" s="33">
        <f>SUM($E54:E54)</f>
        <v>0</v>
      </c>
      <c r="F55" s="96">
        <f>SUM($E54:F54)</f>
        <v>335261.8</v>
      </c>
      <c r="G55" s="33">
        <f>SUM($E54:G54)</f>
        <v>372627.39999999997</v>
      </c>
      <c r="H55" s="33">
        <f>SUM($E54:H54)</f>
        <v>409992.99999999994</v>
      </c>
      <c r="I55" s="33">
        <f>SUM($E54:I54)</f>
        <v>447358.59999999992</v>
      </c>
      <c r="J55" s="35">
        <f>SUM($E54:J54)</f>
        <v>484724.1999999999</v>
      </c>
      <c r="K55" s="33">
        <f>SUM($E54:K54)</f>
        <v>522089.79999999987</v>
      </c>
      <c r="L55" s="33">
        <f>SUM($E54:L54)</f>
        <v>559455.39999999991</v>
      </c>
      <c r="M55" s="33">
        <f>SUM($E54:M54)</f>
        <v>596820.99999999988</v>
      </c>
      <c r="N55" s="33">
        <f>SUM($E54:N54)</f>
        <v>634186.59999999986</v>
      </c>
      <c r="O55" s="33">
        <f>SUM($E54:O54)</f>
        <v>671552.19999999984</v>
      </c>
      <c r="P55" s="33">
        <f>SUM($E54:P54)</f>
        <v>708917.79999999981</v>
      </c>
      <c r="Q55" s="33">
        <f>SUM($E54:Q54)</f>
        <v>746283.39999999979</v>
      </c>
      <c r="R55" s="33">
        <f>SUM($E54:R54)</f>
        <v>783648.99999999977</v>
      </c>
      <c r="S55" s="33">
        <f>SUM($E54:S54)</f>
        <v>821014.59999999974</v>
      </c>
      <c r="T55" s="33">
        <f>SUM($E54:T54)</f>
        <v>858380.19999999972</v>
      </c>
      <c r="U55" s="33">
        <f>SUM($E54:U54)</f>
        <v>895745.7999999997</v>
      </c>
      <c r="V55" s="33">
        <f>SUM($E54:V54)</f>
        <v>933111.39999999967</v>
      </c>
      <c r="W55" s="33">
        <f>SUM($E54:W54)</f>
        <v>970476.99999999965</v>
      </c>
      <c r="X55" s="33">
        <f>SUM($E54:X54)</f>
        <v>1007842.5999999996</v>
      </c>
      <c r="Y55" s="33">
        <f>SUM($E54:Y54)</f>
        <v>1045208.1999999996</v>
      </c>
      <c r="Z55" s="33">
        <f>SUM($E54:Z54)</f>
        <v>1082573.7999999996</v>
      </c>
      <c r="AA55" s="33">
        <f>SUM($E54:AA54)</f>
        <v>1119939.3999999994</v>
      </c>
      <c r="AB55" s="33">
        <f>SUM($E54:AB54)</f>
        <v>1157304.9999999995</v>
      </c>
      <c r="AC55" s="33">
        <f>SUM($E54:AC54)</f>
        <v>1194670.5999999996</v>
      </c>
      <c r="AD55" s="33">
        <f>SUM($E54:AD54)</f>
        <v>1232036.1999999997</v>
      </c>
      <c r="AE55" s="33">
        <f>SUM($E54:AE54)</f>
        <v>1269401.7999999998</v>
      </c>
      <c r="AF55" s="33">
        <f>SUM($E54:AF54)</f>
        <v>1306767.3999999999</v>
      </c>
      <c r="AG55" s="33">
        <f>SUM($E54:AG54)</f>
        <v>1344133</v>
      </c>
      <c r="AH55" s="33">
        <f>SUM($E54:AH54)</f>
        <v>1381498.6</v>
      </c>
      <c r="AI55" s="71">
        <f>SUM($E54:AI54)</f>
        <v>1400181.4000000001</v>
      </c>
    </row>
    <row r="56" spans="1:35" x14ac:dyDescent="0.2">
      <c r="A56" s="37" t="s">
        <v>40</v>
      </c>
      <c r="B56" s="37"/>
      <c r="C56" s="37"/>
      <c r="D56" s="37"/>
      <c r="E56" s="38">
        <f>R55/R54*-1+12</f>
        <v>-8.9724720063373873</v>
      </c>
      <c r="F56" s="37" t="s">
        <v>41</v>
      </c>
      <c r="G56" s="3"/>
      <c r="H56" s="1"/>
      <c r="I56" s="1"/>
      <c r="J56" s="8"/>
      <c r="K56" s="1"/>
      <c r="L56" s="1"/>
      <c r="M56" s="1"/>
      <c r="N56" s="1"/>
      <c r="O56" s="1"/>
      <c r="P56" s="55"/>
      <c r="Q56" s="1"/>
      <c r="R56" s="1"/>
      <c r="S56" s="2"/>
      <c r="T56" s="4"/>
      <c r="U56" s="4"/>
    </row>
    <row r="57" spans="1:35" ht="0.75" customHeight="1" x14ac:dyDescent="0.2">
      <c r="A57" s="37" t="s">
        <v>42</v>
      </c>
      <c r="B57" s="37"/>
      <c r="C57" s="37"/>
      <c r="D57" s="37"/>
      <c r="E57" s="38" t="e">
        <f>((Y54*12)/(E5+F5)*100)</f>
        <v>#DIV/0!</v>
      </c>
      <c r="F57" s="39" t="s">
        <v>0</v>
      </c>
      <c r="G57" s="1"/>
      <c r="H57" s="5"/>
      <c r="I57" s="5"/>
      <c r="J57" s="8"/>
      <c r="K57" s="1"/>
      <c r="L57" s="1"/>
      <c r="M57" s="1"/>
      <c r="N57" s="1"/>
      <c r="O57" s="1"/>
      <c r="P57" s="55"/>
      <c r="Q57" s="1"/>
      <c r="R57" s="1"/>
      <c r="S57" s="2"/>
      <c r="T57" s="4"/>
      <c r="U57" s="4"/>
    </row>
    <row r="58" spans="1:35" s="10" customFormat="1" ht="12" x14ac:dyDescent="0.2">
      <c r="F58" s="106" t="s">
        <v>92</v>
      </c>
      <c r="G58" s="10" t="s">
        <v>88</v>
      </c>
      <c r="H58" s="10" t="s">
        <v>87</v>
      </c>
      <c r="P58" s="56"/>
    </row>
    <row r="59" spans="1:35" s="9" customFormat="1" ht="12" x14ac:dyDescent="0.2">
      <c r="E59" s="74" t="s">
        <v>84</v>
      </c>
      <c r="F59" s="107">
        <v>1800</v>
      </c>
      <c r="G59" s="107">
        <v>1</v>
      </c>
      <c r="H59" s="107">
        <f>F59*30*G59</f>
        <v>54000</v>
      </c>
      <c r="P59" s="57"/>
    </row>
    <row r="60" spans="1:35" s="9" customFormat="1" ht="12" x14ac:dyDescent="0.2">
      <c r="E60" s="74" t="s">
        <v>85</v>
      </c>
      <c r="F60" s="107">
        <v>1800</v>
      </c>
      <c r="G60" s="107">
        <v>1</v>
      </c>
      <c r="H60" s="107">
        <f t="shared" ref="H60" si="25">F60*30*G60</f>
        <v>54000</v>
      </c>
      <c r="P60" s="57"/>
    </row>
    <row r="61" spans="1:35" s="9" customFormat="1" ht="12" x14ac:dyDescent="0.2">
      <c r="E61" s="74" t="s">
        <v>86</v>
      </c>
      <c r="F61" s="107">
        <v>23000</v>
      </c>
      <c r="G61" s="107">
        <v>2</v>
      </c>
      <c r="H61" s="107">
        <f>F61*G61</f>
        <v>46000</v>
      </c>
      <c r="P61" s="57"/>
    </row>
    <row r="62" spans="1:35" s="9" customFormat="1" ht="12" x14ac:dyDescent="0.2">
      <c r="E62" s="74"/>
      <c r="F62" s="11"/>
      <c r="H62" s="11">
        <f>SUM(H59:H61)</f>
        <v>154000</v>
      </c>
      <c r="P62" s="57"/>
    </row>
    <row r="63" spans="1:35" s="9" customFormat="1" ht="12" x14ac:dyDescent="0.2">
      <c r="F63" s="11"/>
      <c r="G63" s="109" t="s">
        <v>90</v>
      </c>
      <c r="H63" s="108" t="s">
        <v>87</v>
      </c>
      <c r="P63" s="57"/>
    </row>
    <row r="64" spans="1:35" s="9" customFormat="1" ht="12" x14ac:dyDescent="0.2">
      <c r="F64" s="11" t="s">
        <v>89</v>
      </c>
      <c r="G64" s="107">
        <v>12000</v>
      </c>
      <c r="H64" s="107">
        <f>G64*(G61+G60+G59)*30.2%</f>
        <v>14496</v>
      </c>
      <c r="P64" s="57"/>
    </row>
    <row r="65" spans="6:16" s="9" customFormat="1" ht="12" x14ac:dyDescent="0.2">
      <c r="F65" s="11"/>
      <c r="P65" s="57"/>
    </row>
    <row r="66" spans="6:16" s="9" customFormat="1" ht="12" x14ac:dyDescent="0.2">
      <c r="F66" s="11"/>
      <c r="P66" s="57"/>
    </row>
    <row r="67" spans="6:16" s="9" customFormat="1" ht="12" x14ac:dyDescent="0.2">
      <c r="F67" s="11"/>
      <c r="P67" s="57"/>
    </row>
    <row r="68" spans="6:16" s="9" customFormat="1" ht="12" x14ac:dyDescent="0.2">
      <c r="F68" s="11"/>
      <c r="P68" s="57"/>
    </row>
    <row r="69" spans="6:16" s="9" customFormat="1" ht="12" x14ac:dyDescent="0.2">
      <c r="F69" s="11"/>
      <c r="P69" s="57"/>
    </row>
    <row r="70" spans="6:16" s="9" customFormat="1" ht="12" x14ac:dyDescent="0.2">
      <c r="F70" s="11"/>
      <c r="P70" s="57"/>
    </row>
    <row r="71" spans="6:16" s="9" customFormat="1" ht="12" x14ac:dyDescent="0.2">
      <c r="F71" s="11"/>
      <c r="P71" s="57"/>
    </row>
    <row r="72" spans="6:16" s="9" customFormat="1" ht="12" x14ac:dyDescent="0.2">
      <c r="F72" s="11"/>
      <c r="P72" s="57"/>
    </row>
    <row r="73" spans="6:16" s="9" customFormat="1" ht="12" x14ac:dyDescent="0.2">
      <c r="F73" s="11"/>
      <c r="P73" s="57"/>
    </row>
    <row r="74" spans="6:16" s="9" customFormat="1" ht="12" x14ac:dyDescent="0.2">
      <c r="F74" s="11"/>
      <c r="P74" s="57"/>
    </row>
    <row r="75" spans="6:16" s="9" customFormat="1" ht="12" x14ac:dyDescent="0.2">
      <c r="F75" s="11"/>
      <c r="P75" s="57"/>
    </row>
    <row r="76" spans="6:16" s="9" customFormat="1" ht="12" x14ac:dyDescent="0.2">
      <c r="F76" s="11"/>
      <c r="P76" s="57"/>
    </row>
    <row r="77" spans="6:16" s="9" customFormat="1" ht="12" x14ac:dyDescent="0.2">
      <c r="F77" s="11"/>
      <c r="P77" s="57"/>
    </row>
    <row r="78" spans="6:16" s="9" customFormat="1" ht="12" x14ac:dyDescent="0.2">
      <c r="F78" s="11"/>
      <c r="P78" s="57"/>
    </row>
    <row r="79" spans="6:16" s="9" customFormat="1" ht="12" x14ac:dyDescent="0.2">
      <c r="F79" s="11"/>
      <c r="P79" s="57"/>
    </row>
    <row r="80" spans="6:16" s="9" customFormat="1" ht="12" x14ac:dyDescent="0.2">
      <c r="F80" s="11"/>
      <c r="P80" s="57"/>
    </row>
    <row r="81" spans="6:16" s="9" customFormat="1" ht="12" x14ac:dyDescent="0.2">
      <c r="F81" s="11"/>
      <c r="P81" s="57"/>
    </row>
    <row r="82" spans="6:16" s="9" customFormat="1" ht="12" x14ac:dyDescent="0.2">
      <c r="F82" s="11"/>
      <c r="P82" s="57"/>
    </row>
    <row r="83" spans="6:16" s="9" customFormat="1" ht="12" x14ac:dyDescent="0.2">
      <c r="F83" s="11"/>
      <c r="P83" s="57"/>
    </row>
    <row r="84" spans="6:16" s="9" customFormat="1" ht="12" x14ac:dyDescent="0.2">
      <c r="F84" s="11"/>
      <c r="P84" s="57"/>
    </row>
    <row r="85" spans="6:16" s="9" customFormat="1" ht="12" x14ac:dyDescent="0.2">
      <c r="F85" s="11"/>
      <c r="P85" s="57"/>
    </row>
    <row r="86" spans="6:16" s="9" customFormat="1" ht="12" x14ac:dyDescent="0.2">
      <c r="F86" s="11"/>
      <c r="P86" s="57"/>
    </row>
    <row r="87" spans="6:16" s="9" customFormat="1" ht="12" x14ac:dyDescent="0.2">
      <c r="F87" s="11"/>
      <c r="P87" s="57"/>
    </row>
    <row r="88" spans="6:16" s="9" customFormat="1" ht="12" x14ac:dyDescent="0.2">
      <c r="F88" s="11"/>
      <c r="P88" s="57"/>
    </row>
    <row r="89" spans="6:16" s="9" customFormat="1" ht="12" x14ac:dyDescent="0.2">
      <c r="F89" s="11"/>
      <c r="P89" s="57"/>
    </row>
    <row r="90" spans="6:16" s="9" customFormat="1" ht="12" x14ac:dyDescent="0.2">
      <c r="F90" s="11"/>
      <c r="P90" s="57"/>
    </row>
    <row r="91" spans="6:16" s="9" customFormat="1" ht="12" x14ac:dyDescent="0.2">
      <c r="F91" s="11"/>
      <c r="P91" s="57"/>
    </row>
    <row r="92" spans="6:16" s="9" customFormat="1" ht="12" x14ac:dyDescent="0.2">
      <c r="F92" s="11"/>
      <c r="P92" s="57"/>
    </row>
    <row r="93" spans="6:16" s="9" customFormat="1" ht="12" x14ac:dyDescent="0.2">
      <c r="F93" s="11"/>
      <c r="P93" s="57"/>
    </row>
    <row r="94" spans="6:16" s="9" customFormat="1" ht="12" x14ac:dyDescent="0.2">
      <c r="F94" s="11"/>
      <c r="P94" s="57"/>
    </row>
    <row r="95" spans="6:16" s="9" customFormat="1" ht="12" x14ac:dyDescent="0.2">
      <c r="F95" s="11"/>
      <c r="P95" s="57"/>
    </row>
    <row r="96" spans="6:16" s="9" customFormat="1" ht="12" x14ac:dyDescent="0.2">
      <c r="F96" s="11"/>
      <c r="P96" s="57"/>
    </row>
    <row r="97" spans="6:16" s="9" customFormat="1" ht="12" x14ac:dyDescent="0.2">
      <c r="F97" s="11"/>
      <c r="P97" s="57"/>
    </row>
    <row r="98" spans="6:16" s="9" customFormat="1" ht="12" x14ac:dyDescent="0.2">
      <c r="F98" s="11"/>
      <c r="P98" s="57"/>
    </row>
    <row r="99" spans="6:16" s="9" customFormat="1" ht="12" x14ac:dyDescent="0.2">
      <c r="F99" s="11"/>
      <c r="P99" s="57"/>
    </row>
    <row r="100" spans="6:16" s="9" customFormat="1" ht="12" x14ac:dyDescent="0.2">
      <c r="F100" s="11"/>
      <c r="P100" s="57"/>
    </row>
    <row r="101" spans="6:16" s="9" customFormat="1" ht="12" x14ac:dyDescent="0.2">
      <c r="F101" s="11"/>
      <c r="P101" s="57"/>
    </row>
    <row r="102" spans="6:16" s="9" customFormat="1" ht="12" x14ac:dyDescent="0.2">
      <c r="F102" s="11"/>
      <c r="P102" s="57"/>
    </row>
    <row r="103" spans="6:16" s="9" customFormat="1" ht="12" x14ac:dyDescent="0.2">
      <c r="F103" s="11"/>
      <c r="P103" s="57"/>
    </row>
    <row r="104" spans="6:16" s="9" customFormat="1" ht="12" x14ac:dyDescent="0.2">
      <c r="F104" s="11"/>
      <c r="P104" s="57"/>
    </row>
    <row r="105" spans="6:16" s="9" customFormat="1" ht="12" x14ac:dyDescent="0.2">
      <c r="F105" s="11"/>
      <c r="P105" s="57"/>
    </row>
    <row r="106" spans="6:16" s="9" customFormat="1" ht="12" x14ac:dyDescent="0.2">
      <c r="F106" s="11"/>
      <c r="P106" s="57"/>
    </row>
    <row r="107" spans="6:16" s="9" customFormat="1" ht="12" x14ac:dyDescent="0.2">
      <c r="F107" s="11"/>
      <c r="P107" s="57"/>
    </row>
    <row r="108" spans="6:16" s="9" customFormat="1" ht="12" x14ac:dyDescent="0.2">
      <c r="F108" s="11"/>
      <c r="P108" s="57"/>
    </row>
    <row r="109" spans="6:16" s="9" customFormat="1" ht="12" x14ac:dyDescent="0.2">
      <c r="F109" s="11"/>
      <c r="P109" s="57"/>
    </row>
    <row r="110" spans="6:16" s="9" customFormat="1" ht="12" x14ac:dyDescent="0.2">
      <c r="F110" s="11"/>
      <c r="P110" s="57"/>
    </row>
    <row r="111" spans="6:16" s="9" customFormat="1" ht="12" x14ac:dyDescent="0.2">
      <c r="F111" s="11"/>
      <c r="P111" s="57"/>
    </row>
    <row r="112" spans="6:16" s="9" customFormat="1" ht="12" x14ac:dyDescent="0.2">
      <c r="F112" s="11"/>
      <c r="P112" s="57"/>
    </row>
    <row r="113" spans="6:16" s="9" customFormat="1" ht="12" x14ac:dyDescent="0.2">
      <c r="F113" s="11"/>
      <c r="P113" s="57"/>
    </row>
    <row r="114" spans="6:16" s="9" customFormat="1" ht="12" x14ac:dyDescent="0.2">
      <c r="F114" s="11"/>
      <c r="P114" s="57"/>
    </row>
    <row r="115" spans="6:16" s="9" customFormat="1" ht="12" x14ac:dyDescent="0.2">
      <c r="F115" s="11"/>
      <c r="P115" s="57"/>
    </row>
    <row r="116" spans="6:16" s="9" customFormat="1" ht="12" x14ac:dyDescent="0.2">
      <c r="F116" s="11"/>
      <c r="P116" s="57"/>
    </row>
    <row r="117" spans="6:16" s="9" customFormat="1" ht="12" x14ac:dyDescent="0.2">
      <c r="F117" s="11"/>
      <c r="P117" s="57"/>
    </row>
    <row r="118" spans="6:16" s="9" customFormat="1" ht="12" x14ac:dyDescent="0.2">
      <c r="F118" s="11"/>
      <c r="P118" s="57"/>
    </row>
    <row r="119" spans="6:16" s="9" customFormat="1" ht="12" x14ac:dyDescent="0.2">
      <c r="F119" s="11"/>
      <c r="P119" s="57"/>
    </row>
    <row r="120" spans="6:16" s="9" customFormat="1" ht="12" x14ac:dyDescent="0.2">
      <c r="F120" s="11"/>
      <c r="P120" s="57"/>
    </row>
    <row r="121" spans="6:16" s="9" customFormat="1" ht="12" x14ac:dyDescent="0.2">
      <c r="F121" s="11"/>
      <c r="P121" s="57"/>
    </row>
    <row r="122" spans="6:16" s="9" customFormat="1" ht="12" x14ac:dyDescent="0.2">
      <c r="F122" s="11"/>
      <c r="P122" s="57"/>
    </row>
    <row r="123" spans="6:16" s="9" customFormat="1" ht="12" x14ac:dyDescent="0.2">
      <c r="F123" s="11"/>
      <c r="P123" s="57"/>
    </row>
    <row r="124" spans="6:16" s="9" customFormat="1" ht="12" x14ac:dyDescent="0.2">
      <c r="F124" s="11"/>
      <c r="P124" s="57"/>
    </row>
    <row r="125" spans="6:16" s="9" customFormat="1" ht="12" x14ac:dyDescent="0.2">
      <c r="F125" s="11"/>
      <c r="P125" s="57"/>
    </row>
    <row r="126" spans="6:16" s="9" customFormat="1" ht="12" x14ac:dyDescent="0.2">
      <c r="F126" s="11"/>
      <c r="P126" s="57"/>
    </row>
    <row r="127" spans="6:16" s="9" customFormat="1" ht="12" x14ac:dyDescent="0.2">
      <c r="F127" s="11"/>
      <c r="P127" s="57"/>
    </row>
    <row r="128" spans="6:16" s="9" customFormat="1" ht="12" x14ac:dyDescent="0.2">
      <c r="F128" s="11"/>
      <c r="P128" s="57"/>
    </row>
    <row r="129" spans="6:16" s="9" customFormat="1" ht="12" x14ac:dyDescent="0.2">
      <c r="F129" s="11"/>
      <c r="P129" s="57"/>
    </row>
    <row r="130" spans="6:16" s="9" customFormat="1" ht="12" x14ac:dyDescent="0.2">
      <c r="F130" s="11"/>
      <c r="P130" s="57"/>
    </row>
    <row r="131" spans="6:16" s="9" customFormat="1" ht="12" x14ac:dyDescent="0.2">
      <c r="F131" s="11"/>
      <c r="P131" s="57"/>
    </row>
    <row r="132" spans="6:16" s="9" customFormat="1" ht="12" x14ac:dyDescent="0.2">
      <c r="F132" s="11"/>
      <c r="P132" s="57"/>
    </row>
    <row r="133" spans="6:16" s="9" customFormat="1" ht="12" x14ac:dyDescent="0.2">
      <c r="F133" s="11"/>
      <c r="P133" s="57"/>
    </row>
    <row r="134" spans="6:16" s="9" customFormat="1" ht="12" x14ac:dyDescent="0.2">
      <c r="F134" s="11"/>
      <c r="P134" s="57"/>
    </row>
    <row r="135" spans="6:16" s="9" customFormat="1" ht="12" x14ac:dyDescent="0.2">
      <c r="F135" s="11"/>
      <c r="P135" s="57"/>
    </row>
    <row r="136" spans="6:16" s="9" customFormat="1" ht="12" x14ac:dyDescent="0.2">
      <c r="F136" s="11"/>
      <c r="P136" s="57"/>
    </row>
    <row r="137" spans="6:16" s="9" customFormat="1" ht="12" x14ac:dyDescent="0.2">
      <c r="F137" s="11"/>
      <c r="P137" s="57"/>
    </row>
    <row r="138" spans="6:16" s="9" customFormat="1" ht="12" x14ac:dyDescent="0.2">
      <c r="F138" s="11"/>
      <c r="P138" s="57"/>
    </row>
    <row r="139" spans="6:16" s="9" customFormat="1" ht="12" x14ac:dyDescent="0.2">
      <c r="F139" s="11"/>
      <c r="P139" s="57"/>
    </row>
    <row r="140" spans="6:16" s="9" customFormat="1" ht="12" x14ac:dyDescent="0.2">
      <c r="F140" s="11"/>
      <c r="P140" s="57"/>
    </row>
    <row r="141" spans="6:16" s="9" customFormat="1" ht="12" x14ac:dyDescent="0.2">
      <c r="F141" s="11"/>
      <c r="P141" s="57"/>
    </row>
    <row r="142" spans="6:16" s="9" customFormat="1" ht="12" x14ac:dyDescent="0.2">
      <c r="F142" s="11"/>
      <c r="P142" s="57"/>
    </row>
    <row r="143" spans="6:16" s="9" customFormat="1" ht="12" x14ac:dyDescent="0.2">
      <c r="F143" s="11"/>
      <c r="P143" s="57"/>
    </row>
    <row r="144" spans="6:16" s="9" customFormat="1" ht="12" x14ac:dyDescent="0.2">
      <c r="F144" s="11"/>
      <c r="P144" s="57"/>
    </row>
    <row r="145" spans="6:16" s="9" customFormat="1" ht="12" x14ac:dyDescent="0.2">
      <c r="F145" s="11"/>
      <c r="P145" s="57"/>
    </row>
    <row r="146" spans="6:16" s="9" customFormat="1" ht="12" x14ac:dyDescent="0.2">
      <c r="F146" s="11"/>
      <c r="P146" s="57"/>
    </row>
    <row r="147" spans="6:16" s="9" customFormat="1" ht="12" x14ac:dyDescent="0.2">
      <c r="F147" s="11"/>
      <c r="P147" s="57"/>
    </row>
    <row r="148" spans="6:16" s="9" customFormat="1" ht="12" x14ac:dyDescent="0.2">
      <c r="F148" s="11"/>
      <c r="P148" s="57"/>
    </row>
    <row r="149" spans="6:16" s="9" customFormat="1" ht="12" x14ac:dyDescent="0.2">
      <c r="F149" s="11"/>
      <c r="P149" s="57"/>
    </row>
    <row r="150" spans="6:16" s="9" customFormat="1" ht="12" x14ac:dyDescent="0.2">
      <c r="F150" s="11"/>
      <c r="P150" s="57"/>
    </row>
    <row r="151" spans="6:16" s="9" customFormat="1" ht="12" x14ac:dyDescent="0.2">
      <c r="F151" s="11"/>
      <c r="P151" s="57"/>
    </row>
    <row r="152" spans="6:16" s="9" customFormat="1" ht="12" x14ac:dyDescent="0.2">
      <c r="F152" s="11"/>
      <c r="P152" s="57"/>
    </row>
    <row r="153" spans="6:16" s="9" customFormat="1" ht="12" x14ac:dyDescent="0.2">
      <c r="F153" s="11"/>
      <c r="P153" s="57"/>
    </row>
    <row r="154" spans="6:16" s="9" customFormat="1" ht="12" x14ac:dyDescent="0.2">
      <c r="F154" s="11"/>
      <c r="P154" s="57"/>
    </row>
    <row r="155" spans="6:16" s="9" customFormat="1" ht="12" x14ac:dyDescent="0.2">
      <c r="F155" s="11"/>
      <c r="P155" s="57"/>
    </row>
    <row r="156" spans="6:16" s="9" customFormat="1" ht="12" x14ac:dyDescent="0.2">
      <c r="F156" s="11"/>
      <c r="P156" s="57"/>
    </row>
    <row r="157" spans="6:16" s="9" customFormat="1" ht="12" x14ac:dyDescent="0.2">
      <c r="F157" s="11"/>
      <c r="P157" s="57"/>
    </row>
    <row r="158" spans="6:16" s="9" customFormat="1" ht="12" x14ac:dyDescent="0.2">
      <c r="F158" s="11"/>
      <c r="P158" s="57"/>
    </row>
    <row r="159" spans="6:16" s="9" customFormat="1" ht="12" x14ac:dyDescent="0.2">
      <c r="F159" s="11"/>
      <c r="P159" s="57"/>
    </row>
    <row r="160" spans="6:16" s="9" customFormat="1" ht="12" x14ac:dyDescent="0.2">
      <c r="F160" s="11"/>
      <c r="P160" s="57"/>
    </row>
    <row r="161" spans="6:16" s="9" customFormat="1" ht="12" x14ac:dyDescent="0.2">
      <c r="F161" s="11"/>
      <c r="P161" s="57"/>
    </row>
    <row r="162" spans="6:16" s="9" customFormat="1" ht="12" x14ac:dyDescent="0.2">
      <c r="F162" s="11"/>
      <c r="P162" s="57"/>
    </row>
    <row r="163" spans="6:16" s="9" customFormat="1" ht="12" x14ac:dyDescent="0.2">
      <c r="F163" s="11"/>
      <c r="P163" s="57"/>
    </row>
    <row r="164" spans="6:16" s="9" customFormat="1" ht="12" x14ac:dyDescent="0.2">
      <c r="F164" s="11"/>
      <c r="P164" s="57"/>
    </row>
    <row r="165" spans="6:16" s="9" customFormat="1" ht="12" x14ac:dyDescent="0.2">
      <c r="F165" s="11"/>
      <c r="P165" s="57"/>
    </row>
    <row r="166" spans="6:16" s="9" customFormat="1" ht="12" x14ac:dyDescent="0.2">
      <c r="F166" s="11"/>
      <c r="P166" s="57"/>
    </row>
    <row r="167" spans="6:16" s="9" customFormat="1" ht="12" x14ac:dyDescent="0.2">
      <c r="P167" s="57"/>
    </row>
    <row r="168" spans="6:16" s="9" customFormat="1" ht="12" x14ac:dyDescent="0.2">
      <c r="P168" s="57"/>
    </row>
    <row r="169" spans="6:16" s="9" customFormat="1" ht="12" x14ac:dyDescent="0.2">
      <c r="P169" s="57"/>
    </row>
    <row r="170" spans="6:16" s="9" customFormat="1" ht="12" x14ac:dyDescent="0.2">
      <c r="P170" s="57"/>
    </row>
    <row r="171" spans="6:16" s="9" customFormat="1" ht="12" x14ac:dyDescent="0.2">
      <c r="P171" s="57"/>
    </row>
    <row r="172" spans="6:16" s="9" customFormat="1" ht="12" x14ac:dyDescent="0.2">
      <c r="P172" s="57"/>
    </row>
    <row r="173" spans="6:16" s="9" customFormat="1" ht="12" x14ac:dyDescent="0.2">
      <c r="P173" s="57"/>
    </row>
    <row r="174" spans="6:16" s="9" customFormat="1" ht="12" x14ac:dyDescent="0.2">
      <c r="P174" s="57"/>
    </row>
    <row r="175" spans="6:16" s="9" customFormat="1" ht="12" x14ac:dyDescent="0.2">
      <c r="P175" s="57"/>
    </row>
    <row r="176" spans="6:16" s="9" customFormat="1" ht="12" x14ac:dyDescent="0.2">
      <c r="P176" s="57"/>
    </row>
  </sheetData>
  <mergeCells count="3">
    <mergeCell ref="A1:E1"/>
    <mergeCell ref="A2:F2"/>
    <mergeCell ref="A3:F3"/>
  </mergeCells>
  <conditionalFormatting sqref="E55:AI55">
    <cfRule type="cellIs" dxfId="12" priority="1" operator="greaterThan">
      <formula>0</formula>
    </cfRule>
  </conditionalFormatting>
  <pageMargins left="0.15748031496062992" right="0.15748031496062992" top="0.21" bottom="0.31" header="0.2" footer="0.23"/>
  <pageSetup paperSize="9" scale="3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182"/>
  <sheetViews>
    <sheetView zoomScaleNormal="100" workbookViewId="0">
      <selection activeCell="H26" sqref="H26"/>
    </sheetView>
  </sheetViews>
  <sheetFormatPr defaultRowHeight="12.75" outlineLevelRow="2" x14ac:dyDescent="0.2"/>
  <cols>
    <col min="1" max="1" width="30.7109375" style="494" customWidth="1"/>
    <col min="2" max="2" width="8" style="494" customWidth="1"/>
    <col min="3" max="3" width="7.85546875" style="494" customWidth="1"/>
    <col min="4" max="4" width="8.28515625" style="494" customWidth="1"/>
    <col min="5" max="5" width="10" style="494" customWidth="1"/>
    <col min="6" max="6" width="9.85546875" style="494" customWidth="1"/>
    <col min="7" max="25" width="9.140625" style="494" customWidth="1"/>
    <col min="26" max="35" width="8.28515625" style="494" customWidth="1"/>
    <col min="36" max="16384" width="9.140625" style="494"/>
  </cols>
  <sheetData>
    <row r="1" spans="1:35" x14ac:dyDescent="0.2">
      <c r="A1" s="668" t="s">
        <v>45</v>
      </c>
      <c r="B1" s="668"/>
      <c r="C1" s="668"/>
      <c r="D1" s="668"/>
      <c r="E1" s="668"/>
      <c r="F1" s="505">
        <f>F8/F15</f>
        <v>2.7273929332255933</v>
      </c>
      <c r="G1" s="505">
        <f t="shared" ref="G1:AI1" si="0">G8/G15</f>
        <v>2.7273929332255933</v>
      </c>
      <c r="H1" s="505">
        <f t="shared" si="0"/>
        <v>2.7273929332255933</v>
      </c>
      <c r="I1" s="505">
        <f t="shared" si="0"/>
        <v>2.7273929332255933</v>
      </c>
      <c r="J1" s="505">
        <f t="shared" si="0"/>
        <v>2.7273929332255933</v>
      </c>
      <c r="K1" s="505">
        <f>K8/K15</f>
        <v>2.7273929332255933</v>
      </c>
      <c r="L1" s="505">
        <f t="shared" si="0"/>
        <v>2.7273929332255933</v>
      </c>
      <c r="M1" s="505">
        <f t="shared" si="0"/>
        <v>2.7273929332255933</v>
      </c>
      <c r="N1" s="505">
        <f t="shared" si="0"/>
        <v>2.7273929332255933</v>
      </c>
      <c r="O1" s="505">
        <f t="shared" si="0"/>
        <v>2.7273929332255933</v>
      </c>
      <c r="P1" s="505">
        <f t="shared" si="0"/>
        <v>2.7273929332255933</v>
      </c>
      <c r="Q1" s="505">
        <f t="shared" si="0"/>
        <v>2.7273929332255933</v>
      </c>
      <c r="R1" s="505">
        <f t="shared" si="0"/>
        <v>2.7273929332255933</v>
      </c>
      <c r="S1" s="505">
        <f t="shared" si="0"/>
        <v>2.7273929332255933</v>
      </c>
      <c r="T1" s="505">
        <f t="shared" si="0"/>
        <v>2.7273929332255933</v>
      </c>
      <c r="U1" s="505">
        <f t="shared" si="0"/>
        <v>2.7273929332255933</v>
      </c>
      <c r="V1" s="505">
        <f t="shared" si="0"/>
        <v>2.7273929332255933</v>
      </c>
      <c r="W1" s="505">
        <f t="shared" si="0"/>
        <v>2.7273929332255933</v>
      </c>
      <c r="X1" s="505">
        <f t="shared" si="0"/>
        <v>2.7273929332255933</v>
      </c>
      <c r="Y1" s="505">
        <f t="shared" si="0"/>
        <v>2.7273929332255933</v>
      </c>
      <c r="Z1" s="505">
        <f t="shared" si="0"/>
        <v>2.7273929332255933</v>
      </c>
      <c r="AA1" s="505">
        <f t="shared" si="0"/>
        <v>2.7273929332255933</v>
      </c>
      <c r="AB1" s="505">
        <f t="shared" si="0"/>
        <v>2.7273929332255933</v>
      </c>
      <c r="AC1" s="505">
        <f t="shared" si="0"/>
        <v>2.7273929332255933</v>
      </c>
      <c r="AD1" s="505">
        <f t="shared" si="0"/>
        <v>2.7273929332255933</v>
      </c>
      <c r="AE1" s="505">
        <f t="shared" si="0"/>
        <v>2.7273929332255933</v>
      </c>
      <c r="AF1" s="505">
        <f t="shared" si="0"/>
        <v>2.7273929332255933</v>
      </c>
      <c r="AG1" s="505">
        <f t="shared" si="0"/>
        <v>2.7273929332255933</v>
      </c>
      <c r="AH1" s="505">
        <f t="shared" si="0"/>
        <v>2.7273929332255933</v>
      </c>
      <c r="AI1" s="505">
        <f t="shared" si="0"/>
        <v>2.7273929332255933</v>
      </c>
    </row>
    <row r="2" spans="1:35" x14ac:dyDescent="0.2">
      <c r="A2" s="506"/>
      <c r="B2" s="506"/>
      <c r="C2" s="506"/>
      <c r="D2" s="506"/>
      <c r="E2" s="507" t="s">
        <v>46</v>
      </c>
      <c r="F2" s="508">
        <f>F10/F16</f>
        <v>3.12</v>
      </c>
      <c r="G2" s="508">
        <f t="shared" ref="G2:AI2" si="1">G10/G16</f>
        <v>3.12</v>
      </c>
      <c r="H2" s="508">
        <f t="shared" si="1"/>
        <v>3.12</v>
      </c>
      <c r="I2" s="508">
        <f t="shared" si="1"/>
        <v>3.12</v>
      </c>
      <c r="J2" s="508">
        <f t="shared" si="1"/>
        <v>3.12</v>
      </c>
      <c r="K2" s="508">
        <f t="shared" si="1"/>
        <v>3.12</v>
      </c>
      <c r="L2" s="508">
        <f t="shared" si="1"/>
        <v>3.12</v>
      </c>
      <c r="M2" s="508">
        <f t="shared" si="1"/>
        <v>3.12</v>
      </c>
      <c r="N2" s="508">
        <f t="shared" si="1"/>
        <v>3.12</v>
      </c>
      <c r="O2" s="508">
        <f t="shared" si="1"/>
        <v>3.12</v>
      </c>
      <c r="P2" s="508">
        <f t="shared" si="1"/>
        <v>3.12</v>
      </c>
      <c r="Q2" s="508">
        <f t="shared" si="1"/>
        <v>3.12</v>
      </c>
      <c r="R2" s="508">
        <f t="shared" si="1"/>
        <v>3.12</v>
      </c>
      <c r="S2" s="508">
        <f t="shared" si="1"/>
        <v>3.12</v>
      </c>
      <c r="T2" s="508">
        <f t="shared" si="1"/>
        <v>3.12</v>
      </c>
      <c r="U2" s="508">
        <f t="shared" si="1"/>
        <v>3.12</v>
      </c>
      <c r="V2" s="508">
        <f t="shared" si="1"/>
        <v>3.12</v>
      </c>
      <c r="W2" s="508">
        <f t="shared" si="1"/>
        <v>3.12</v>
      </c>
      <c r="X2" s="508">
        <f t="shared" si="1"/>
        <v>3.12</v>
      </c>
      <c r="Y2" s="508">
        <f t="shared" si="1"/>
        <v>3.12</v>
      </c>
      <c r="Z2" s="508">
        <f t="shared" si="1"/>
        <v>3.12</v>
      </c>
      <c r="AA2" s="508">
        <f t="shared" si="1"/>
        <v>3.12</v>
      </c>
      <c r="AB2" s="508">
        <f t="shared" si="1"/>
        <v>3.12</v>
      </c>
      <c r="AC2" s="508">
        <f t="shared" si="1"/>
        <v>3.12</v>
      </c>
      <c r="AD2" s="508">
        <f t="shared" si="1"/>
        <v>3.12</v>
      </c>
      <c r="AE2" s="508">
        <f t="shared" si="1"/>
        <v>3.12</v>
      </c>
      <c r="AF2" s="508">
        <f t="shared" si="1"/>
        <v>3.12</v>
      </c>
      <c r="AG2" s="508">
        <f t="shared" si="1"/>
        <v>3.12</v>
      </c>
      <c r="AH2" s="508">
        <f t="shared" si="1"/>
        <v>3.12</v>
      </c>
      <c r="AI2" s="508">
        <f t="shared" si="1"/>
        <v>3.12</v>
      </c>
    </row>
    <row r="3" spans="1:35" x14ac:dyDescent="0.2">
      <c r="A3" s="507"/>
      <c r="B3" s="507"/>
      <c r="C3" s="507"/>
      <c r="D3" s="507"/>
      <c r="E3" s="507" t="s">
        <v>141</v>
      </c>
      <c r="F3" s="509">
        <f>IFERROR(F11/F17,0)</f>
        <v>2.1</v>
      </c>
      <c r="G3" s="509">
        <f t="shared" ref="G3:AI3" si="2">IFERROR(G11/G17,0)</f>
        <v>2.1</v>
      </c>
      <c r="H3" s="509">
        <f t="shared" si="2"/>
        <v>2.1</v>
      </c>
      <c r="I3" s="509">
        <f t="shared" si="2"/>
        <v>2.1</v>
      </c>
      <c r="J3" s="509">
        <f t="shared" si="2"/>
        <v>2.1</v>
      </c>
      <c r="K3" s="509">
        <f t="shared" si="2"/>
        <v>2.1</v>
      </c>
      <c r="L3" s="509">
        <f t="shared" si="2"/>
        <v>2.1</v>
      </c>
      <c r="M3" s="509">
        <f t="shared" si="2"/>
        <v>2.1</v>
      </c>
      <c r="N3" s="509">
        <f t="shared" si="2"/>
        <v>2.1</v>
      </c>
      <c r="O3" s="509">
        <f t="shared" si="2"/>
        <v>2.1</v>
      </c>
      <c r="P3" s="509">
        <f t="shared" si="2"/>
        <v>2.1</v>
      </c>
      <c r="Q3" s="509">
        <f t="shared" si="2"/>
        <v>2.1</v>
      </c>
      <c r="R3" s="509">
        <f t="shared" si="2"/>
        <v>2.1</v>
      </c>
      <c r="S3" s="509">
        <f t="shared" si="2"/>
        <v>2.1</v>
      </c>
      <c r="T3" s="509">
        <f t="shared" si="2"/>
        <v>2.1</v>
      </c>
      <c r="U3" s="509">
        <f t="shared" si="2"/>
        <v>2.1</v>
      </c>
      <c r="V3" s="509">
        <f t="shared" si="2"/>
        <v>2.1</v>
      </c>
      <c r="W3" s="509">
        <f t="shared" si="2"/>
        <v>2.1</v>
      </c>
      <c r="X3" s="509">
        <f t="shared" si="2"/>
        <v>2.1</v>
      </c>
      <c r="Y3" s="509">
        <f t="shared" si="2"/>
        <v>2.1</v>
      </c>
      <c r="Z3" s="509">
        <f t="shared" si="2"/>
        <v>2.1</v>
      </c>
      <c r="AA3" s="509">
        <f t="shared" si="2"/>
        <v>2.1</v>
      </c>
      <c r="AB3" s="509">
        <f t="shared" si="2"/>
        <v>2.1</v>
      </c>
      <c r="AC3" s="509">
        <f t="shared" si="2"/>
        <v>2.1</v>
      </c>
      <c r="AD3" s="509">
        <f t="shared" si="2"/>
        <v>2.1</v>
      </c>
      <c r="AE3" s="509">
        <f t="shared" si="2"/>
        <v>2.1</v>
      </c>
      <c r="AF3" s="509">
        <f t="shared" si="2"/>
        <v>2.1</v>
      </c>
      <c r="AG3" s="509">
        <f t="shared" si="2"/>
        <v>2.1</v>
      </c>
      <c r="AH3" s="509">
        <f t="shared" si="2"/>
        <v>2.1</v>
      </c>
      <c r="AI3" s="509">
        <f t="shared" si="2"/>
        <v>2.1</v>
      </c>
    </row>
    <row r="4" spans="1:35" x14ac:dyDescent="0.2">
      <c r="A4" s="506"/>
      <c r="B4" s="506"/>
      <c r="C4" s="506"/>
      <c r="D4" s="506"/>
      <c r="E4" s="507" t="s">
        <v>47</v>
      </c>
      <c r="F4" s="508">
        <f>F12/F18</f>
        <v>1.7</v>
      </c>
      <c r="G4" s="508">
        <f t="shared" ref="G4:AI4" si="3">G12/G18</f>
        <v>1.7</v>
      </c>
      <c r="H4" s="508">
        <f t="shared" si="3"/>
        <v>1.7</v>
      </c>
      <c r="I4" s="508">
        <f t="shared" si="3"/>
        <v>1.7</v>
      </c>
      <c r="J4" s="508">
        <f t="shared" si="3"/>
        <v>1.7</v>
      </c>
      <c r="K4" s="508">
        <f t="shared" si="3"/>
        <v>1.7</v>
      </c>
      <c r="L4" s="508">
        <f t="shared" si="3"/>
        <v>1.7</v>
      </c>
      <c r="M4" s="508">
        <f t="shared" si="3"/>
        <v>1.7</v>
      </c>
      <c r="N4" s="508">
        <f t="shared" si="3"/>
        <v>1.7</v>
      </c>
      <c r="O4" s="508">
        <f t="shared" si="3"/>
        <v>1.7</v>
      </c>
      <c r="P4" s="508">
        <f t="shared" si="3"/>
        <v>1.7</v>
      </c>
      <c r="Q4" s="508">
        <f t="shared" si="3"/>
        <v>1.7</v>
      </c>
      <c r="R4" s="508">
        <f t="shared" si="3"/>
        <v>1.7</v>
      </c>
      <c r="S4" s="508">
        <f t="shared" si="3"/>
        <v>1.7</v>
      </c>
      <c r="T4" s="508">
        <f t="shared" si="3"/>
        <v>1.7</v>
      </c>
      <c r="U4" s="508">
        <f t="shared" si="3"/>
        <v>1.7</v>
      </c>
      <c r="V4" s="508">
        <f t="shared" si="3"/>
        <v>1.7</v>
      </c>
      <c r="W4" s="508">
        <f t="shared" si="3"/>
        <v>1.7</v>
      </c>
      <c r="X4" s="508">
        <f t="shared" si="3"/>
        <v>1.7</v>
      </c>
      <c r="Y4" s="508">
        <f t="shared" si="3"/>
        <v>1.7</v>
      </c>
      <c r="Z4" s="508">
        <f t="shared" si="3"/>
        <v>1.7</v>
      </c>
      <c r="AA4" s="508">
        <f t="shared" si="3"/>
        <v>1.7</v>
      </c>
      <c r="AB4" s="508">
        <f t="shared" si="3"/>
        <v>1.7</v>
      </c>
      <c r="AC4" s="508">
        <f t="shared" si="3"/>
        <v>1.7</v>
      </c>
      <c r="AD4" s="508">
        <f t="shared" si="3"/>
        <v>1.7</v>
      </c>
      <c r="AE4" s="508">
        <f t="shared" si="3"/>
        <v>1.7</v>
      </c>
      <c r="AF4" s="508">
        <f t="shared" si="3"/>
        <v>1.7</v>
      </c>
      <c r="AG4" s="508">
        <f t="shared" si="3"/>
        <v>1.7</v>
      </c>
      <c r="AH4" s="508">
        <f t="shared" si="3"/>
        <v>1.7</v>
      </c>
      <c r="AI4" s="508">
        <f t="shared" si="3"/>
        <v>1.7</v>
      </c>
    </row>
    <row r="5" spans="1:35" ht="14.25" customHeight="1" x14ac:dyDescent="0.3">
      <c r="A5" s="510" t="s">
        <v>126</v>
      </c>
      <c r="B5" s="511"/>
      <c r="C5" s="502">
        <f>цех!L105</f>
        <v>231046.12578306397</v>
      </c>
      <c r="D5" s="511"/>
      <c r="E5" s="512"/>
      <c r="F5" s="513" t="s">
        <v>73</v>
      </c>
      <c r="G5" s="513" t="s">
        <v>74</v>
      </c>
      <c r="H5" s="513" t="s">
        <v>75</v>
      </c>
      <c r="I5" s="513" t="s">
        <v>76</v>
      </c>
      <c r="J5" s="513" t="s">
        <v>66</v>
      </c>
      <c r="K5" s="513" t="s">
        <v>63</v>
      </c>
      <c r="L5" s="513" t="s">
        <v>67</v>
      </c>
      <c r="M5" s="513" t="s">
        <v>68</v>
      </c>
      <c r="N5" s="513" t="s">
        <v>69</v>
      </c>
      <c r="O5" s="513" t="s">
        <v>70</v>
      </c>
      <c r="P5" s="513" t="s">
        <v>71</v>
      </c>
      <c r="Q5" s="513" t="s">
        <v>72</v>
      </c>
      <c r="R5" s="513" t="s">
        <v>73</v>
      </c>
      <c r="S5" s="513" t="s">
        <v>74</v>
      </c>
      <c r="T5" s="513" t="s">
        <v>75</v>
      </c>
      <c r="U5" s="513" t="s">
        <v>76</v>
      </c>
      <c r="V5" s="513" t="s">
        <v>66</v>
      </c>
      <c r="W5" s="513" t="s">
        <v>63</v>
      </c>
      <c r="X5" s="513" t="s">
        <v>67</v>
      </c>
      <c r="Y5" s="513" t="s">
        <v>68</v>
      </c>
      <c r="Z5" s="513" t="s">
        <v>69</v>
      </c>
      <c r="AA5" s="513" t="s">
        <v>70</v>
      </c>
      <c r="AB5" s="513" t="s">
        <v>71</v>
      </c>
      <c r="AC5" s="513" t="s">
        <v>72</v>
      </c>
      <c r="AD5" s="513" t="s">
        <v>73</v>
      </c>
      <c r="AE5" s="513" t="s">
        <v>74</v>
      </c>
      <c r="AF5" s="513" t="s">
        <v>75</v>
      </c>
      <c r="AG5" s="513" t="s">
        <v>76</v>
      </c>
      <c r="AH5" s="513" t="s">
        <v>66</v>
      </c>
      <c r="AI5" s="513" t="s">
        <v>63</v>
      </c>
    </row>
    <row r="6" spans="1:35" ht="15" x14ac:dyDescent="0.25">
      <c r="A6" s="512"/>
      <c r="B6" s="511"/>
      <c r="C6" s="511"/>
      <c r="D6" s="507" t="s">
        <v>43</v>
      </c>
      <c r="E6" s="503">
        <v>0</v>
      </c>
      <c r="F6" s="503">
        <v>0</v>
      </c>
      <c r="G6" s="502"/>
      <c r="H6" s="502"/>
      <c r="I6" s="502"/>
      <c r="J6" s="502"/>
      <c r="K6" s="502"/>
      <c r="L6" s="502"/>
      <c r="M6" s="502"/>
      <c r="N6" s="502"/>
      <c r="O6" s="502"/>
      <c r="P6" s="502"/>
      <c r="Q6" s="502"/>
      <c r="R6" s="502"/>
      <c r="S6" s="511"/>
      <c r="T6" s="511"/>
      <c r="U6" s="511"/>
    </row>
    <row r="7" spans="1:35" x14ac:dyDescent="0.2">
      <c r="A7" s="512" t="s">
        <v>1</v>
      </c>
      <c r="B7" s="512"/>
      <c r="C7" s="512"/>
      <c r="D7" s="512"/>
      <c r="E7" s="512"/>
      <c r="F7" s="514">
        <f>цех!$E$76</f>
        <v>20000</v>
      </c>
      <c r="G7" s="514">
        <f>цех!$E$76</f>
        <v>20000</v>
      </c>
      <c r="H7" s="514">
        <f>цех!$E$76</f>
        <v>20000</v>
      </c>
      <c r="I7" s="514">
        <f>цех!$E$76</f>
        <v>20000</v>
      </c>
      <c r="J7" s="514">
        <f>цех!$E$76</f>
        <v>20000</v>
      </c>
      <c r="K7" s="514">
        <f>цех!$E$76</f>
        <v>20000</v>
      </c>
      <c r="L7" s="514">
        <f>цех!$E$76</f>
        <v>20000</v>
      </c>
      <c r="M7" s="514">
        <f>цех!$E$76</f>
        <v>20000</v>
      </c>
      <c r="N7" s="514">
        <f>цех!$E$76</f>
        <v>20000</v>
      </c>
      <c r="O7" s="514">
        <f>цех!$E$76</f>
        <v>20000</v>
      </c>
      <c r="P7" s="514">
        <f>цех!$E$76</f>
        <v>20000</v>
      </c>
      <c r="Q7" s="514">
        <f>цех!$E$76</f>
        <v>20000</v>
      </c>
      <c r="R7" s="514">
        <f>цех!$E$76</f>
        <v>20000</v>
      </c>
      <c r="S7" s="514">
        <f>цех!$E$76</f>
        <v>20000</v>
      </c>
      <c r="T7" s="514">
        <f>цех!$E$76</f>
        <v>20000</v>
      </c>
      <c r="U7" s="514">
        <f>цех!$E$76</f>
        <v>20000</v>
      </c>
      <c r="V7" s="514">
        <f>цех!$E$76</f>
        <v>20000</v>
      </c>
      <c r="W7" s="514">
        <f>цех!$E$76</f>
        <v>20000</v>
      </c>
      <c r="X7" s="514">
        <f>цех!$E$76</f>
        <v>20000</v>
      </c>
      <c r="Y7" s="514">
        <f>цех!$E$76</f>
        <v>20000</v>
      </c>
      <c r="Z7" s="514">
        <f>цех!$E$76</f>
        <v>20000</v>
      </c>
      <c r="AA7" s="514">
        <f>цех!$E$76</f>
        <v>20000</v>
      </c>
      <c r="AB7" s="514">
        <f>цех!$E$76</f>
        <v>20000</v>
      </c>
      <c r="AC7" s="514">
        <f>цех!$E$76</f>
        <v>20000</v>
      </c>
      <c r="AD7" s="514">
        <f>цех!$E$76</f>
        <v>20000</v>
      </c>
      <c r="AE7" s="514">
        <f>цех!$E$76</f>
        <v>20000</v>
      </c>
      <c r="AF7" s="514">
        <f>цех!$E$76</f>
        <v>20000</v>
      </c>
      <c r="AG7" s="514">
        <f>цех!$E$76</f>
        <v>20000</v>
      </c>
      <c r="AH7" s="514">
        <f>цех!$E$76</f>
        <v>20000</v>
      </c>
      <c r="AI7" s="514">
        <f>цех!$E$76</f>
        <v>20000</v>
      </c>
    </row>
    <row r="8" spans="1:35" x14ac:dyDescent="0.2">
      <c r="A8" s="512" t="s">
        <v>2</v>
      </c>
      <c r="B8" s="512"/>
      <c r="C8" s="512"/>
      <c r="D8" s="512"/>
      <c r="E8" s="512"/>
      <c r="F8" s="514">
        <f t="shared" ref="F8:AI8" si="4">F7*30</f>
        <v>600000</v>
      </c>
      <c r="G8" s="514">
        <f t="shared" si="4"/>
        <v>600000</v>
      </c>
      <c r="H8" s="514">
        <f t="shared" si="4"/>
        <v>600000</v>
      </c>
      <c r="I8" s="514">
        <f t="shared" si="4"/>
        <v>600000</v>
      </c>
      <c r="J8" s="514">
        <f t="shared" si="4"/>
        <v>600000</v>
      </c>
      <c r="K8" s="514">
        <f t="shared" si="4"/>
        <v>600000</v>
      </c>
      <c r="L8" s="514">
        <f t="shared" si="4"/>
        <v>600000</v>
      </c>
      <c r="M8" s="514">
        <f t="shared" si="4"/>
        <v>600000</v>
      </c>
      <c r="N8" s="514">
        <f t="shared" si="4"/>
        <v>600000</v>
      </c>
      <c r="O8" s="514">
        <f>O7*30</f>
        <v>600000</v>
      </c>
      <c r="P8" s="514">
        <f t="shared" si="4"/>
        <v>600000</v>
      </c>
      <c r="Q8" s="514">
        <f t="shared" si="4"/>
        <v>600000</v>
      </c>
      <c r="R8" s="514">
        <f t="shared" si="4"/>
        <v>600000</v>
      </c>
      <c r="S8" s="514">
        <f t="shared" si="4"/>
        <v>600000</v>
      </c>
      <c r="T8" s="514">
        <f t="shared" si="4"/>
        <v>600000</v>
      </c>
      <c r="U8" s="514">
        <f t="shared" si="4"/>
        <v>600000</v>
      </c>
      <c r="V8" s="514">
        <f t="shared" si="4"/>
        <v>600000</v>
      </c>
      <c r="W8" s="514">
        <f t="shared" si="4"/>
        <v>600000</v>
      </c>
      <c r="X8" s="514">
        <f t="shared" si="4"/>
        <v>600000</v>
      </c>
      <c r="Y8" s="514">
        <f t="shared" si="4"/>
        <v>600000</v>
      </c>
      <c r="Z8" s="514">
        <f t="shared" si="4"/>
        <v>600000</v>
      </c>
      <c r="AA8" s="514">
        <f t="shared" si="4"/>
        <v>600000</v>
      </c>
      <c r="AB8" s="514">
        <f t="shared" si="4"/>
        <v>600000</v>
      </c>
      <c r="AC8" s="514">
        <f t="shared" si="4"/>
        <v>600000</v>
      </c>
      <c r="AD8" s="514">
        <f t="shared" si="4"/>
        <v>600000</v>
      </c>
      <c r="AE8" s="514">
        <f t="shared" si="4"/>
        <v>600000</v>
      </c>
      <c r="AF8" s="514">
        <f t="shared" si="4"/>
        <v>600000</v>
      </c>
      <c r="AG8" s="514">
        <f t="shared" si="4"/>
        <v>600000</v>
      </c>
      <c r="AH8" s="514">
        <f t="shared" si="4"/>
        <v>600000</v>
      </c>
      <c r="AI8" s="514">
        <f t="shared" si="4"/>
        <v>600000</v>
      </c>
    </row>
    <row r="9" spans="1:35" x14ac:dyDescent="0.2">
      <c r="A9" s="512" t="s">
        <v>3</v>
      </c>
      <c r="B9" s="512"/>
      <c r="C9" s="512"/>
      <c r="D9" s="512"/>
      <c r="E9" s="512"/>
      <c r="F9" s="514"/>
      <c r="G9" s="514"/>
      <c r="H9" s="514"/>
      <c r="I9" s="514"/>
      <c r="J9" s="514"/>
      <c r="K9" s="514"/>
      <c r="L9" s="514"/>
      <c r="M9" s="514"/>
      <c r="N9" s="514"/>
      <c r="O9" s="514"/>
      <c r="P9" s="514"/>
      <c r="Q9" s="514"/>
      <c r="R9" s="514"/>
      <c r="S9" s="514"/>
      <c r="T9" s="514"/>
      <c r="U9" s="514"/>
      <c r="V9" s="514"/>
      <c r="W9" s="514"/>
      <c r="X9" s="514"/>
      <c r="Y9" s="514"/>
      <c r="Z9" s="514"/>
      <c r="AA9" s="514"/>
      <c r="AB9" s="514"/>
      <c r="AC9" s="514"/>
      <c r="AD9" s="514"/>
      <c r="AE9" s="514"/>
      <c r="AF9" s="514"/>
      <c r="AG9" s="514"/>
      <c r="AH9" s="514"/>
      <c r="AI9" s="514"/>
    </row>
    <row r="10" spans="1:35" x14ac:dyDescent="0.2">
      <c r="A10" s="512" t="s">
        <v>4</v>
      </c>
      <c r="B10" s="512"/>
      <c r="C10" s="512" t="s">
        <v>5</v>
      </c>
      <c r="D10" s="515">
        <f>цех!I120</f>
        <v>0.79</v>
      </c>
      <c r="E10" s="512"/>
      <c r="F10" s="514">
        <f>F8*$D10</f>
        <v>474000</v>
      </c>
      <c r="G10" s="514">
        <f t="shared" ref="G10:AI10" si="5">G8*$D10</f>
        <v>474000</v>
      </c>
      <c r="H10" s="514">
        <f t="shared" si="5"/>
        <v>474000</v>
      </c>
      <c r="I10" s="514">
        <f t="shared" si="5"/>
        <v>474000</v>
      </c>
      <c r="J10" s="514">
        <f t="shared" si="5"/>
        <v>474000</v>
      </c>
      <c r="K10" s="514">
        <f t="shared" si="5"/>
        <v>474000</v>
      </c>
      <c r="L10" s="514">
        <f t="shared" si="5"/>
        <v>474000</v>
      </c>
      <c r="M10" s="514">
        <f t="shared" si="5"/>
        <v>474000</v>
      </c>
      <c r="N10" s="514">
        <f t="shared" si="5"/>
        <v>474000</v>
      </c>
      <c r="O10" s="514">
        <f t="shared" si="5"/>
        <v>474000</v>
      </c>
      <c r="P10" s="514">
        <f t="shared" si="5"/>
        <v>474000</v>
      </c>
      <c r="Q10" s="514">
        <f t="shared" si="5"/>
        <v>474000</v>
      </c>
      <c r="R10" s="514">
        <f t="shared" si="5"/>
        <v>474000</v>
      </c>
      <c r="S10" s="514">
        <f t="shared" si="5"/>
        <v>474000</v>
      </c>
      <c r="T10" s="514">
        <f t="shared" si="5"/>
        <v>474000</v>
      </c>
      <c r="U10" s="514">
        <f t="shared" si="5"/>
        <v>474000</v>
      </c>
      <c r="V10" s="514">
        <f t="shared" si="5"/>
        <v>474000</v>
      </c>
      <c r="W10" s="514">
        <f t="shared" si="5"/>
        <v>474000</v>
      </c>
      <c r="X10" s="514">
        <f t="shared" si="5"/>
        <v>474000</v>
      </c>
      <c r="Y10" s="514">
        <f t="shared" si="5"/>
        <v>474000</v>
      </c>
      <c r="Z10" s="514">
        <f t="shared" si="5"/>
        <v>474000</v>
      </c>
      <c r="AA10" s="514">
        <f t="shared" si="5"/>
        <v>474000</v>
      </c>
      <c r="AB10" s="514">
        <f t="shared" si="5"/>
        <v>474000</v>
      </c>
      <c r="AC10" s="514">
        <f t="shared" si="5"/>
        <v>474000</v>
      </c>
      <c r="AD10" s="514">
        <f t="shared" si="5"/>
        <v>474000</v>
      </c>
      <c r="AE10" s="514">
        <f t="shared" si="5"/>
        <v>474000</v>
      </c>
      <c r="AF10" s="514">
        <f t="shared" si="5"/>
        <v>474000</v>
      </c>
      <c r="AG10" s="514">
        <f t="shared" si="5"/>
        <v>474000</v>
      </c>
      <c r="AH10" s="514">
        <f t="shared" si="5"/>
        <v>474000</v>
      </c>
      <c r="AI10" s="514">
        <f t="shared" si="5"/>
        <v>474000</v>
      </c>
    </row>
    <row r="11" spans="1:35" x14ac:dyDescent="0.2">
      <c r="A11" s="512" t="s">
        <v>6</v>
      </c>
      <c r="B11" s="512"/>
      <c r="C11" s="512" t="s">
        <v>5</v>
      </c>
      <c r="D11" s="515">
        <f>цех!I121</f>
        <v>0.09</v>
      </c>
      <c r="E11" s="512"/>
      <c r="F11" s="514">
        <f>F8*$D$11</f>
        <v>54000</v>
      </c>
      <c r="G11" s="514">
        <f t="shared" ref="G11:AI11" si="6">G8*$D$11</f>
        <v>54000</v>
      </c>
      <c r="H11" s="514">
        <f t="shared" si="6"/>
        <v>54000</v>
      </c>
      <c r="I11" s="514">
        <f t="shared" si="6"/>
        <v>54000</v>
      </c>
      <c r="J11" s="514">
        <f t="shared" si="6"/>
        <v>54000</v>
      </c>
      <c r="K11" s="514">
        <f t="shared" si="6"/>
        <v>54000</v>
      </c>
      <c r="L11" s="514">
        <f t="shared" si="6"/>
        <v>54000</v>
      </c>
      <c r="M11" s="514">
        <f t="shared" si="6"/>
        <v>54000</v>
      </c>
      <c r="N11" s="514">
        <f t="shared" si="6"/>
        <v>54000</v>
      </c>
      <c r="O11" s="514">
        <f t="shared" si="6"/>
        <v>54000</v>
      </c>
      <c r="P11" s="514">
        <f t="shared" si="6"/>
        <v>54000</v>
      </c>
      <c r="Q11" s="514">
        <f t="shared" si="6"/>
        <v>54000</v>
      </c>
      <c r="R11" s="514">
        <f t="shared" si="6"/>
        <v>54000</v>
      </c>
      <c r="S11" s="514">
        <f t="shared" si="6"/>
        <v>54000</v>
      </c>
      <c r="T11" s="514">
        <f t="shared" si="6"/>
        <v>54000</v>
      </c>
      <c r="U11" s="514">
        <f t="shared" si="6"/>
        <v>54000</v>
      </c>
      <c r="V11" s="514">
        <f t="shared" si="6"/>
        <v>54000</v>
      </c>
      <c r="W11" s="514">
        <f t="shared" si="6"/>
        <v>54000</v>
      </c>
      <c r="X11" s="514">
        <f t="shared" si="6"/>
        <v>54000</v>
      </c>
      <c r="Y11" s="514">
        <f t="shared" si="6"/>
        <v>54000</v>
      </c>
      <c r="Z11" s="514">
        <f t="shared" si="6"/>
        <v>54000</v>
      </c>
      <c r="AA11" s="514">
        <f t="shared" si="6"/>
        <v>54000</v>
      </c>
      <c r="AB11" s="514">
        <f t="shared" si="6"/>
        <v>54000</v>
      </c>
      <c r="AC11" s="514">
        <f t="shared" si="6"/>
        <v>54000</v>
      </c>
      <c r="AD11" s="514">
        <f t="shared" si="6"/>
        <v>54000</v>
      </c>
      <c r="AE11" s="514">
        <f t="shared" si="6"/>
        <v>54000</v>
      </c>
      <c r="AF11" s="514">
        <f t="shared" si="6"/>
        <v>54000</v>
      </c>
      <c r="AG11" s="514">
        <f t="shared" si="6"/>
        <v>54000</v>
      </c>
      <c r="AH11" s="514">
        <f t="shared" si="6"/>
        <v>54000</v>
      </c>
      <c r="AI11" s="514">
        <f t="shared" si="6"/>
        <v>54000</v>
      </c>
    </row>
    <row r="12" spans="1:35" x14ac:dyDescent="0.2">
      <c r="A12" s="512" t="s">
        <v>7</v>
      </c>
      <c r="B12" s="512"/>
      <c r="C12" s="512" t="s">
        <v>5</v>
      </c>
      <c r="D12" s="515">
        <f>цех!I122</f>
        <v>0.12</v>
      </c>
      <c r="E12" s="512"/>
      <c r="F12" s="514">
        <f>F8*$D12</f>
        <v>72000</v>
      </c>
      <c r="G12" s="514">
        <f t="shared" ref="G12:AI12" si="7">G8*$D12</f>
        <v>72000</v>
      </c>
      <c r="H12" s="514">
        <f t="shared" si="7"/>
        <v>72000</v>
      </c>
      <c r="I12" s="514">
        <f t="shared" si="7"/>
        <v>72000</v>
      </c>
      <c r="J12" s="514">
        <f t="shared" si="7"/>
        <v>72000</v>
      </c>
      <c r="K12" s="514">
        <f t="shared" si="7"/>
        <v>72000</v>
      </c>
      <c r="L12" s="514">
        <f t="shared" si="7"/>
        <v>72000</v>
      </c>
      <c r="M12" s="514">
        <f t="shared" si="7"/>
        <v>72000</v>
      </c>
      <c r="N12" s="514">
        <f t="shared" si="7"/>
        <v>72000</v>
      </c>
      <c r="O12" s="514">
        <f t="shared" si="7"/>
        <v>72000</v>
      </c>
      <c r="P12" s="514">
        <f t="shared" si="7"/>
        <v>72000</v>
      </c>
      <c r="Q12" s="514">
        <f t="shared" si="7"/>
        <v>72000</v>
      </c>
      <c r="R12" s="514">
        <f t="shared" si="7"/>
        <v>72000</v>
      </c>
      <c r="S12" s="514">
        <f t="shared" si="7"/>
        <v>72000</v>
      </c>
      <c r="T12" s="514">
        <f t="shared" si="7"/>
        <v>72000</v>
      </c>
      <c r="U12" s="514">
        <f t="shared" si="7"/>
        <v>72000</v>
      </c>
      <c r="V12" s="514">
        <f t="shared" si="7"/>
        <v>72000</v>
      </c>
      <c r="W12" s="514">
        <f t="shared" si="7"/>
        <v>72000</v>
      </c>
      <c r="X12" s="514">
        <f t="shared" si="7"/>
        <v>72000</v>
      </c>
      <c r="Y12" s="514">
        <f t="shared" si="7"/>
        <v>72000</v>
      </c>
      <c r="Z12" s="514">
        <f t="shared" si="7"/>
        <v>72000</v>
      </c>
      <c r="AA12" s="514">
        <f t="shared" si="7"/>
        <v>72000</v>
      </c>
      <c r="AB12" s="514">
        <f t="shared" si="7"/>
        <v>72000</v>
      </c>
      <c r="AC12" s="514">
        <f t="shared" si="7"/>
        <v>72000</v>
      </c>
      <c r="AD12" s="514">
        <f t="shared" si="7"/>
        <v>72000</v>
      </c>
      <c r="AE12" s="514">
        <f t="shared" si="7"/>
        <v>72000</v>
      </c>
      <c r="AF12" s="514">
        <f t="shared" si="7"/>
        <v>72000</v>
      </c>
      <c r="AG12" s="514">
        <f t="shared" si="7"/>
        <v>72000</v>
      </c>
      <c r="AH12" s="514">
        <f t="shared" si="7"/>
        <v>72000</v>
      </c>
      <c r="AI12" s="514">
        <f t="shared" si="7"/>
        <v>72000</v>
      </c>
    </row>
    <row r="13" spans="1:35" x14ac:dyDescent="0.2">
      <c r="A13" s="512" t="s">
        <v>8</v>
      </c>
      <c r="B13" s="512"/>
      <c r="C13" s="512" t="s">
        <v>5</v>
      </c>
      <c r="D13" s="516">
        <v>0.33</v>
      </c>
      <c r="E13" s="512"/>
      <c r="F13" s="514">
        <f>F8*$D13</f>
        <v>198000</v>
      </c>
      <c r="G13" s="514">
        <f>G8*$D13</f>
        <v>198000</v>
      </c>
      <c r="H13" s="514">
        <f t="shared" ref="H13:AI13" si="8">H8*$D13</f>
        <v>198000</v>
      </c>
      <c r="I13" s="514">
        <f t="shared" si="8"/>
        <v>198000</v>
      </c>
      <c r="J13" s="514">
        <f t="shared" si="8"/>
        <v>198000</v>
      </c>
      <c r="K13" s="514">
        <f t="shared" si="8"/>
        <v>198000</v>
      </c>
      <c r="L13" s="514">
        <f t="shared" si="8"/>
        <v>198000</v>
      </c>
      <c r="M13" s="514">
        <f t="shared" si="8"/>
        <v>198000</v>
      </c>
      <c r="N13" s="514">
        <f t="shared" si="8"/>
        <v>198000</v>
      </c>
      <c r="O13" s="514">
        <f t="shared" si="8"/>
        <v>198000</v>
      </c>
      <c r="P13" s="514">
        <f t="shared" si="8"/>
        <v>198000</v>
      </c>
      <c r="Q13" s="514">
        <f t="shared" si="8"/>
        <v>198000</v>
      </c>
      <c r="R13" s="514">
        <f t="shared" si="8"/>
        <v>198000</v>
      </c>
      <c r="S13" s="514">
        <f t="shared" si="8"/>
        <v>198000</v>
      </c>
      <c r="T13" s="514">
        <f t="shared" si="8"/>
        <v>198000</v>
      </c>
      <c r="U13" s="514">
        <f t="shared" si="8"/>
        <v>198000</v>
      </c>
      <c r="V13" s="514">
        <f t="shared" si="8"/>
        <v>198000</v>
      </c>
      <c r="W13" s="514">
        <f t="shared" si="8"/>
        <v>198000</v>
      </c>
      <c r="X13" s="514">
        <f t="shared" si="8"/>
        <v>198000</v>
      </c>
      <c r="Y13" s="514">
        <f t="shared" si="8"/>
        <v>198000</v>
      </c>
      <c r="Z13" s="514">
        <f t="shared" si="8"/>
        <v>198000</v>
      </c>
      <c r="AA13" s="514">
        <f t="shared" si="8"/>
        <v>198000</v>
      </c>
      <c r="AB13" s="514">
        <f t="shared" si="8"/>
        <v>198000</v>
      </c>
      <c r="AC13" s="514">
        <f t="shared" si="8"/>
        <v>198000</v>
      </c>
      <c r="AD13" s="514">
        <f t="shared" si="8"/>
        <v>198000</v>
      </c>
      <c r="AE13" s="514">
        <f t="shared" si="8"/>
        <v>198000</v>
      </c>
      <c r="AF13" s="514">
        <f t="shared" si="8"/>
        <v>198000</v>
      </c>
      <c r="AG13" s="514">
        <f t="shared" si="8"/>
        <v>198000</v>
      </c>
      <c r="AH13" s="514">
        <f t="shared" si="8"/>
        <v>198000</v>
      </c>
      <c r="AI13" s="514">
        <f t="shared" si="8"/>
        <v>198000</v>
      </c>
    </row>
    <row r="14" spans="1:35" x14ac:dyDescent="0.2">
      <c r="A14" s="512" t="s">
        <v>9</v>
      </c>
      <c r="B14" s="512"/>
      <c r="C14" s="512" t="s">
        <v>5</v>
      </c>
      <c r="D14" s="516">
        <v>0.67</v>
      </c>
      <c r="E14" s="512"/>
      <c r="F14" s="514">
        <f>F8*$D14</f>
        <v>402000</v>
      </c>
      <c r="G14" s="514">
        <f>G8*$D14</f>
        <v>402000</v>
      </c>
      <c r="H14" s="514">
        <f t="shared" ref="H14:AI14" si="9">H8*$D14</f>
        <v>402000</v>
      </c>
      <c r="I14" s="514">
        <f t="shared" si="9"/>
        <v>402000</v>
      </c>
      <c r="J14" s="514">
        <f t="shared" si="9"/>
        <v>402000</v>
      </c>
      <c r="K14" s="514">
        <f t="shared" si="9"/>
        <v>402000</v>
      </c>
      <c r="L14" s="514">
        <f t="shared" si="9"/>
        <v>402000</v>
      </c>
      <c r="M14" s="514">
        <f t="shared" si="9"/>
        <v>402000</v>
      </c>
      <c r="N14" s="514">
        <f t="shared" si="9"/>
        <v>402000</v>
      </c>
      <c r="O14" s="514">
        <f t="shared" si="9"/>
        <v>402000</v>
      </c>
      <c r="P14" s="514">
        <f t="shared" si="9"/>
        <v>402000</v>
      </c>
      <c r="Q14" s="514">
        <f t="shared" si="9"/>
        <v>402000</v>
      </c>
      <c r="R14" s="514">
        <f t="shared" si="9"/>
        <v>402000</v>
      </c>
      <c r="S14" s="514">
        <f t="shared" si="9"/>
        <v>402000</v>
      </c>
      <c r="T14" s="514">
        <f t="shared" si="9"/>
        <v>402000</v>
      </c>
      <c r="U14" s="514">
        <f t="shared" si="9"/>
        <v>402000</v>
      </c>
      <c r="V14" s="514">
        <f t="shared" si="9"/>
        <v>402000</v>
      </c>
      <c r="W14" s="514">
        <f t="shared" si="9"/>
        <v>402000</v>
      </c>
      <c r="X14" s="514">
        <f t="shared" si="9"/>
        <v>402000</v>
      </c>
      <c r="Y14" s="514">
        <f t="shared" si="9"/>
        <v>402000</v>
      </c>
      <c r="Z14" s="514">
        <f t="shared" si="9"/>
        <v>402000</v>
      </c>
      <c r="AA14" s="514">
        <f t="shared" si="9"/>
        <v>402000</v>
      </c>
      <c r="AB14" s="514">
        <f t="shared" si="9"/>
        <v>402000</v>
      </c>
      <c r="AC14" s="514">
        <f t="shared" si="9"/>
        <v>402000</v>
      </c>
      <c r="AD14" s="514">
        <f t="shared" si="9"/>
        <v>402000</v>
      </c>
      <c r="AE14" s="514">
        <f t="shared" si="9"/>
        <v>402000</v>
      </c>
      <c r="AF14" s="514">
        <f t="shared" si="9"/>
        <v>402000</v>
      </c>
      <c r="AG14" s="514">
        <f t="shared" si="9"/>
        <v>402000</v>
      </c>
      <c r="AH14" s="514">
        <f t="shared" si="9"/>
        <v>402000</v>
      </c>
      <c r="AI14" s="514">
        <f t="shared" si="9"/>
        <v>402000</v>
      </c>
    </row>
    <row r="15" spans="1:35" x14ac:dyDescent="0.2">
      <c r="A15" s="512"/>
      <c r="B15" s="512"/>
      <c r="C15" s="512"/>
      <c r="D15" s="516"/>
      <c r="E15" s="512"/>
      <c r="F15" s="514">
        <f>F16+F17+F18</f>
        <v>219990.30381383322</v>
      </c>
      <c r="G15" s="514">
        <f t="shared" ref="G15:AI15" si="10">G16+G17+G18</f>
        <v>219990.30381383322</v>
      </c>
      <c r="H15" s="514">
        <f t="shared" si="10"/>
        <v>219990.30381383322</v>
      </c>
      <c r="I15" s="514">
        <f t="shared" si="10"/>
        <v>219990.30381383322</v>
      </c>
      <c r="J15" s="514">
        <f t="shared" si="10"/>
        <v>219990.30381383322</v>
      </c>
      <c r="K15" s="514">
        <f t="shared" si="10"/>
        <v>219990.30381383322</v>
      </c>
      <c r="L15" s="514">
        <f t="shared" si="10"/>
        <v>219990.30381383322</v>
      </c>
      <c r="M15" s="514">
        <f t="shared" si="10"/>
        <v>219990.30381383322</v>
      </c>
      <c r="N15" s="514">
        <f t="shared" si="10"/>
        <v>219990.30381383322</v>
      </c>
      <c r="O15" s="514">
        <f t="shared" si="10"/>
        <v>219990.30381383322</v>
      </c>
      <c r="P15" s="514">
        <f t="shared" si="10"/>
        <v>219990.30381383322</v>
      </c>
      <c r="Q15" s="514">
        <f t="shared" si="10"/>
        <v>219990.30381383322</v>
      </c>
      <c r="R15" s="514">
        <f t="shared" si="10"/>
        <v>219990.30381383322</v>
      </c>
      <c r="S15" s="514">
        <f t="shared" si="10"/>
        <v>219990.30381383322</v>
      </c>
      <c r="T15" s="514">
        <f t="shared" si="10"/>
        <v>219990.30381383322</v>
      </c>
      <c r="U15" s="514">
        <f t="shared" si="10"/>
        <v>219990.30381383322</v>
      </c>
      <c r="V15" s="514">
        <f t="shared" si="10"/>
        <v>219990.30381383322</v>
      </c>
      <c r="W15" s="514">
        <f t="shared" si="10"/>
        <v>219990.30381383322</v>
      </c>
      <c r="X15" s="514">
        <f t="shared" si="10"/>
        <v>219990.30381383322</v>
      </c>
      <c r="Y15" s="514">
        <f t="shared" si="10"/>
        <v>219990.30381383322</v>
      </c>
      <c r="Z15" s="514">
        <f t="shared" si="10"/>
        <v>219990.30381383322</v>
      </c>
      <c r="AA15" s="514">
        <f t="shared" si="10"/>
        <v>219990.30381383322</v>
      </c>
      <c r="AB15" s="514">
        <f t="shared" si="10"/>
        <v>219990.30381383322</v>
      </c>
      <c r="AC15" s="514">
        <f t="shared" si="10"/>
        <v>219990.30381383322</v>
      </c>
      <c r="AD15" s="514">
        <f t="shared" si="10"/>
        <v>219990.30381383322</v>
      </c>
      <c r="AE15" s="514">
        <f t="shared" si="10"/>
        <v>219990.30381383322</v>
      </c>
      <c r="AF15" s="514">
        <f t="shared" si="10"/>
        <v>219990.30381383322</v>
      </c>
      <c r="AG15" s="514">
        <f t="shared" si="10"/>
        <v>219990.30381383322</v>
      </c>
      <c r="AH15" s="514">
        <f t="shared" si="10"/>
        <v>219990.30381383322</v>
      </c>
      <c r="AI15" s="514">
        <f t="shared" si="10"/>
        <v>219990.30381383322</v>
      </c>
    </row>
    <row r="16" spans="1:35" x14ac:dyDescent="0.2">
      <c r="A16" s="512" t="s">
        <v>135</v>
      </c>
      <c r="B16" s="512"/>
      <c r="C16" s="512"/>
      <c r="D16" s="517">
        <f>цех!J120</f>
        <v>3.12</v>
      </c>
      <c r="E16" s="512"/>
      <c r="F16" s="514">
        <f>F10/$D$16</f>
        <v>151923.07692307691</v>
      </c>
      <c r="G16" s="514">
        <f t="shared" ref="G16:AI16" si="11">G10/$D$16</f>
        <v>151923.07692307691</v>
      </c>
      <c r="H16" s="514">
        <f t="shared" si="11"/>
        <v>151923.07692307691</v>
      </c>
      <c r="I16" s="514">
        <f t="shared" si="11"/>
        <v>151923.07692307691</v>
      </c>
      <c r="J16" s="514">
        <f t="shared" si="11"/>
        <v>151923.07692307691</v>
      </c>
      <c r="K16" s="514">
        <f t="shared" si="11"/>
        <v>151923.07692307691</v>
      </c>
      <c r="L16" s="514">
        <f t="shared" si="11"/>
        <v>151923.07692307691</v>
      </c>
      <c r="M16" s="514">
        <f t="shared" si="11"/>
        <v>151923.07692307691</v>
      </c>
      <c r="N16" s="514">
        <f t="shared" si="11"/>
        <v>151923.07692307691</v>
      </c>
      <c r="O16" s="514">
        <f t="shared" si="11"/>
        <v>151923.07692307691</v>
      </c>
      <c r="P16" s="514">
        <f t="shared" si="11"/>
        <v>151923.07692307691</v>
      </c>
      <c r="Q16" s="514">
        <f t="shared" si="11"/>
        <v>151923.07692307691</v>
      </c>
      <c r="R16" s="514">
        <f t="shared" si="11"/>
        <v>151923.07692307691</v>
      </c>
      <c r="S16" s="514">
        <f t="shared" si="11"/>
        <v>151923.07692307691</v>
      </c>
      <c r="T16" s="514">
        <f t="shared" si="11"/>
        <v>151923.07692307691</v>
      </c>
      <c r="U16" s="514">
        <f t="shared" si="11"/>
        <v>151923.07692307691</v>
      </c>
      <c r="V16" s="514">
        <f t="shared" si="11"/>
        <v>151923.07692307691</v>
      </c>
      <c r="W16" s="514">
        <f t="shared" si="11"/>
        <v>151923.07692307691</v>
      </c>
      <c r="X16" s="514">
        <f t="shared" si="11"/>
        <v>151923.07692307691</v>
      </c>
      <c r="Y16" s="514">
        <f t="shared" si="11"/>
        <v>151923.07692307691</v>
      </c>
      <c r="Z16" s="514">
        <f t="shared" si="11"/>
        <v>151923.07692307691</v>
      </c>
      <c r="AA16" s="514">
        <f t="shared" si="11"/>
        <v>151923.07692307691</v>
      </c>
      <c r="AB16" s="514">
        <f t="shared" si="11"/>
        <v>151923.07692307691</v>
      </c>
      <c r="AC16" s="514">
        <f t="shared" si="11"/>
        <v>151923.07692307691</v>
      </c>
      <c r="AD16" s="514">
        <f t="shared" si="11"/>
        <v>151923.07692307691</v>
      </c>
      <c r="AE16" s="514">
        <f t="shared" si="11"/>
        <v>151923.07692307691</v>
      </c>
      <c r="AF16" s="514">
        <f t="shared" si="11"/>
        <v>151923.07692307691</v>
      </c>
      <c r="AG16" s="514">
        <f t="shared" si="11"/>
        <v>151923.07692307691</v>
      </c>
      <c r="AH16" s="514">
        <f t="shared" si="11"/>
        <v>151923.07692307691</v>
      </c>
      <c r="AI16" s="514">
        <f t="shared" si="11"/>
        <v>151923.07692307691</v>
      </c>
    </row>
    <row r="17" spans="1:35" x14ac:dyDescent="0.2">
      <c r="A17" s="512" t="s">
        <v>142</v>
      </c>
      <c r="B17" s="512"/>
      <c r="C17" s="512"/>
      <c r="D17" s="517">
        <f>цех!J121</f>
        <v>2.1</v>
      </c>
      <c r="E17" s="512"/>
      <c r="F17" s="514">
        <f>F11/$D$17</f>
        <v>25714.285714285714</v>
      </c>
      <c r="G17" s="514">
        <f t="shared" ref="G17:AI17" si="12">G11/$D$17</f>
        <v>25714.285714285714</v>
      </c>
      <c r="H17" s="514">
        <f t="shared" si="12"/>
        <v>25714.285714285714</v>
      </c>
      <c r="I17" s="514">
        <f t="shared" si="12"/>
        <v>25714.285714285714</v>
      </c>
      <c r="J17" s="514">
        <f t="shared" si="12"/>
        <v>25714.285714285714</v>
      </c>
      <c r="K17" s="514">
        <f t="shared" si="12"/>
        <v>25714.285714285714</v>
      </c>
      <c r="L17" s="514">
        <f t="shared" si="12"/>
        <v>25714.285714285714</v>
      </c>
      <c r="M17" s="514">
        <f t="shared" si="12"/>
        <v>25714.285714285714</v>
      </c>
      <c r="N17" s="514">
        <f t="shared" si="12"/>
        <v>25714.285714285714</v>
      </c>
      <c r="O17" s="514">
        <f t="shared" si="12"/>
        <v>25714.285714285714</v>
      </c>
      <c r="P17" s="514">
        <f t="shared" si="12"/>
        <v>25714.285714285714</v>
      </c>
      <c r="Q17" s="514">
        <f t="shared" si="12"/>
        <v>25714.285714285714</v>
      </c>
      <c r="R17" s="514">
        <f t="shared" si="12"/>
        <v>25714.285714285714</v>
      </c>
      <c r="S17" s="514">
        <f t="shared" si="12"/>
        <v>25714.285714285714</v>
      </c>
      <c r="T17" s="514">
        <f t="shared" si="12"/>
        <v>25714.285714285714</v>
      </c>
      <c r="U17" s="514">
        <f t="shared" si="12"/>
        <v>25714.285714285714</v>
      </c>
      <c r="V17" s="514">
        <f t="shared" si="12"/>
        <v>25714.285714285714</v>
      </c>
      <c r="W17" s="514">
        <f t="shared" si="12"/>
        <v>25714.285714285714</v>
      </c>
      <c r="X17" s="514">
        <f t="shared" si="12"/>
        <v>25714.285714285714</v>
      </c>
      <c r="Y17" s="514">
        <f t="shared" si="12"/>
        <v>25714.285714285714</v>
      </c>
      <c r="Z17" s="514">
        <f t="shared" si="12"/>
        <v>25714.285714285714</v>
      </c>
      <c r="AA17" s="514">
        <f t="shared" si="12"/>
        <v>25714.285714285714</v>
      </c>
      <c r="AB17" s="514">
        <f t="shared" si="12"/>
        <v>25714.285714285714</v>
      </c>
      <c r="AC17" s="514">
        <f t="shared" si="12"/>
        <v>25714.285714285714</v>
      </c>
      <c r="AD17" s="514">
        <f t="shared" si="12"/>
        <v>25714.285714285714</v>
      </c>
      <c r="AE17" s="514">
        <f t="shared" si="12"/>
        <v>25714.285714285714</v>
      </c>
      <c r="AF17" s="514">
        <f t="shared" si="12"/>
        <v>25714.285714285714</v>
      </c>
      <c r="AG17" s="514">
        <f t="shared" si="12"/>
        <v>25714.285714285714</v>
      </c>
      <c r="AH17" s="514">
        <f t="shared" si="12"/>
        <v>25714.285714285714</v>
      </c>
      <c r="AI17" s="514">
        <f t="shared" si="12"/>
        <v>25714.285714285714</v>
      </c>
    </row>
    <row r="18" spans="1:35" x14ac:dyDescent="0.2">
      <c r="A18" s="512" t="s">
        <v>143</v>
      </c>
      <c r="B18" s="512"/>
      <c r="C18" s="512"/>
      <c r="D18" s="517">
        <f>цех!J122</f>
        <v>1.7</v>
      </c>
      <c r="E18" s="512"/>
      <c r="F18" s="514">
        <f>F12/$D$18</f>
        <v>42352.941176470587</v>
      </c>
      <c r="G18" s="514">
        <f t="shared" ref="G18:AI18" si="13">G12/$D$18</f>
        <v>42352.941176470587</v>
      </c>
      <c r="H18" s="514">
        <f t="shared" si="13"/>
        <v>42352.941176470587</v>
      </c>
      <c r="I18" s="514">
        <f t="shared" si="13"/>
        <v>42352.941176470587</v>
      </c>
      <c r="J18" s="514">
        <f t="shared" si="13"/>
        <v>42352.941176470587</v>
      </c>
      <c r="K18" s="514">
        <f t="shared" si="13"/>
        <v>42352.941176470587</v>
      </c>
      <c r="L18" s="514">
        <f t="shared" si="13"/>
        <v>42352.941176470587</v>
      </c>
      <c r="M18" s="514">
        <f t="shared" si="13"/>
        <v>42352.941176470587</v>
      </c>
      <c r="N18" s="514">
        <f t="shared" si="13"/>
        <v>42352.941176470587</v>
      </c>
      <c r="O18" s="514">
        <f t="shared" si="13"/>
        <v>42352.941176470587</v>
      </c>
      <c r="P18" s="514">
        <f t="shared" si="13"/>
        <v>42352.941176470587</v>
      </c>
      <c r="Q18" s="514">
        <f t="shared" si="13"/>
        <v>42352.941176470587</v>
      </c>
      <c r="R18" s="514">
        <f t="shared" si="13"/>
        <v>42352.941176470587</v>
      </c>
      <c r="S18" s="514">
        <f t="shared" si="13"/>
        <v>42352.941176470587</v>
      </c>
      <c r="T18" s="514">
        <f t="shared" si="13"/>
        <v>42352.941176470587</v>
      </c>
      <c r="U18" s="514">
        <f t="shared" si="13"/>
        <v>42352.941176470587</v>
      </c>
      <c r="V18" s="514">
        <f t="shared" si="13"/>
        <v>42352.941176470587</v>
      </c>
      <c r="W18" s="514">
        <f t="shared" si="13"/>
        <v>42352.941176470587</v>
      </c>
      <c r="X18" s="514">
        <f t="shared" si="13"/>
        <v>42352.941176470587</v>
      </c>
      <c r="Y18" s="514">
        <f t="shared" si="13"/>
        <v>42352.941176470587</v>
      </c>
      <c r="Z18" s="514">
        <f t="shared" si="13"/>
        <v>42352.941176470587</v>
      </c>
      <c r="AA18" s="514">
        <f t="shared" si="13"/>
        <v>42352.941176470587</v>
      </c>
      <c r="AB18" s="514">
        <f t="shared" si="13"/>
        <v>42352.941176470587</v>
      </c>
      <c r="AC18" s="514">
        <f t="shared" si="13"/>
        <v>42352.941176470587</v>
      </c>
      <c r="AD18" s="514">
        <f t="shared" si="13"/>
        <v>42352.941176470587</v>
      </c>
      <c r="AE18" s="514">
        <f t="shared" si="13"/>
        <v>42352.941176470587</v>
      </c>
      <c r="AF18" s="514">
        <f t="shared" si="13"/>
        <v>42352.941176470587</v>
      </c>
      <c r="AG18" s="514">
        <f t="shared" si="13"/>
        <v>42352.941176470587</v>
      </c>
      <c r="AH18" s="514">
        <f t="shared" si="13"/>
        <v>42352.941176470587</v>
      </c>
      <c r="AI18" s="514">
        <f t="shared" si="13"/>
        <v>42352.941176470587</v>
      </c>
    </row>
    <row r="19" spans="1:35" x14ac:dyDescent="0.2">
      <c r="A19" s="512" t="s">
        <v>10</v>
      </c>
      <c r="B19" s="512"/>
      <c r="C19" s="504" t="s">
        <v>49</v>
      </c>
      <c r="D19" s="518">
        <f>G8/(G8-G19)*100</f>
        <v>272.73929332255932</v>
      </c>
      <c r="E19" s="512"/>
      <c r="F19" s="514">
        <f>SUM(F20:F22)</f>
        <v>380009.69618616678</v>
      </c>
      <c r="G19" s="514">
        <f t="shared" ref="G19:AI19" si="14">SUM(G20:G22)</f>
        <v>380009.69618616678</v>
      </c>
      <c r="H19" s="514">
        <f t="shared" si="14"/>
        <v>380009.69618616678</v>
      </c>
      <c r="I19" s="514">
        <f t="shared" si="14"/>
        <v>380009.69618616678</v>
      </c>
      <c r="J19" s="514">
        <f t="shared" si="14"/>
        <v>380009.69618616678</v>
      </c>
      <c r="K19" s="514">
        <f t="shared" si="14"/>
        <v>380009.69618616678</v>
      </c>
      <c r="L19" s="514">
        <f t="shared" si="14"/>
        <v>380009.69618616678</v>
      </c>
      <c r="M19" s="514">
        <f t="shared" si="14"/>
        <v>380009.69618616678</v>
      </c>
      <c r="N19" s="514">
        <f t="shared" si="14"/>
        <v>380009.69618616678</v>
      </c>
      <c r="O19" s="514">
        <f t="shared" si="14"/>
        <v>380009.69618616678</v>
      </c>
      <c r="P19" s="514">
        <f t="shared" si="14"/>
        <v>380009.69618616678</v>
      </c>
      <c r="Q19" s="514">
        <f t="shared" si="14"/>
        <v>380009.69618616678</v>
      </c>
      <c r="R19" s="514">
        <f t="shared" si="14"/>
        <v>380009.69618616678</v>
      </c>
      <c r="S19" s="514">
        <f t="shared" si="14"/>
        <v>380009.69618616678</v>
      </c>
      <c r="T19" s="514">
        <f t="shared" si="14"/>
        <v>380009.69618616678</v>
      </c>
      <c r="U19" s="514">
        <f t="shared" si="14"/>
        <v>380009.69618616678</v>
      </c>
      <c r="V19" s="514">
        <f t="shared" si="14"/>
        <v>380009.69618616678</v>
      </c>
      <c r="W19" s="514">
        <f t="shared" si="14"/>
        <v>380009.69618616678</v>
      </c>
      <c r="X19" s="514">
        <f t="shared" si="14"/>
        <v>380009.69618616678</v>
      </c>
      <c r="Y19" s="514">
        <f t="shared" si="14"/>
        <v>380009.69618616678</v>
      </c>
      <c r="Z19" s="514">
        <f t="shared" si="14"/>
        <v>380009.69618616678</v>
      </c>
      <c r="AA19" s="514">
        <f t="shared" si="14"/>
        <v>380009.69618616678</v>
      </c>
      <c r="AB19" s="514">
        <f t="shared" si="14"/>
        <v>380009.69618616678</v>
      </c>
      <c r="AC19" s="514">
        <f t="shared" si="14"/>
        <v>380009.69618616678</v>
      </c>
      <c r="AD19" s="514">
        <f t="shared" si="14"/>
        <v>380009.69618616678</v>
      </c>
      <c r="AE19" s="514">
        <f t="shared" si="14"/>
        <v>380009.69618616678</v>
      </c>
      <c r="AF19" s="514">
        <f t="shared" si="14"/>
        <v>380009.69618616678</v>
      </c>
      <c r="AG19" s="514">
        <f t="shared" si="14"/>
        <v>380009.69618616678</v>
      </c>
      <c r="AH19" s="514">
        <f t="shared" si="14"/>
        <v>380009.69618616678</v>
      </c>
      <c r="AI19" s="514">
        <f t="shared" si="14"/>
        <v>380009.69618616678</v>
      </c>
    </row>
    <row r="20" spans="1:35" x14ac:dyDescent="0.2">
      <c r="A20" s="512" t="s">
        <v>4</v>
      </c>
      <c r="B20" s="512"/>
      <c r="C20" s="504">
        <v>0.66500000000000004</v>
      </c>
      <c r="D20" s="518">
        <f>G10/(G10-G20)*100</f>
        <v>312.00000000000011</v>
      </c>
      <c r="E20" s="512"/>
      <c r="F20" s="514">
        <f>F10-F16</f>
        <v>322076.92307692312</v>
      </c>
      <c r="G20" s="514">
        <f t="shared" ref="G20:AI20" si="15">G10-G16</f>
        <v>322076.92307692312</v>
      </c>
      <c r="H20" s="514">
        <f t="shared" si="15"/>
        <v>322076.92307692312</v>
      </c>
      <c r="I20" s="514">
        <f t="shared" si="15"/>
        <v>322076.92307692312</v>
      </c>
      <c r="J20" s="514">
        <f t="shared" si="15"/>
        <v>322076.92307692312</v>
      </c>
      <c r="K20" s="514">
        <f t="shared" si="15"/>
        <v>322076.92307692312</v>
      </c>
      <c r="L20" s="514">
        <f t="shared" si="15"/>
        <v>322076.92307692312</v>
      </c>
      <c r="M20" s="514">
        <f t="shared" si="15"/>
        <v>322076.92307692312</v>
      </c>
      <c r="N20" s="514">
        <f t="shared" si="15"/>
        <v>322076.92307692312</v>
      </c>
      <c r="O20" s="514">
        <f t="shared" si="15"/>
        <v>322076.92307692312</v>
      </c>
      <c r="P20" s="514">
        <f t="shared" si="15"/>
        <v>322076.92307692312</v>
      </c>
      <c r="Q20" s="514">
        <f t="shared" si="15"/>
        <v>322076.92307692312</v>
      </c>
      <c r="R20" s="514">
        <f t="shared" si="15"/>
        <v>322076.92307692312</v>
      </c>
      <c r="S20" s="514">
        <f t="shared" si="15"/>
        <v>322076.92307692312</v>
      </c>
      <c r="T20" s="514">
        <f t="shared" si="15"/>
        <v>322076.92307692312</v>
      </c>
      <c r="U20" s="514">
        <f t="shared" si="15"/>
        <v>322076.92307692312</v>
      </c>
      <c r="V20" s="514">
        <f t="shared" si="15"/>
        <v>322076.92307692312</v>
      </c>
      <c r="W20" s="514">
        <f t="shared" si="15"/>
        <v>322076.92307692312</v>
      </c>
      <c r="X20" s="514">
        <f t="shared" si="15"/>
        <v>322076.92307692312</v>
      </c>
      <c r="Y20" s="514">
        <f t="shared" si="15"/>
        <v>322076.92307692312</v>
      </c>
      <c r="Z20" s="514">
        <f t="shared" si="15"/>
        <v>322076.92307692312</v>
      </c>
      <c r="AA20" s="514">
        <f t="shared" si="15"/>
        <v>322076.92307692312</v>
      </c>
      <c r="AB20" s="514">
        <f t="shared" si="15"/>
        <v>322076.92307692312</v>
      </c>
      <c r="AC20" s="514">
        <f t="shared" si="15"/>
        <v>322076.92307692312</v>
      </c>
      <c r="AD20" s="514">
        <f t="shared" si="15"/>
        <v>322076.92307692312</v>
      </c>
      <c r="AE20" s="514">
        <f t="shared" si="15"/>
        <v>322076.92307692312</v>
      </c>
      <c r="AF20" s="514">
        <f t="shared" si="15"/>
        <v>322076.92307692312</v>
      </c>
      <c r="AG20" s="514">
        <f t="shared" si="15"/>
        <v>322076.92307692312</v>
      </c>
      <c r="AH20" s="514">
        <f t="shared" si="15"/>
        <v>322076.92307692312</v>
      </c>
      <c r="AI20" s="514">
        <f t="shared" si="15"/>
        <v>322076.92307692312</v>
      </c>
    </row>
    <row r="21" spans="1:35" x14ac:dyDescent="0.2">
      <c r="A21" s="512" t="s">
        <v>146</v>
      </c>
      <c r="B21" s="512"/>
      <c r="C21" s="504"/>
      <c r="D21" s="518"/>
      <c r="E21" s="512"/>
      <c r="F21" s="514">
        <f>F11-F17</f>
        <v>28285.714285714286</v>
      </c>
      <c r="G21" s="514">
        <f t="shared" ref="G21:AI21" si="16">G11-G17</f>
        <v>28285.714285714286</v>
      </c>
      <c r="H21" s="514">
        <f t="shared" si="16"/>
        <v>28285.714285714286</v>
      </c>
      <c r="I21" s="514">
        <f t="shared" si="16"/>
        <v>28285.714285714286</v>
      </c>
      <c r="J21" s="514">
        <f t="shared" si="16"/>
        <v>28285.714285714286</v>
      </c>
      <c r="K21" s="514">
        <f t="shared" si="16"/>
        <v>28285.714285714286</v>
      </c>
      <c r="L21" s="514">
        <f t="shared" si="16"/>
        <v>28285.714285714286</v>
      </c>
      <c r="M21" s="514">
        <f t="shared" si="16"/>
        <v>28285.714285714286</v>
      </c>
      <c r="N21" s="514">
        <f t="shared" si="16"/>
        <v>28285.714285714286</v>
      </c>
      <c r="O21" s="514">
        <f t="shared" si="16"/>
        <v>28285.714285714286</v>
      </c>
      <c r="P21" s="514">
        <f t="shared" si="16"/>
        <v>28285.714285714286</v>
      </c>
      <c r="Q21" s="514">
        <f t="shared" si="16"/>
        <v>28285.714285714286</v>
      </c>
      <c r="R21" s="514">
        <f t="shared" si="16"/>
        <v>28285.714285714286</v>
      </c>
      <c r="S21" s="514">
        <f t="shared" si="16"/>
        <v>28285.714285714286</v>
      </c>
      <c r="T21" s="514">
        <f t="shared" si="16"/>
        <v>28285.714285714286</v>
      </c>
      <c r="U21" s="514">
        <f t="shared" si="16"/>
        <v>28285.714285714286</v>
      </c>
      <c r="V21" s="514">
        <f t="shared" si="16"/>
        <v>28285.714285714286</v>
      </c>
      <c r="W21" s="514">
        <f t="shared" si="16"/>
        <v>28285.714285714286</v>
      </c>
      <c r="X21" s="514">
        <f t="shared" si="16"/>
        <v>28285.714285714286</v>
      </c>
      <c r="Y21" s="514">
        <f t="shared" si="16"/>
        <v>28285.714285714286</v>
      </c>
      <c r="Z21" s="514">
        <f t="shared" si="16"/>
        <v>28285.714285714286</v>
      </c>
      <c r="AA21" s="514">
        <f t="shared" si="16"/>
        <v>28285.714285714286</v>
      </c>
      <c r="AB21" s="514">
        <f t="shared" si="16"/>
        <v>28285.714285714286</v>
      </c>
      <c r="AC21" s="514">
        <f t="shared" si="16"/>
        <v>28285.714285714286</v>
      </c>
      <c r="AD21" s="514">
        <f t="shared" si="16"/>
        <v>28285.714285714286</v>
      </c>
      <c r="AE21" s="514">
        <f t="shared" si="16"/>
        <v>28285.714285714286</v>
      </c>
      <c r="AF21" s="514">
        <f t="shared" si="16"/>
        <v>28285.714285714286</v>
      </c>
      <c r="AG21" s="514">
        <f t="shared" si="16"/>
        <v>28285.714285714286</v>
      </c>
      <c r="AH21" s="514">
        <f t="shared" si="16"/>
        <v>28285.714285714286</v>
      </c>
      <c r="AI21" s="514">
        <f t="shared" si="16"/>
        <v>28285.714285714286</v>
      </c>
    </row>
    <row r="22" spans="1:35" x14ac:dyDescent="0.2">
      <c r="A22" s="512" t="s">
        <v>7</v>
      </c>
      <c r="B22" s="512"/>
      <c r="C22" s="504">
        <v>0.25</v>
      </c>
      <c r="D22" s="518">
        <f>G12/(G12-G22)*100</f>
        <v>170</v>
      </c>
      <c r="E22" s="512"/>
      <c r="F22" s="514">
        <f>F12-F18</f>
        <v>29647.058823529413</v>
      </c>
      <c r="G22" s="514">
        <f t="shared" ref="G22:AI22" si="17">G12-G18</f>
        <v>29647.058823529413</v>
      </c>
      <c r="H22" s="514">
        <f t="shared" si="17"/>
        <v>29647.058823529413</v>
      </c>
      <c r="I22" s="514">
        <f t="shared" si="17"/>
        <v>29647.058823529413</v>
      </c>
      <c r="J22" s="514">
        <f t="shared" si="17"/>
        <v>29647.058823529413</v>
      </c>
      <c r="K22" s="514">
        <f t="shared" si="17"/>
        <v>29647.058823529413</v>
      </c>
      <c r="L22" s="514">
        <f t="shared" si="17"/>
        <v>29647.058823529413</v>
      </c>
      <c r="M22" s="514">
        <f t="shared" si="17"/>
        <v>29647.058823529413</v>
      </c>
      <c r="N22" s="514">
        <f t="shared" si="17"/>
        <v>29647.058823529413</v>
      </c>
      <c r="O22" s="514">
        <f t="shared" si="17"/>
        <v>29647.058823529413</v>
      </c>
      <c r="P22" s="514">
        <f t="shared" si="17"/>
        <v>29647.058823529413</v>
      </c>
      <c r="Q22" s="514">
        <f t="shared" si="17"/>
        <v>29647.058823529413</v>
      </c>
      <c r="R22" s="514">
        <f t="shared" si="17"/>
        <v>29647.058823529413</v>
      </c>
      <c r="S22" s="514">
        <f t="shared" si="17"/>
        <v>29647.058823529413</v>
      </c>
      <c r="T22" s="514">
        <f t="shared" si="17"/>
        <v>29647.058823529413</v>
      </c>
      <c r="U22" s="514">
        <f t="shared" si="17"/>
        <v>29647.058823529413</v>
      </c>
      <c r="V22" s="514">
        <f t="shared" si="17"/>
        <v>29647.058823529413</v>
      </c>
      <c r="W22" s="514">
        <f t="shared" si="17"/>
        <v>29647.058823529413</v>
      </c>
      <c r="X22" s="514">
        <f t="shared" si="17"/>
        <v>29647.058823529413</v>
      </c>
      <c r="Y22" s="514">
        <f t="shared" si="17"/>
        <v>29647.058823529413</v>
      </c>
      <c r="Z22" s="514">
        <f t="shared" si="17"/>
        <v>29647.058823529413</v>
      </c>
      <c r="AA22" s="514">
        <f t="shared" si="17"/>
        <v>29647.058823529413</v>
      </c>
      <c r="AB22" s="514">
        <f t="shared" si="17"/>
        <v>29647.058823529413</v>
      </c>
      <c r="AC22" s="514">
        <f t="shared" si="17"/>
        <v>29647.058823529413</v>
      </c>
      <c r="AD22" s="514">
        <f t="shared" si="17"/>
        <v>29647.058823529413</v>
      </c>
      <c r="AE22" s="514">
        <f t="shared" si="17"/>
        <v>29647.058823529413</v>
      </c>
      <c r="AF22" s="514">
        <f t="shared" si="17"/>
        <v>29647.058823529413</v>
      </c>
      <c r="AG22" s="514">
        <f t="shared" si="17"/>
        <v>29647.058823529413</v>
      </c>
      <c r="AH22" s="514">
        <f t="shared" si="17"/>
        <v>29647.058823529413</v>
      </c>
      <c r="AI22" s="514">
        <f t="shared" si="17"/>
        <v>29647.058823529413</v>
      </c>
    </row>
    <row r="23" spans="1:35" x14ac:dyDescent="0.2">
      <c r="A23" s="512" t="s">
        <v>11</v>
      </c>
      <c r="B23" s="512"/>
      <c r="C23" s="512"/>
      <c r="D23" s="512"/>
      <c r="E23" s="512"/>
      <c r="F23" s="514"/>
      <c r="G23" s="514"/>
      <c r="H23" s="514"/>
      <c r="I23" s="514"/>
      <c r="J23" s="514"/>
      <c r="K23" s="514"/>
      <c r="L23" s="514"/>
      <c r="M23" s="514"/>
      <c r="N23" s="514"/>
      <c r="O23" s="514"/>
      <c r="P23" s="514"/>
      <c r="Q23" s="514"/>
      <c r="R23" s="514"/>
      <c r="S23" s="514"/>
      <c r="T23" s="514"/>
      <c r="U23" s="514"/>
      <c r="V23" s="514"/>
      <c r="W23" s="514"/>
      <c r="X23" s="514"/>
      <c r="Y23" s="514"/>
      <c r="Z23" s="514"/>
      <c r="AA23" s="514"/>
      <c r="AB23" s="514"/>
      <c r="AC23" s="514"/>
      <c r="AD23" s="514"/>
      <c r="AE23" s="514"/>
      <c r="AF23" s="514"/>
      <c r="AG23" s="514"/>
      <c r="AH23" s="514"/>
      <c r="AI23" s="514"/>
    </row>
    <row r="24" spans="1:35" x14ac:dyDescent="0.2">
      <c r="A24" s="512" t="s">
        <v>98</v>
      </c>
      <c r="B24" s="512"/>
      <c r="C24" s="512"/>
      <c r="D24" s="512"/>
      <c r="E24" s="512">
        <f>SUM(E25:E28,E35,E39:E40,E43:E49)</f>
        <v>0</v>
      </c>
      <c r="F24" s="514">
        <f>SUM(F25:F28,F35,F39:F40,F43:F50)</f>
        <v>141006.39999999999</v>
      </c>
      <c r="G24" s="514">
        <f>SUM(G25:G28,G35,G39:G40,G43:G50)</f>
        <v>141006.39999999999</v>
      </c>
      <c r="H24" s="514">
        <f t="shared" ref="H24:AI24" si="18">SUM(H25:H28,H35,H39:H40,H43:H50)</f>
        <v>141006.39999999999</v>
      </c>
      <c r="I24" s="514">
        <f>SUM(I25:I28,I35,I39:I40,I43:I50)</f>
        <v>141006.39999999999</v>
      </c>
      <c r="J24" s="514">
        <f>SUM(J25:J28,J35,J39:J40,J43:J50)</f>
        <v>141006.39999999999</v>
      </c>
      <c r="K24" s="514">
        <f>SUM(K25:K28,K35,K39:K40,K43:K50)</f>
        <v>141006.39999999999</v>
      </c>
      <c r="L24" s="514">
        <f>SUM(L25:L28,L35,L39:L40,L43:L50)</f>
        <v>141006.39999999999</v>
      </c>
      <c r="M24" s="514">
        <f>SUM(M25:M28,M35,M39:M40,M43:M50)</f>
        <v>141006.39999999999</v>
      </c>
      <c r="N24" s="514">
        <f t="shared" si="18"/>
        <v>141006.39999999999</v>
      </c>
      <c r="O24" s="514">
        <f t="shared" si="18"/>
        <v>141006.39999999999</v>
      </c>
      <c r="P24" s="514">
        <f t="shared" si="18"/>
        <v>141006.39999999999</v>
      </c>
      <c r="Q24" s="514">
        <f t="shared" si="18"/>
        <v>141006.39999999999</v>
      </c>
      <c r="R24" s="514">
        <f t="shared" si="18"/>
        <v>141006.39999999999</v>
      </c>
      <c r="S24" s="514">
        <f t="shared" si="18"/>
        <v>141006.39999999999</v>
      </c>
      <c r="T24" s="514">
        <f t="shared" si="18"/>
        <v>141006.39999999999</v>
      </c>
      <c r="U24" s="514">
        <f t="shared" si="18"/>
        <v>141006.39999999999</v>
      </c>
      <c r="V24" s="514">
        <f t="shared" si="18"/>
        <v>141006.39999999999</v>
      </c>
      <c r="W24" s="514">
        <f t="shared" si="18"/>
        <v>141006.39999999999</v>
      </c>
      <c r="X24" s="514">
        <f t="shared" si="18"/>
        <v>141006.39999999999</v>
      </c>
      <c r="Y24" s="514">
        <f t="shared" si="18"/>
        <v>141006.39999999999</v>
      </c>
      <c r="Z24" s="514">
        <f t="shared" si="18"/>
        <v>141006.39999999999</v>
      </c>
      <c r="AA24" s="514">
        <f t="shared" si="18"/>
        <v>141006.39999999999</v>
      </c>
      <c r="AB24" s="514">
        <f t="shared" si="18"/>
        <v>141006.39999999999</v>
      </c>
      <c r="AC24" s="514">
        <f t="shared" si="18"/>
        <v>141006.39999999999</v>
      </c>
      <c r="AD24" s="514">
        <f t="shared" si="18"/>
        <v>141006.39999999999</v>
      </c>
      <c r="AE24" s="514">
        <f t="shared" si="18"/>
        <v>141006.39999999999</v>
      </c>
      <c r="AF24" s="514">
        <f t="shared" si="18"/>
        <v>141006.39999999999</v>
      </c>
      <c r="AG24" s="514">
        <f t="shared" si="18"/>
        <v>141006.39999999999</v>
      </c>
      <c r="AH24" s="514">
        <f t="shared" si="18"/>
        <v>141006.39999999999</v>
      </c>
      <c r="AI24" s="514">
        <f t="shared" si="18"/>
        <v>141006.39999999999</v>
      </c>
    </row>
    <row r="25" spans="1:35" x14ac:dyDescent="0.2">
      <c r="A25" s="512" t="s">
        <v>12</v>
      </c>
      <c r="B25" s="512"/>
      <c r="C25" s="512" t="s">
        <v>60</v>
      </c>
      <c r="D25" s="512"/>
      <c r="E25" s="512">
        <v>0</v>
      </c>
      <c r="F25" s="514">
        <f>'Параметры проекта'!$B$23</f>
        <v>50000</v>
      </c>
      <c r="G25" s="514">
        <f>'Параметры проекта'!$B$23</f>
        <v>50000</v>
      </c>
      <c r="H25" s="514">
        <f>'Параметры проекта'!$B$23</f>
        <v>50000</v>
      </c>
      <c r="I25" s="514">
        <f>'Параметры проекта'!$B$23</f>
        <v>50000</v>
      </c>
      <c r="J25" s="514">
        <f>'Параметры проекта'!$B$23</f>
        <v>50000</v>
      </c>
      <c r="K25" s="514">
        <f>'Параметры проекта'!$B$23</f>
        <v>50000</v>
      </c>
      <c r="L25" s="514">
        <f>'Параметры проекта'!$B$23</f>
        <v>50000</v>
      </c>
      <c r="M25" s="514">
        <f>'Параметры проекта'!$B$23</f>
        <v>50000</v>
      </c>
      <c r="N25" s="514">
        <f>'Параметры проекта'!$B$23</f>
        <v>50000</v>
      </c>
      <c r="O25" s="514">
        <f>'Параметры проекта'!$B$23</f>
        <v>50000</v>
      </c>
      <c r="P25" s="514">
        <f>'Параметры проекта'!$B$23</f>
        <v>50000</v>
      </c>
      <c r="Q25" s="514">
        <f>'Параметры проекта'!$B$23</f>
        <v>50000</v>
      </c>
      <c r="R25" s="514">
        <f>'Параметры проекта'!$B$23</f>
        <v>50000</v>
      </c>
      <c r="S25" s="514">
        <f>'Параметры проекта'!$B$23</f>
        <v>50000</v>
      </c>
      <c r="T25" s="514">
        <f>'Параметры проекта'!$B$23</f>
        <v>50000</v>
      </c>
      <c r="U25" s="514">
        <f>'Параметры проекта'!$B$23</f>
        <v>50000</v>
      </c>
      <c r="V25" s="514">
        <f>'Параметры проекта'!$B$23</f>
        <v>50000</v>
      </c>
      <c r="W25" s="514">
        <f>'Параметры проекта'!$B$23</f>
        <v>50000</v>
      </c>
      <c r="X25" s="514">
        <f>'Параметры проекта'!$B$23</f>
        <v>50000</v>
      </c>
      <c r="Y25" s="514">
        <f>'Параметры проекта'!$B$23</f>
        <v>50000</v>
      </c>
      <c r="Z25" s="514">
        <f>'Параметры проекта'!$B$23</f>
        <v>50000</v>
      </c>
      <c r="AA25" s="514">
        <f>'Параметры проекта'!$B$23</f>
        <v>50000</v>
      </c>
      <c r="AB25" s="514">
        <f>'Параметры проекта'!$B$23</f>
        <v>50000</v>
      </c>
      <c r="AC25" s="514">
        <f>'Параметры проекта'!$B$23</f>
        <v>50000</v>
      </c>
      <c r="AD25" s="514">
        <f>'Параметры проекта'!$B$23</f>
        <v>50000</v>
      </c>
      <c r="AE25" s="514">
        <f>'Параметры проекта'!$B$23</f>
        <v>50000</v>
      </c>
      <c r="AF25" s="514">
        <f>'Параметры проекта'!$B$23</f>
        <v>50000</v>
      </c>
      <c r="AG25" s="514">
        <f>'Параметры проекта'!$B$23</f>
        <v>50000</v>
      </c>
      <c r="AH25" s="514">
        <f>'Параметры проекта'!$B$23</f>
        <v>50000</v>
      </c>
      <c r="AI25" s="514">
        <f>'Параметры проекта'!$B$23</f>
        <v>50000</v>
      </c>
    </row>
    <row r="26" spans="1:35" ht="11.25" customHeight="1" x14ac:dyDescent="0.2">
      <c r="A26" s="512" t="s">
        <v>13</v>
      </c>
      <c r="B26" s="512"/>
      <c r="C26" s="512"/>
      <c r="D26" s="512"/>
      <c r="E26" s="512"/>
      <c r="F26" s="514">
        <f>'Параметры проекта'!$B$24</f>
        <v>5000</v>
      </c>
      <c r="G26" s="514">
        <f>'Параметры проекта'!$B$24</f>
        <v>5000</v>
      </c>
      <c r="H26" s="514">
        <f>'Параметры проекта'!$B$24</f>
        <v>5000</v>
      </c>
      <c r="I26" s="514">
        <f>'Параметры проекта'!$B$24</f>
        <v>5000</v>
      </c>
      <c r="J26" s="514">
        <f>'Параметры проекта'!$B$24</f>
        <v>5000</v>
      </c>
      <c r="K26" s="514">
        <f>'Параметры проекта'!$B$24</f>
        <v>5000</v>
      </c>
      <c r="L26" s="514">
        <f>'Параметры проекта'!$B$24</f>
        <v>5000</v>
      </c>
      <c r="M26" s="514">
        <f>'Параметры проекта'!$B$24</f>
        <v>5000</v>
      </c>
      <c r="N26" s="514">
        <f>'Параметры проекта'!$B$24</f>
        <v>5000</v>
      </c>
      <c r="O26" s="514">
        <f>'Параметры проекта'!$B$24</f>
        <v>5000</v>
      </c>
      <c r="P26" s="514">
        <f>'Параметры проекта'!$B$24</f>
        <v>5000</v>
      </c>
      <c r="Q26" s="514">
        <f>'Параметры проекта'!$B$24</f>
        <v>5000</v>
      </c>
      <c r="R26" s="514">
        <f>'Параметры проекта'!$B$24</f>
        <v>5000</v>
      </c>
      <c r="S26" s="514">
        <f>'Параметры проекта'!$B$24</f>
        <v>5000</v>
      </c>
      <c r="T26" s="514">
        <f>'Параметры проекта'!$B$24</f>
        <v>5000</v>
      </c>
      <c r="U26" s="514">
        <f>'Параметры проекта'!$B$24</f>
        <v>5000</v>
      </c>
      <c r="V26" s="514">
        <f>'Параметры проекта'!$B$24</f>
        <v>5000</v>
      </c>
      <c r="W26" s="514">
        <f>'Параметры проекта'!$B$24</f>
        <v>5000</v>
      </c>
      <c r="X26" s="514">
        <f>'Параметры проекта'!$B$24</f>
        <v>5000</v>
      </c>
      <c r="Y26" s="514">
        <f>'Параметры проекта'!$B$24</f>
        <v>5000</v>
      </c>
      <c r="Z26" s="514">
        <f>'Параметры проекта'!$B$24</f>
        <v>5000</v>
      </c>
      <c r="AA26" s="514">
        <f>'Параметры проекта'!$B$24</f>
        <v>5000</v>
      </c>
      <c r="AB26" s="514">
        <f>'Параметры проекта'!$B$24</f>
        <v>5000</v>
      </c>
      <c r="AC26" s="514">
        <f>'Параметры проекта'!$B$24</f>
        <v>5000</v>
      </c>
      <c r="AD26" s="514">
        <f>'Параметры проекта'!$B$24</f>
        <v>5000</v>
      </c>
      <c r="AE26" s="514">
        <f>'Параметры проекта'!$B$24</f>
        <v>5000</v>
      </c>
      <c r="AF26" s="514">
        <f>'Параметры проекта'!$B$24</f>
        <v>5000</v>
      </c>
      <c r="AG26" s="514">
        <f>'Параметры проекта'!$B$24</f>
        <v>5000</v>
      </c>
      <c r="AH26" s="514">
        <f>'Параметры проекта'!$B$24</f>
        <v>5000</v>
      </c>
      <c r="AI26" s="514">
        <f>'Параметры проекта'!$B$24</f>
        <v>5000</v>
      </c>
    </row>
    <row r="27" spans="1:35" ht="1.5" customHeight="1" x14ac:dyDescent="0.2">
      <c r="A27" s="512"/>
      <c r="B27" s="512"/>
      <c r="C27" s="512"/>
      <c r="D27" s="512"/>
      <c r="E27" s="512"/>
      <c r="F27" s="514"/>
      <c r="G27" s="514"/>
      <c r="H27" s="514"/>
      <c r="I27" s="514"/>
      <c r="J27" s="514"/>
      <c r="K27" s="514"/>
      <c r="L27" s="514"/>
      <c r="M27" s="514"/>
      <c r="N27" s="514"/>
      <c r="O27" s="514"/>
      <c r="P27" s="514"/>
      <c r="Q27" s="514"/>
      <c r="R27" s="514"/>
      <c r="S27" s="514"/>
      <c r="T27" s="514"/>
      <c r="U27" s="514"/>
      <c r="V27" s="514"/>
      <c r="W27" s="514"/>
      <c r="X27" s="514"/>
      <c r="Y27" s="514"/>
      <c r="Z27" s="514"/>
      <c r="AA27" s="514"/>
      <c r="AB27" s="514"/>
      <c r="AC27" s="514"/>
      <c r="AD27" s="514"/>
      <c r="AE27" s="514"/>
      <c r="AF27" s="514"/>
      <c r="AG27" s="514"/>
      <c r="AH27" s="514"/>
      <c r="AI27" s="514"/>
    </row>
    <row r="28" spans="1:35" x14ac:dyDescent="0.2">
      <c r="A28" s="512" t="s">
        <v>52</v>
      </c>
      <c r="B28" s="512"/>
      <c r="C28" s="512"/>
      <c r="D28" s="512"/>
      <c r="E28" s="514">
        <v>0</v>
      </c>
      <c r="F28" s="514">
        <f>$H$68</f>
        <v>46000</v>
      </c>
      <c r="G28" s="514">
        <f t="shared" ref="G28:AI28" si="19">$H$68</f>
        <v>46000</v>
      </c>
      <c r="H28" s="514">
        <f t="shared" si="19"/>
        <v>46000</v>
      </c>
      <c r="I28" s="514">
        <f t="shared" si="19"/>
        <v>46000</v>
      </c>
      <c r="J28" s="514">
        <f t="shared" si="19"/>
        <v>46000</v>
      </c>
      <c r="K28" s="514">
        <f t="shared" si="19"/>
        <v>46000</v>
      </c>
      <c r="L28" s="514">
        <f t="shared" si="19"/>
        <v>46000</v>
      </c>
      <c r="M28" s="514">
        <f t="shared" si="19"/>
        <v>46000</v>
      </c>
      <c r="N28" s="514">
        <f t="shared" si="19"/>
        <v>46000</v>
      </c>
      <c r="O28" s="514">
        <f t="shared" si="19"/>
        <v>46000</v>
      </c>
      <c r="P28" s="514">
        <f t="shared" si="19"/>
        <v>46000</v>
      </c>
      <c r="Q28" s="514">
        <f t="shared" si="19"/>
        <v>46000</v>
      </c>
      <c r="R28" s="514">
        <f t="shared" si="19"/>
        <v>46000</v>
      </c>
      <c r="S28" s="514">
        <f t="shared" si="19"/>
        <v>46000</v>
      </c>
      <c r="T28" s="514">
        <f t="shared" si="19"/>
        <v>46000</v>
      </c>
      <c r="U28" s="514">
        <f t="shared" si="19"/>
        <v>46000</v>
      </c>
      <c r="V28" s="514">
        <f t="shared" si="19"/>
        <v>46000</v>
      </c>
      <c r="W28" s="514">
        <f t="shared" si="19"/>
        <v>46000</v>
      </c>
      <c r="X28" s="514">
        <f t="shared" si="19"/>
        <v>46000</v>
      </c>
      <c r="Y28" s="514">
        <f t="shared" si="19"/>
        <v>46000</v>
      </c>
      <c r="Z28" s="514">
        <f t="shared" si="19"/>
        <v>46000</v>
      </c>
      <c r="AA28" s="514">
        <f t="shared" si="19"/>
        <v>46000</v>
      </c>
      <c r="AB28" s="514">
        <f t="shared" si="19"/>
        <v>46000</v>
      </c>
      <c r="AC28" s="514">
        <f t="shared" si="19"/>
        <v>46000</v>
      </c>
      <c r="AD28" s="514">
        <f t="shared" si="19"/>
        <v>46000</v>
      </c>
      <c r="AE28" s="514">
        <f t="shared" si="19"/>
        <v>46000</v>
      </c>
      <c r="AF28" s="514">
        <f t="shared" si="19"/>
        <v>46000</v>
      </c>
      <c r="AG28" s="514">
        <f t="shared" si="19"/>
        <v>46000</v>
      </c>
      <c r="AH28" s="514">
        <f t="shared" si="19"/>
        <v>46000</v>
      </c>
      <c r="AI28" s="514">
        <f t="shared" si="19"/>
        <v>46000</v>
      </c>
    </row>
    <row r="29" spans="1:35" hidden="1" outlineLevel="1" x14ac:dyDescent="0.2">
      <c r="A29" s="512" t="s">
        <v>14</v>
      </c>
      <c r="B29" s="512">
        <v>2</v>
      </c>
      <c r="C29" s="512">
        <v>35000</v>
      </c>
      <c r="D29" s="512">
        <f>B29*C29</f>
        <v>70000</v>
      </c>
      <c r="E29" s="512"/>
      <c r="F29" s="514"/>
      <c r="G29" s="514"/>
      <c r="H29" s="514"/>
      <c r="I29" s="514"/>
      <c r="J29" s="514"/>
      <c r="K29" s="514"/>
      <c r="L29" s="514"/>
      <c r="M29" s="514"/>
      <c r="N29" s="514"/>
      <c r="O29" s="514"/>
      <c r="P29" s="514"/>
      <c r="Q29" s="514"/>
      <c r="R29" s="514"/>
      <c r="S29" s="514"/>
      <c r="T29" s="514"/>
      <c r="U29" s="514"/>
      <c r="V29" s="514"/>
      <c r="W29" s="514"/>
      <c r="X29" s="514"/>
      <c r="Y29" s="514"/>
      <c r="Z29" s="514"/>
      <c r="AA29" s="514"/>
      <c r="AB29" s="514"/>
      <c r="AC29" s="514"/>
      <c r="AD29" s="514"/>
      <c r="AE29" s="514"/>
      <c r="AF29" s="514"/>
      <c r="AG29" s="514"/>
      <c r="AH29" s="514"/>
      <c r="AI29" s="514"/>
    </row>
    <row r="30" spans="1:35" hidden="1" outlineLevel="1" x14ac:dyDescent="0.2">
      <c r="A30" s="512" t="s">
        <v>15</v>
      </c>
      <c r="B30" s="512">
        <v>0</v>
      </c>
      <c r="C30" s="512">
        <v>37000</v>
      </c>
      <c r="D30" s="512">
        <f t="shared" ref="D30:D31" si="20">B30*C30</f>
        <v>0</v>
      </c>
      <c r="E30" s="512"/>
      <c r="F30" s="514"/>
      <c r="G30" s="514"/>
      <c r="H30" s="514"/>
      <c r="I30" s="514"/>
      <c r="J30" s="514"/>
      <c r="K30" s="514"/>
      <c r="L30" s="514"/>
      <c r="M30" s="514"/>
      <c r="N30" s="514"/>
      <c r="O30" s="514"/>
      <c r="P30" s="514"/>
      <c r="Q30" s="514"/>
      <c r="R30" s="514"/>
      <c r="S30" s="514"/>
      <c r="T30" s="514"/>
      <c r="U30" s="514"/>
      <c r="V30" s="514"/>
      <c r="W30" s="514"/>
      <c r="X30" s="514"/>
      <c r="Y30" s="514"/>
      <c r="Z30" s="514"/>
      <c r="AA30" s="514"/>
      <c r="AB30" s="514"/>
      <c r="AC30" s="514"/>
      <c r="AD30" s="514"/>
      <c r="AE30" s="514"/>
      <c r="AF30" s="514"/>
      <c r="AG30" s="514"/>
      <c r="AH30" s="514"/>
      <c r="AI30" s="514"/>
    </row>
    <row r="31" spans="1:35" hidden="1" outlineLevel="1" x14ac:dyDescent="0.2">
      <c r="A31" s="512" t="s">
        <v>16</v>
      </c>
      <c r="B31" s="512">
        <v>0</v>
      </c>
      <c r="C31" s="512">
        <v>24000</v>
      </c>
      <c r="D31" s="512">
        <f t="shared" si="20"/>
        <v>0</v>
      </c>
      <c r="E31" s="512"/>
      <c r="F31" s="514"/>
      <c r="G31" s="514"/>
      <c r="H31" s="514"/>
      <c r="I31" s="514"/>
      <c r="J31" s="514"/>
      <c r="K31" s="514"/>
      <c r="L31" s="514"/>
      <c r="M31" s="514"/>
      <c r="N31" s="514"/>
      <c r="O31" s="514"/>
      <c r="P31" s="514"/>
      <c r="Q31" s="514"/>
      <c r="R31" s="514"/>
      <c r="S31" s="514"/>
      <c r="T31" s="514"/>
      <c r="U31" s="514"/>
      <c r="V31" s="514"/>
      <c r="W31" s="514"/>
      <c r="X31" s="514"/>
      <c r="Y31" s="514"/>
      <c r="Z31" s="514"/>
      <c r="AA31" s="514"/>
      <c r="AB31" s="514"/>
      <c r="AC31" s="514"/>
      <c r="AD31" s="514"/>
      <c r="AE31" s="514"/>
      <c r="AF31" s="514"/>
      <c r="AG31" s="514"/>
      <c r="AH31" s="514"/>
      <c r="AI31" s="514"/>
    </row>
    <row r="32" spans="1:35" hidden="1" outlineLevel="1" x14ac:dyDescent="0.2">
      <c r="A32" s="512" t="s">
        <v>17</v>
      </c>
      <c r="B32" s="512">
        <v>0</v>
      </c>
      <c r="C32" s="512"/>
      <c r="D32" s="512">
        <f>B32*C32</f>
        <v>0</v>
      </c>
      <c r="E32" s="512"/>
      <c r="F32" s="514"/>
      <c r="G32" s="514"/>
      <c r="H32" s="514"/>
      <c r="I32" s="514"/>
      <c r="J32" s="514"/>
      <c r="K32" s="514"/>
      <c r="L32" s="514"/>
      <c r="M32" s="514"/>
      <c r="N32" s="514"/>
      <c r="O32" s="514"/>
      <c r="P32" s="514"/>
      <c r="Q32" s="514"/>
      <c r="R32" s="514"/>
      <c r="S32" s="514"/>
      <c r="T32" s="514"/>
      <c r="U32" s="514"/>
      <c r="V32" s="514"/>
      <c r="W32" s="514"/>
      <c r="X32" s="514"/>
      <c r="Y32" s="514"/>
      <c r="Z32" s="514"/>
      <c r="AA32" s="514"/>
      <c r="AB32" s="514"/>
      <c r="AC32" s="514"/>
      <c r="AD32" s="514"/>
      <c r="AE32" s="514"/>
      <c r="AF32" s="514"/>
      <c r="AG32" s="514"/>
      <c r="AH32" s="514"/>
      <c r="AI32" s="514"/>
    </row>
    <row r="33" spans="1:35" hidden="1" outlineLevel="1" x14ac:dyDescent="0.2">
      <c r="A33" s="512" t="s">
        <v>18</v>
      </c>
      <c r="B33" s="512"/>
      <c r="C33" s="512"/>
      <c r="D33" s="512">
        <f>SUM(D29:D32)</f>
        <v>70000</v>
      </c>
      <c r="E33" s="512"/>
      <c r="F33" s="514"/>
      <c r="G33" s="514"/>
      <c r="H33" s="514"/>
      <c r="I33" s="514"/>
      <c r="J33" s="514"/>
      <c r="K33" s="514"/>
      <c r="L33" s="514"/>
      <c r="M33" s="514"/>
      <c r="N33" s="514"/>
      <c r="O33" s="514"/>
      <c r="P33" s="514"/>
      <c r="Q33" s="514"/>
      <c r="R33" s="514"/>
      <c r="S33" s="514"/>
      <c r="T33" s="514"/>
      <c r="U33" s="514"/>
      <c r="V33" s="514"/>
      <c r="W33" s="514"/>
      <c r="X33" s="514"/>
      <c r="Y33" s="514"/>
      <c r="Z33" s="514"/>
      <c r="AA33" s="514"/>
      <c r="AB33" s="514"/>
      <c r="AC33" s="514"/>
      <c r="AD33" s="514"/>
      <c r="AE33" s="514"/>
      <c r="AF33" s="514"/>
      <c r="AG33" s="514"/>
      <c r="AH33" s="514"/>
      <c r="AI33" s="514"/>
    </row>
    <row r="34" spans="1:35" hidden="1" outlineLevel="1" x14ac:dyDescent="0.2">
      <c r="A34" s="512" t="s">
        <v>19</v>
      </c>
      <c r="B34" s="512"/>
      <c r="C34" s="512"/>
      <c r="D34" s="512">
        <f>D33-D32</f>
        <v>70000</v>
      </c>
      <c r="E34" s="512"/>
      <c r="F34" s="514"/>
      <c r="G34" s="514"/>
      <c r="H34" s="514"/>
      <c r="I34" s="514"/>
      <c r="J34" s="514"/>
      <c r="K34" s="514"/>
      <c r="L34" s="514"/>
      <c r="M34" s="514"/>
      <c r="N34" s="514"/>
      <c r="O34" s="514"/>
      <c r="P34" s="514"/>
      <c r="Q34" s="514"/>
      <c r="R34" s="514"/>
      <c r="S34" s="514"/>
      <c r="T34" s="514"/>
      <c r="U34" s="514"/>
      <c r="V34" s="514"/>
      <c r="W34" s="514"/>
      <c r="X34" s="514"/>
      <c r="Y34" s="514"/>
      <c r="Z34" s="514"/>
      <c r="AA34" s="514"/>
      <c r="AB34" s="514"/>
      <c r="AC34" s="514"/>
      <c r="AD34" s="514"/>
      <c r="AE34" s="514"/>
      <c r="AF34" s="514"/>
      <c r="AG34" s="514"/>
      <c r="AH34" s="514"/>
      <c r="AI34" s="514"/>
    </row>
    <row r="35" spans="1:35" collapsed="1" x14ac:dyDescent="0.2">
      <c r="A35" s="512" t="s">
        <v>20</v>
      </c>
      <c r="B35" s="512">
        <f>B29+B30+B31</f>
        <v>2</v>
      </c>
      <c r="C35" s="512">
        <v>11000</v>
      </c>
      <c r="D35" s="519">
        <v>0.30199999999999999</v>
      </c>
      <c r="E35" s="512"/>
      <c r="F35" s="514">
        <f>$H$70</f>
        <v>7248</v>
      </c>
      <c r="G35" s="514">
        <f>$H$70</f>
        <v>7248</v>
      </c>
      <c r="H35" s="514">
        <f t="shared" ref="H35:AI35" si="21">$H$70</f>
        <v>7248</v>
      </c>
      <c r="I35" s="514">
        <f t="shared" si="21"/>
        <v>7248</v>
      </c>
      <c r="J35" s="514">
        <f t="shared" si="21"/>
        <v>7248</v>
      </c>
      <c r="K35" s="514">
        <f t="shared" si="21"/>
        <v>7248</v>
      </c>
      <c r="L35" s="514">
        <f t="shared" si="21"/>
        <v>7248</v>
      </c>
      <c r="M35" s="514">
        <f t="shared" si="21"/>
        <v>7248</v>
      </c>
      <c r="N35" s="514">
        <f t="shared" si="21"/>
        <v>7248</v>
      </c>
      <c r="O35" s="514">
        <f t="shared" si="21"/>
        <v>7248</v>
      </c>
      <c r="P35" s="514">
        <f t="shared" si="21"/>
        <v>7248</v>
      </c>
      <c r="Q35" s="514">
        <f t="shared" si="21"/>
        <v>7248</v>
      </c>
      <c r="R35" s="514">
        <f t="shared" si="21"/>
        <v>7248</v>
      </c>
      <c r="S35" s="514">
        <f t="shared" si="21"/>
        <v>7248</v>
      </c>
      <c r="T35" s="514">
        <f t="shared" si="21"/>
        <v>7248</v>
      </c>
      <c r="U35" s="514">
        <f t="shared" si="21"/>
        <v>7248</v>
      </c>
      <c r="V35" s="514">
        <f t="shared" si="21"/>
        <v>7248</v>
      </c>
      <c r="W35" s="514">
        <f t="shared" si="21"/>
        <v>7248</v>
      </c>
      <c r="X35" s="514">
        <f t="shared" si="21"/>
        <v>7248</v>
      </c>
      <c r="Y35" s="514">
        <f t="shared" si="21"/>
        <v>7248</v>
      </c>
      <c r="Z35" s="514">
        <f t="shared" si="21"/>
        <v>7248</v>
      </c>
      <c r="AA35" s="514">
        <f t="shared" si="21"/>
        <v>7248</v>
      </c>
      <c r="AB35" s="514">
        <f t="shared" si="21"/>
        <v>7248</v>
      </c>
      <c r="AC35" s="514">
        <f t="shared" si="21"/>
        <v>7248</v>
      </c>
      <c r="AD35" s="514">
        <f t="shared" si="21"/>
        <v>7248</v>
      </c>
      <c r="AE35" s="514">
        <f t="shared" si="21"/>
        <v>7248</v>
      </c>
      <c r="AF35" s="514">
        <f t="shared" si="21"/>
        <v>7248</v>
      </c>
      <c r="AG35" s="514">
        <f t="shared" si="21"/>
        <v>7248</v>
      </c>
      <c r="AH35" s="514">
        <f t="shared" si="21"/>
        <v>7248</v>
      </c>
      <c r="AI35" s="514">
        <f t="shared" si="21"/>
        <v>7248</v>
      </c>
    </row>
    <row r="36" spans="1:35" hidden="1" outlineLevel="2" x14ac:dyDescent="0.2">
      <c r="A36" s="512"/>
      <c r="B36" s="512"/>
      <c r="C36" s="512" t="s">
        <v>21</v>
      </c>
      <c r="D36" s="512">
        <f>SUM(B29:B32)-B32</f>
        <v>2</v>
      </c>
      <c r="E36" s="512"/>
      <c r="F36" s="514"/>
      <c r="G36" s="514"/>
      <c r="H36" s="514"/>
      <c r="I36" s="514"/>
      <c r="J36" s="514"/>
      <c r="K36" s="514"/>
      <c r="L36" s="514"/>
      <c r="M36" s="514"/>
      <c r="N36" s="514"/>
      <c r="O36" s="514"/>
      <c r="P36" s="514"/>
      <c r="Q36" s="514"/>
      <c r="R36" s="514"/>
      <c r="S36" s="514"/>
      <c r="T36" s="514"/>
      <c r="U36" s="514"/>
      <c r="V36" s="514"/>
      <c r="W36" s="514"/>
      <c r="X36" s="514"/>
      <c r="Y36" s="514"/>
      <c r="Z36" s="514"/>
      <c r="AA36" s="514"/>
      <c r="AB36" s="514"/>
      <c r="AC36" s="514"/>
      <c r="AD36" s="514"/>
      <c r="AE36" s="514"/>
      <c r="AF36" s="514"/>
      <c r="AG36" s="514"/>
      <c r="AH36" s="514"/>
      <c r="AI36" s="514"/>
    </row>
    <row r="37" spans="1:35" hidden="1" outlineLevel="2" x14ac:dyDescent="0.2">
      <c r="A37" s="512"/>
      <c r="B37" s="512"/>
      <c r="C37" s="512" t="s">
        <v>22</v>
      </c>
      <c r="D37" s="512">
        <v>10000</v>
      </c>
      <c r="E37" s="512"/>
      <c r="F37" s="514"/>
      <c r="G37" s="514"/>
      <c r="H37" s="514"/>
      <c r="I37" s="514"/>
      <c r="J37" s="514"/>
      <c r="K37" s="514"/>
      <c r="L37" s="514"/>
      <c r="M37" s="514"/>
      <c r="N37" s="514"/>
      <c r="O37" s="514"/>
      <c r="P37" s="514"/>
      <c r="Q37" s="514"/>
      <c r="R37" s="514"/>
      <c r="S37" s="514"/>
      <c r="T37" s="514"/>
      <c r="U37" s="514"/>
      <c r="V37" s="514"/>
      <c r="W37" s="514"/>
      <c r="X37" s="514"/>
      <c r="Y37" s="514"/>
      <c r="Z37" s="514"/>
      <c r="AA37" s="514"/>
      <c r="AB37" s="514"/>
      <c r="AC37" s="514"/>
      <c r="AD37" s="514"/>
      <c r="AE37" s="514"/>
      <c r="AF37" s="514"/>
      <c r="AG37" s="514"/>
      <c r="AH37" s="514"/>
      <c r="AI37" s="514"/>
    </row>
    <row r="38" spans="1:35" hidden="1" outlineLevel="2" x14ac:dyDescent="0.2">
      <c r="A38" s="512"/>
      <c r="B38" s="512"/>
      <c r="C38" s="512" t="s">
        <v>23</v>
      </c>
      <c r="D38" s="520">
        <v>0.30199999999999999</v>
      </c>
      <c r="E38" s="512"/>
      <c r="F38" s="514"/>
      <c r="G38" s="514"/>
      <c r="H38" s="514"/>
      <c r="I38" s="514"/>
      <c r="J38" s="514"/>
      <c r="K38" s="514"/>
      <c r="L38" s="514"/>
      <c r="M38" s="514"/>
      <c r="N38" s="514"/>
      <c r="O38" s="514"/>
      <c r="P38" s="514"/>
      <c r="Q38" s="514"/>
      <c r="R38" s="514"/>
      <c r="S38" s="514"/>
      <c r="T38" s="514"/>
      <c r="U38" s="514"/>
      <c r="V38" s="514"/>
      <c r="W38" s="514"/>
      <c r="X38" s="514"/>
      <c r="Y38" s="514"/>
      <c r="Z38" s="514"/>
      <c r="AA38" s="514"/>
      <c r="AB38" s="514"/>
      <c r="AC38" s="514"/>
      <c r="AD38" s="514"/>
      <c r="AE38" s="514"/>
      <c r="AF38" s="514"/>
      <c r="AG38" s="514"/>
      <c r="AH38" s="514"/>
      <c r="AI38" s="514"/>
    </row>
    <row r="39" spans="1:35" collapsed="1" x14ac:dyDescent="0.2">
      <c r="A39" s="512" t="s">
        <v>24</v>
      </c>
      <c r="B39" s="512"/>
      <c r="C39" s="512"/>
      <c r="D39" s="512"/>
      <c r="E39" s="512"/>
      <c r="F39" s="514">
        <f>1300+200</f>
        <v>1500</v>
      </c>
      <c r="G39" s="514">
        <f t="shared" ref="G39:AI39" si="22">1300+200</f>
        <v>1500</v>
      </c>
      <c r="H39" s="514">
        <f t="shared" si="22"/>
        <v>1500</v>
      </c>
      <c r="I39" s="514">
        <f t="shared" si="22"/>
        <v>1500</v>
      </c>
      <c r="J39" s="514">
        <f t="shared" si="22"/>
        <v>1500</v>
      </c>
      <c r="K39" s="514">
        <f t="shared" si="22"/>
        <v>1500</v>
      </c>
      <c r="L39" s="514">
        <f t="shared" si="22"/>
        <v>1500</v>
      </c>
      <c r="M39" s="514">
        <f t="shared" si="22"/>
        <v>1500</v>
      </c>
      <c r="N39" s="514">
        <f t="shared" si="22"/>
        <v>1500</v>
      </c>
      <c r="O39" s="514">
        <f t="shared" si="22"/>
        <v>1500</v>
      </c>
      <c r="P39" s="514">
        <f t="shared" si="22"/>
        <v>1500</v>
      </c>
      <c r="Q39" s="514">
        <f t="shared" si="22"/>
        <v>1500</v>
      </c>
      <c r="R39" s="514">
        <f t="shared" si="22"/>
        <v>1500</v>
      </c>
      <c r="S39" s="514">
        <f t="shared" si="22"/>
        <v>1500</v>
      </c>
      <c r="T39" s="514">
        <f t="shared" si="22"/>
        <v>1500</v>
      </c>
      <c r="U39" s="514">
        <f t="shared" si="22"/>
        <v>1500</v>
      </c>
      <c r="V39" s="514">
        <f t="shared" si="22"/>
        <v>1500</v>
      </c>
      <c r="W39" s="514">
        <f t="shared" si="22"/>
        <v>1500</v>
      </c>
      <c r="X39" s="514">
        <f t="shared" si="22"/>
        <v>1500</v>
      </c>
      <c r="Y39" s="514">
        <f t="shared" si="22"/>
        <v>1500</v>
      </c>
      <c r="Z39" s="514">
        <f t="shared" si="22"/>
        <v>1500</v>
      </c>
      <c r="AA39" s="514">
        <f t="shared" si="22"/>
        <v>1500</v>
      </c>
      <c r="AB39" s="514">
        <f t="shared" si="22"/>
        <v>1500</v>
      </c>
      <c r="AC39" s="514">
        <f t="shared" si="22"/>
        <v>1500</v>
      </c>
      <c r="AD39" s="514">
        <f t="shared" si="22"/>
        <v>1500</v>
      </c>
      <c r="AE39" s="514">
        <f t="shared" si="22"/>
        <v>1500</v>
      </c>
      <c r="AF39" s="514">
        <f t="shared" si="22"/>
        <v>1500</v>
      </c>
      <c r="AG39" s="514">
        <f t="shared" si="22"/>
        <v>1500</v>
      </c>
      <c r="AH39" s="514">
        <f t="shared" si="22"/>
        <v>1500</v>
      </c>
      <c r="AI39" s="514">
        <f t="shared" si="22"/>
        <v>1500</v>
      </c>
    </row>
    <row r="40" spans="1:35" x14ac:dyDescent="0.2">
      <c r="A40" s="512" t="s">
        <v>25</v>
      </c>
      <c r="B40" s="512"/>
      <c r="C40" s="512"/>
      <c r="D40" s="512"/>
      <c r="E40" s="512"/>
      <c r="F40" s="514">
        <f t="shared" ref="F40:AI40" si="23">F41+F42</f>
        <v>5000</v>
      </c>
      <c r="G40" s="514">
        <f t="shared" si="23"/>
        <v>5000</v>
      </c>
      <c r="H40" s="514">
        <f t="shared" si="23"/>
        <v>5000</v>
      </c>
      <c r="I40" s="514">
        <f t="shared" si="23"/>
        <v>5000</v>
      </c>
      <c r="J40" s="514">
        <f t="shared" si="23"/>
        <v>5000</v>
      </c>
      <c r="K40" s="514">
        <f>K41+K42</f>
        <v>5000</v>
      </c>
      <c r="L40" s="514">
        <f t="shared" si="23"/>
        <v>5000</v>
      </c>
      <c r="M40" s="514">
        <f t="shared" si="23"/>
        <v>5000</v>
      </c>
      <c r="N40" s="514">
        <f t="shared" si="23"/>
        <v>5000</v>
      </c>
      <c r="O40" s="514">
        <f t="shared" si="23"/>
        <v>5000</v>
      </c>
      <c r="P40" s="514">
        <f t="shared" si="23"/>
        <v>5000</v>
      </c>
      <c r="Q40" s="514">
        <f t="shared" si="23"/>
        <v>5000</v>
      </c>
      <c r="R40" s="514">
        <f t="shared" si="23"/>
        <v>5000</v>
      </c>
      <c r="S40" s="514">
        <f t="shared" si="23"/>
        <v>5000</v>
      </c>
      <c r="T40" s="514">
        <f t="shared" si="23"/>
        <v>5000</v>
      </c>
      <c r="U40" s="514">
        <f t="shared" si="23"/>
        <v>5000</v>
      </c>
      <c r="V40" s="514">
        <f t="shared" si="23"/>
        <v>5000</v>
      </c>
      <c r="W40" s="514">
        <f t="shared" si="23"/>
        <v>5000</v>
      </c>
      <c r="X40" s="514">
        <f t="shared" si="23"/>
        <v>5000</v>
      </c>
      <c r="Y40" s="514">
        <f t="shared" si="23"/>
        <v>5000</v>
      </c>
      <c r="Z40" s="514">
        <f t="shared" si="23"/>
        <v>5000</v>
      </c>
      <c r="AA40" s="514">
        <f t="shared" si="23"/>
        <v>5000</v>
      </c>
      <c r="AB40" s="514">
        <f t="shared" si="23"/>
        <v>5000</v>
      </c>
      <c r="AC40" s="514">
        <f t="shared" si="23"/>
        <v>5000</v>
      </c>
      <c r="AD40" s="514">
        <f t="shared" si="23"/>
        <v>5000</v>
      </c>
      <c r="AE40" s="514">
        <f t="shared" si="23"/>
        <v>5000</v>
      </c>
      <c r="AF40" s="514">
        <f t="shared" si="23"/>
        <v>5000</v>
      </c>
      <c r="AG40" s="514">
        <f t="shared" si="23"/>
        <v>5000</v>
      </c>
      <c r="AH40" s="514">
        <f t="shared" si="23"/>
        <v>5000</v>
      </c>
      <c r="AI40" s="514">
        <f t="shared" si="23"/>
        <v>5000</v>
      </c>
    </row>
    <row r="41" spans="1:35" hidden="1" x14ac:dyDescent="0.2">
      <c r="A41" s="512" t="s">
        <v>26</v>
      </c>
      <c r="B41" s="512"/>
      <c r="C41" s="512"/>
      <c r="D41" s="512"/>
      <c r="E41" s="512"/>
      <c r="F41" s="514">
        <v>1000</v>
      </c>
      <c r="G41" s="514">
        <v>1000</v>
      </c>
      <c r="H41" s="514">
        <v>1000</v>
      </c>
      <c r="I41" s="514">
        <v>1000</v>
      </c>
      <c r="J41" s="514">
        <v>1000</v>
      </c>
      <c r="K41" s="514">
        <v>1000</v>
      </c>
      <c r="L41" s="514">
        <v>1000</v>
      </c>
      <c r="M41" s="514">
        <v>1000</v>
      </c>
      <c r="N41" s="514">
        <v>1000</v>
      </c>
      <c r="O41" s="514">
        <v>1000</v>
      </c>
      <c r="P41" s="514">
        <v>1000</v>
      </c>
      <c r="Q41" s="514">
        <v>1000</v>
      </c>
      <c r="R41" s="514">
        <v>1000</v>
      </c>
      <c r="S41" s="514">
        <v>1000</v>
      </c>
      <c r="T41" s="514">
        <v>1000</v>
      </c>
      <c r="U41" s="514">
        <v>1000</v>
      </c>
      <c r="V41" s="514">
        <v>1000</v>
      </c>
      <c r="W41" s="514">
        <v>1000</v>
      </c>
      <c r="X41" s="514">
        <v>1000</v>
      </c>
      <c r="Y41" s="514">
        <v>1000</v>
      </c>
      <c r="Z41" s="514">
        <v>1000</v>
      </c>
      <c r="AA41" s="514">
        <v>1000</v>
      </c>
      <c r="AB41" s="514">
        <v>1000</v>
      </c>
      <c r="AC41" s="514">
        <v>1000</v>
      </c>
      <c r="AD41" s="514">
        <v>1000</v>
      </c>
      <c r="AE41" s="514">
        <v>1000</v>
      </c>
      <c r="AF41" s="514">
        <v>1000</v>
      </c>
      <c r="AG41" s="514">
        <v>1000</v>
      </c>
      <c r="AH41" s="514">
        <v>1000</v>
      </c>
      <c r="AI41" s="514">
        <v>1000</v>
      </c>
    </row>
    <row r="42" spans="1:35" hidden="1" x14ac:dyDescent="0.2">
      <c r="A42" s="512" t="s">
        <v>27</v>
      </c>
      <c r="B42" s="512"/>
      <c r="C42" s="512"/>
      <c r="D42" s="512"/>
      <c r="E42" s="512"/>
      <c r="F42" s="514">
        <v>4000</v>
      </c>
      <c r="G42" s="514">
        <v>4000</v>
      </c>
      <c r="H42" s="514">
        <v>4000</v>
      </c>
      <c r="I42" s="514">
        <v>4000</v>
      </c>
      <c r="J42" s="514">
        <v>4000</v>
      </c>
      <c r="K42" s="514">
        <v>4000</v>
      </c>
      <c r="L42" s="514">
        <v>4000</v>
      </c>
      <c r="M42" s="514">
        <v>4000</v>
      </c>
      <c r="N42" s="514">
        <v>4000</v>
      </c>
      <c r="O42" s="514">
        <v>4000</v>
      </c>
      <c r="P42" s="514">
        <v>4000</v>
      </c>
      <c r="Q42" s="514">
        <v>4000</v>
      </c>
      <c r="R42" s="514">
        <v>4000</v>
      </c>
      <c r="S42" s="514">
        <v>4000</v>
      </c>
      <c r="T42" s="514">
        <v>4000</v>
      </c>
      <c r="U42" s="514">
        <v>4000</v>
      </c>
      <c r="V42" s="514">
        <v>4000</v>
      </c>
      <c r="W42" s="514">
        <v>4000</v>
      </c>
      <c r="X42" s="514">
        <v>4000</v>
      </c>
      <c r="Y42" s="514">
        <v>4000</v>
      </c>
      <c r="Z42" s="514">
        <v>4000</v>
      </c>
      <c r="AA42" s="514">
        <v>4000</v>
      </c>
      <c r="AB42" s="514">
        <v>4000</v>
      </c>
      <c r="AC42" s="514">
        <v>4000</v>
      </c>
      <c r="AD42" s="514">
        <v>4000</v>
      </c>
      <c r="AE42" s="514">
        <v>4000</v>
      </c>
      <c r="AF42" s="514">
        <v>4000</v>
      </c>
      <c r="AG42" s="514">
        <v>4000</v>
      </c>
      <c r="AH42" s="514">
        <v>4000</v>
      </c>
      <c r="AI42" s="514">
        <v>4000</v>
      </c>
    </row>
    <row r="43" spans="1:35" x14ac:dyDescent="0.2">
      <c r="A43" s="512" t="s">
        <v>28</v>
      </c>
      <c r="B43" s="512"/>
      <c r="C43" s="512"/>
      <c r="D43" s="512"/>
      <c r="E43" s="512"/>
      <c r="F43" s="514">
        <v>5000</v>
      </c>
      <c r="G43" s="514">
        <v>5000</v>
      </c>
      <c r="H43" s="514">
        <v>5000</v>
      </c>
      <c r="I43" s="514">
        <v>5000</v>
      </c>
      <c r="J43" s="514">
        <v>5000</v>
      </c>
      <c r="K43" s="514">
        <v>5000</v>
      </c>
      <c r="L43" s="514">
        <v>5000</v>
      </c>
      <c r="M43" s="514">
        <v>5000</v>
      </c>
      <c r="N43" s="514">
        <v>5000</v>
      </c>
      <c r="O43" s="514">
        <v>5000</v>
      </c>
      <c r="P43" s="514">
        <v>5000</v>
      </c>
      <c r="Q43" s="514">
        <v>5000</v>
      </c>
      <c r="R43" s="514">
        <v>5000</v>
      </c>
      <c r="S43" s="514">
        <v>5000</v>
      </c>
      <c r="T43" s="514">
        <v>5000</v>
      </c>
      <c r="U43" s="514">
        <v>5000</v>
      </c>
      <c r="V43" s="514">
        <v>5000</v>
      </c>
      <c r="W43" s="514">
        <v>5000</v>
      </c>
      <c r="X43" s="514">
        <v>5000</v>
      </c>
      <c r="Y43" s="514">
        <v>5000</v>
      </c>
      <c r="Z43" s="514">
        <v>5000</v>
      </c>
      <c r="AA43" s="514">
        <v>5000</v>
      </c>
      <c r="AB43" s="514">
        <v>5000</v>
      </c>
      <c r="AC43" s="514">
        <v>5000</v>
      </c>
      <c r="AD43" s="514">
        <v>5000</v>
      </c>
      <c r="AE43" s="514">
        <v>5000</v>
      </c>
      <c r="AF43" s="514">
        <v>5000</v>
      </c>
      <c r="AG43" s="514">
        <v>5000</v>
      </c>
      <c r="AH43" s="514">
        <v>5000</v>
      </c>
      <c r="AI43" s="514">
        <v>5000</v>
      </c>
    </row>
    <row r="44" spans="1:35" x14ac:dyDescent="0.2">
      <c r="A44" s="512" t="s">
        <v>29</v>
      </c>
      <c r="B44" s="512"/>
      <c r="C44" s="512"/>
      <c r="D44" s="512"/>
      <c r="E44" s="512"/>
      <c r="F44" s="514">
        <v>3000</v>
      </c>
      <c r="G44" s="514">
        <v>3000</v>
      </c>
      <c r="H44" s="514">
        <v>3000</v>
      </c>
      <c r="I44" s="514">
        <v>3000</v>
      </c>
      <c r="J44" s="514">
        <v>3000</v>
      </c>
      <c r="K44" s="514">
        <v>3000</v>
      </c>
      <c r="L44" s="514">
        <v>3000</v>
      </c>
      <c r="M44" s="514">
        <v>3000</v>
      </c>
      <c r="N44" s="514">
        <v>3000</v>
      </c>
      <c r="O44" s="514">
        <v>3000</v>
      </c>
      <c r="P44" s="514">
        <v>3000</v>
      </c>
      <c r="Q44" s="514">
        <v>3000</v>
      </c>
      <c r="R44" s="514">
        <v>3000</v>
      </c>
      <c r="S44" s="514">
        <v>3000</v>
      </c>
      <c r="T44" s="514">
        <v>3000</v>
      </c>
      <c r="U44" s="514">
        <v>3000</v>
      </c>
      <c r="V44" s="514">
        <v>3000</v>
      </c>
      <c r="W44" s="514">
        <v>3000</v>
      </c>
      <c r="X44" s="514">
        <v>3000</v>
      </c>
      <c r="Y44" s="514">
        <v>3000</v>
      </c>
      <c r="Z44" s="514">
        <v>3000</v>
      </c>
      <c r="AA44" s="514">
        <v>3000</v>
      </c>
      <c r="AB44" s="514">
        <v>3000</v>
      </c>
      <c r="AC44" s="514">
        <v>3000</v>
      </c>
      <c r="AD44" s="514">
        <v>3000</v>
      </c>
      <c r="AE44" s="514">
        <v>3000</v>
      </c>
      <c r="AF44" s="514">
        <v>3000</v>
      </c>
      <c r="AG44" s="514">
        <v>3000</v>
      </c>
      <c r="AH44" s="514">
        <v>3000</v>
      </c>
      <c r="AI44" s="514">
        <v>3000</v>
      </c>
    </row>
    <row r="45" spans="1:35" x14ac:dyDescent="0.2">
      <c r="A45" s="512" t="s">
        <v>97</v>
      </c>
      <c r="B45" s="512"/>
      <c r="C45" s="512"/>
      <c r="D45" s="512"/>
      <c r="E45" s="512"/>
      <c r="F45" s="514">
        <v>5000</v>
      </c>
      <c r="G45" s="514">
        <v>5000</v>
      </c>
      <c r="H45" s="514">
        <v>5000</v>
      </c>
      <c r="I45" s="514">
        <v>5000</v>
      </c>
      <c r="J45" s="514">
        <v>5000</v>
      </c>
      <c r="K45" s="514">
        <v>5000</v>
      </c>
      <c r="L45" s="514">
        <v>5000</v>
      </c>
      <c r="M45" s="514">
        <v>5000</v>
      </c>
      <c r="N45" s="514">
        <v>5000</v>
      </c>
      <c r="O45" s="514">
        <v>5000</v>
      </c>
      <c r="P45" s="514">
        <v>5000</v>
      </c>
      <c r="Q45" s="514">
        <v>5000</v>
      </c>
      <c r="R45" s="514">
        <v>5000</v>
      </c>
      <c r="S45" s="514">
        <v>5000</v>
      </c>
      <c r="T45" s="514">
        <v>5000</v>
      </c>
      <c r="U45" s="514">
        <v>5000</v>
      </c>
      <c r="V45" s="514">
        <v>5000</v>
      </c>
      <c r="W45" s="514">
        <v>5000</v>
      </c>
      <c r="X45" s="514">
        <v>5000</v>
      </c>
      <c r="Y45" s="514">
        <v>5000</v>
      </c>
      <c r="Z45" s="514">
        <v>5000</v>
      </c>
      <c r="AA45" s="514">
        <v>5000</v>
      </c>
      <c r="AB45" s="514">
        <v>5000</v>
      </c>
      <c r="AC45" s="514">
        <v>5000</v>
      </c>
      <c r="AD45" s="514">
        <v>5000</v>
      </c>
      <c r="AE45" s="514">
        <v>5000</v>
      </c>
      <c r="AF45" s="514">
        <v>5000</v>
      </c>
      <c r="AG45" s="514">
        <v>5000</v>
      </c>
      <c r="AH45" s="514">
        <v>5000</v>
      </c>
      <c r="AI45" s="514">
        <v>5000</v>
      </c>
    </row>
    <row r="46" spans="1:35" x14ac:dyDescent="0.2">
      <c r="A46" s="512" t="s">
        <v>44</v>
      </c>
      <c r="B46" s="512"/>
      <c r="C46" s="512" t="s">
        <v>30</v>
      </c>
      <c r="D46" s="515">
        <v>1.6E-2</v>
      </c>
      <c r="E46" s="512"/>
      <c r="F46" s="514">
        <f t="shared" ref="F46:AI46" si="24">F13*$D46</f>
        <v>3168</v>
      </c>
      <c r="G46" s="514">
        <f t="shared" si="24"/>
        <v>3168</v>
      </c>
      <c r="H46" s="514">
        <f t="shared" si="24"/>
        <v>3168</v>
      </c>
      <c r="I46" s="514">
        <f t="shared" si="24"/>
        <v>3168</v>
      </c>
      <c r="J46" s="514">
        <f t="shared" si="24"/>
        <v>3168</v>
      </c>
      <c r="K46" s="514">
        <f t="shared" si="24"/>
        <v>3168</v>
      </c>
      <c r="L46" s="514">
        <f t="shared" si="24"/>
        <v>3168</v>
      </c>
      <c r="M46" s="514">
        <f t="shared" si="24"/>
        <v>3168</v>
      </c>
      <c r="N46" s="514">
        <f t="shared" si="24"/>
        <v>3168</v>
      </c>
      <c r="O46" s="514">
        <f t="shared" si="24"/>
        <v>3168</v>
      </c>
      <c r="P46" s="514">
        <f t="shared" si="24"/>
        <v>3168</v>
      </c>
      <c r="Q46" s="514">
        <f t="shared" si="24"/>
        <v>3168</v>
      </c>
      <c r="R46" s="514">
        <f t="shared" si="24"/>
        <v>3168</v>
      </c>
      <c r="S46" s="514">
        <f t="shared" si="24"/>
        <v>3168</v>
      </c>
      <c r="T46" s="514">
        <f t="shared" si="24"/>
        <v>3168</v>
      </c>
      <c r="U46" s="514">
        <f t="shared" si="24"/>
        <v>3168</v>
      </c>
      <c r="V46" s="514">
        <f t="shared" si="24"/>
        <v>3168</v>
      </c>
      <c r="W46" s="514">
        <f t="shared" si="24"/>
        <v>3168</v>
      </c>
      <c r="X46" s="514">
        <f t="shared" si="24"/>
        <v>3168</v>
      </c>
      <c r="Y46" s="514">
        <f t="shared" si="24"/>
        <v>3168</v>
      </c>
      <c r="Z46" s="514">
        <f t="shared" si="24"/>
        <v>3168</v>
      </c>
      <c r="AA46" s="514">
        <f t="shared" si="24"/>
        <v>3168</v>
      </c>
      <c r="AB46" s="514">
        <f t="shared" si="24"/>
        <v>3168</v>
      </c>
      <c r="AC46" s="514">
        <f t="shared" si="24"/>
        <v>3168</v>
      </c>
      <c r="AD46" s="514">
        <f t="shared" si="24"/>
        <v>3168</v>
      </c>
      <c r="AE46" s="514">
        <f t="shared" si="24"/>
        <v>3168</v>
      </c>
      <c r="AF46" s="514">
        <f t="shared" si="24"/>
        <v>3168</v>
      </c>
      <c r="AG46" s="514">
        <f t="shared" si="24"/>
        <v>3168</v>
      </c>
      <c r="AH46" s="514">
        <f t="shared" si="24"/>
        <v>3168</v>
      </c>
      <c r="AI46" s="514">
        <f t="shared" si="24"/>
        <v>3168</v>
      </c>
    </row>
    <row r="47" spans="1:35" x14ac:dyDescent="0.2">
      <c r="A47" s="512" t="s">
        <v>31</v>
      </c>
      <c r="B47" s="512"/>
      <c r="C47" s="512" t="s">
        <v>30</v>
      </c>
      <c r="D47" s="515">
        <v>5.1999999999999998E-3</v>
      </c>
      <c r="E47" s="512"/>
      <c r="F47" s="514">
        <f t="shared" ref="F47:AI47" si="25">F14*$D47</f>
        <v>2090.4</v>
      </c>
      <c r="G47" s="514">
        <f t="shared" si="25"/>
        <v>2090.4</v>
      </c>
      <c r="H47" s="514">
        <f t="shared" si="25"/>
        <v>2090.4</v>
      </c>
      <c r="I47" s="514">
        <f t="shared" si="25"/>
        <v>2090.4</v>
      </c>
      <c r="J47" s="514">
        <f t="shared" si="25"/>
        <v>2090.4</v>
      </c>
      <c r="K47" s="514">
        <f t="shared" si="25"/>
        <v>2090.4</v>
      </c>
      <c r="L47" s="514">
        <f t="shared" si="25"/>
        <v>2090.4</v>
      </c>
      <c r="M47" s="514">
        <f t="shared" si="25"/>
        <v>2090.4</v>
      </c>
      <c r="N47" s="514">
        <f t="shared" si="25"/>
        <v>2090.4</v>
      </c>
      <c r="O47" s="514">
        <f t="shared" si="25"/>
        <v>2090.4</v>
      </c>
      <c r="P47" s="514">
        <f t="shared" si="25"/>
        <v>2090.4</v>
      </c>
      <c r="Q47" s="514">
        <f t="shared" si="25"/>
        <v>2090.4</v>
      </c>
      <c r="R47" s="514">
        <f t="shared" si="25"/>
        <v>2090.4</v>
      </c>
      <c r="S47" s="514">
        <f t="shared" si="25"/>
        <v>2090.4</v>
      </c>
      <c r="T47" s="514">
        <f t="shared" si="25"/>
        <v>2090.4</v>
      </c>
      <c r="U47" s="514">
        <f t="shared" si="25"/>
        <v>2090.4</v>
      </c>
      <c r="V47" s="514">
        <f t="shared" si="25"/>
        <v>2090.4</v>
      </c>
      <c r="W47" s="514">
        <f t="shared" si="25"/>
        <v>2090.4</v>
      </c>
      <c r="X47" s="514">
        <f t="shared" si="25"/>
        <v>2090.4</v>
      </c>
      <c r="Y47" s="514">
        <f t="shared" si="25"/>
        <v>2090.4</v>
      </c>
      <c r="Z47" s="514">
        <f t="shared" si="25"/>
        <v>2090.4</v>
      </c>
      <c r="AA47" s="514">
        <f t="shared" si="25"/>
        <v>2090.4</v>
      </c>
      <c r="AB47" s="514">
        <f t="shared" si="25"/>
        <v>2090.4</v>
      </c>
      <c r="AC47" s="514">
        <f t="shared" si="25"/>
        <v>2090.4</v>
      </c>
      <c r="AD47" s="514">
        <f t="shared" si="25"/>
        <v>2090.4</v>
      </c>
      <c r="AE47" s="514">
        <f t="shared" si="25"/>
        <v>2090.4</v>
      </c>
      <c r="AF47" s="514">
        <f t="shared" si="25"/>
        <v>2090.4</v>
      </c>
      <c r="AG47" s="514">
        <f t="shared" si="25"/>
        <v>2090.4</v>
      </c>
      <c r="AH47" s="514">
        <f t="shared" si="25"/>
        <v>2090.4</v>
      </c>
      <c r="AI47" s="514">
        <f t="shared" si="25"/>
        <v>2090.4</v>
      </c>
    </row>
    <row r="48" spans="1:35" x14ac:dyDescent="0.2">
      <c r="A48" s="512" t="s">
        <v>91</v>
      </c>
      <c r="B48" s="512"/>
      <c r="C48" s="512"/>
      <c r="D48" s="512"/>
      <c r="E48" s="512"/>
      <c r="F48" s="514">
        <v>7000</v>
      </c>
      <c r="G48" s="514">
        <v>7000</v>
      </c>
      <c r="H48" s="514">
        <v>7000</v>
      </c>
      <c r="I48" s="514">
        <v>7000</v>
      </c>
      <c r="J48" s="514">
        <v>7000</v>
      </c>
      <c r="K48" s="514">
        <v>7000</v>
      </c>
      <c r="L48" s="514">
        <v>7000</v>
      </c>
      <c r="M48" s="514">
        <v>7000</v>
      </c>
      <c r="N48" s="514">
        <v>7000</v>
      </c>
      <c r="O48" s="514">
        <v>7000</v>
      </c>
      <c r="P48" s="514">
        <v>7000</v>
      </c>
      <c r="Q48" s="514">
        <v>7000</v>
      </c>
      <c r="R48" s="514">
        <v>7000</v>
      </c>
      <c r="S48" s="514">
        <v>7000</v>
      </c>
      <c r="T48" s="514">
        <v>7000</v>
      </c>
      <c r="U48" s="514">
        <v>7000</v>
      </c>
      <c r="V48" s="514">
        <v>7000</v>
      </c>
      <c r="W48" s="514">
        <v>7000</v>
      </c>
      <c r="X48" s="514">
        <v>7000</v>
      </c>
      <c r="Y48" s="514">
        <v>7000</v>
      </c>
      <c r="Z48" s="514">
        <v>7000</v>
      </c>
      <c r="AA48" s="514">
        <v>7000</v>
      </c>
      <c r="AB48" s="514">
        <v>7000</v>
      </c>
      <c r="AC48" s="514">
        <v>7000</v>
      </c>
      <c r="AD48" s="514">
        <v>7000</v>
      </c>
      <c r="AE48" s="514">
        <v>7000</v>
      </c>
      <c r="AF48" s="514">
        <v>7000</v>
      </c>
      <c r="AG48" s="514">
        <v>7000</v>
      </c>
      <c r="AH48" s="514">
        <v>7000</v>
      </c>
      <c r="AI48" s="514">
        <v>7000</v>
      </c>
    </row>
    <row r="49" spans="1:36" x14ac:dyDescent="0.2">
      <c r="A49" s="512" t="s">
        <v>32</v>
      </c>
      <c r="B49" s="512"/>
      <c r="C49" s="512"/>
      <c r="D49" s="512"/>
      <c r="E49" s="512"/>
      <c r="F49" s="514">
        <v>1000</v>
      </c>
      <c r="G49" s="514">
        <v>1000</v>
      </c>
      <c r="H49" s="514">
        <v>1000</v>
      </c>
      <c r="I49" s="514">
        <v>1000</v>
      </c>
      <c r="J49" s="514">
        <v>1000</v>
      </c>
      <c r="K49" s="514">
        <v>1000</v>
      </c>
      <c r="L49" s="514">
        <v>1000</v>
      </c>
      <c r="M49" s="514">
        <v>1000</v>
      </c>
      <c r="N49" s="514">
        <v>1000</v>
      </c>
      <c r="O49" s="514">
        <v>1000</v>
      </c>
      <c r="P49" s="514">
        <v>1000</v>
      </c>
      <c r="Q49" s="514">
        <v>1000</v>
      </c>
      <c r="R49" s="514">
        <v>1000</v>
      </c>
      <c r="S49" s="514">
        <v>1000</v>
      </c>
      <c r="T49" s="514">
        <v>1000</v>
      </c>
      <c r="U49" s="514">
        <v>1000</v>
      </c>
      <c r="V49" s="514">
        <v>1000</v>
      </c>
      <c r="W49" s="514">
        <v>1000</v>
      </c>
      <c r="X49" s="514">
        <v>1000</v>
      </c>
      <c r="Y49" s="514">
        <v>1000</v>
      </c>
      <c r="Z49" s="514">
        <v>1000</v>
      </c>
      <c r="AA49" s="514">
        <v>1000</v>
      </c>
      <c r="AB49" s="514">
        <v>1000</v>
      </c>
      <c r="AC49" s="514">
        <v>1000</v>
      </c>
      <c r="AD49" s="514">
        <v>1000</v>
      </c>
      <c r="AE49" s="514">
        <v>1000</v>
      </c>
      <c r="AF49" s="514">
        <v>1000</v>
      </c>
      <c r="AG49" s="514">
        <v>1000</v>
      </c>
      <c r="AH49" s="514">
        <v>1000</v>
      </c>
      <c r="AI49" s="514">
        <v>1000</v>
      </c>
    </row>
    <row r="50" spans="1:36" hidden="1" x14ac:dyDescent="0.2">
      <c r="A50" s="507"/>
      <c r="B50" s="512"/>
      <c r="C50" s="512"/>
      <c r="D50" s="512"/>
      <c r="E50" s="512"/>
      <c r="F50" s="514">
        <v>0</v>
      </c>
      <c r="G50" s="514">
        <v>0</v>
      </c>
      <c r="H50" s="514">
        <v>0</v>
      </c>
      <c r="I50" s="514">
        <v>0</v>
      </c>
      <c r="J50" s="514">
        <v>0</v>
      </c>
      <c r="K50" s="514">
        <v>0</v>
      </c>
      <c r="L50" s="514">
        <v>0</v>
      </c>
      <c r="M50" s="514">
        <v>0</v>
      </c>
      <c r="N50" s="514">
        <v>0</v>
      </c>
      <c r="O50" s="514">
        <v>0</v>
      </c>
      <c r="P50" s="514">
        <v>0</v>
      </c>
      <c r="Q50" s="514">
        <v>0</v>
      </c>
      <c r="R50" s="514">
        <v>0</v>
      </c>
      <c r="S50" s="514">
        <v>0</v>
      </c>
      <c r="T50" s="514">
        <v>0</v>
      </c>
      <c r="U50" s="514">
        <v>0</v>
      </c>
      <c r="V50" s="514">
        <v>0</v>
      </c>
      <c r="W50" s="514">
        <v>0</v>
      </c>
      <c r="X50" s="514">
        <v>0</v>
      </c>
      <c r="Y50" s="514">
        <v>0</v>
      </c>
      <c r="Z50" s="514">
        <v>0</v>
      </c>
      <c r="AA50" s="514">
        <v>0</v>
      </c>
      <c r="AB50" s="514">
        <v>0</v>
      </c>
      <c r="AC50" s="514">
        <v>0</v>
      </c>
      <c r="AD50" s="514">
        <v>0</v>
      </c>
      <c r="AE50" s="514">
        <v>0</v>
      </c>
      <c r="AF50" s="514">
        <v>0</v>
      </c>
      <c r="AG50" s="514">
        <v>0</v>
      </c>
      <c r="AH50" s="514">
        <v>0</v>
      </c>
      <c r="AI50" s="514">
        <v>0</v>
      </c>
    </row>
    <row r="51" spans="1:36" x14ac:dyDescent="0.2">
      <c r="A51" s="512" t="s">
        <v>33</v>
      </c>
      <c r="B51" s="512"/>
      <c r="C51" s="512" t="s">
        <v>34</v>
      </c>
      <c r="D51" s="515"/>
      <c r="E51" s="512"/>
      <c r="F51" s="514">
        <f>'Параметры проекта'!$B$26</f>
        <v>18000</v>
      </c>
      <c r="G51" s="514">
        <f>'Параметры проекта'!$B$26</f>
        <v>18000</v>
      </c>
      <c r="H51" s="514">
        <f>'Параметры проекта'!$B$26</f>
        <v>18000</v>
      </c>
      <c r="I51" s="514">
        <f>'Параметры проекта'!$B$26</f>
        <v>18000</v>
      </c>
      <c r="J51" s="514">
        <f>'Параметры проекта'!$B$26</f>
        <v>18000</v>
      </c>
      <c r="K51" s="514">
        <f>'Параметры проекта'!$B$26</f>
        <v>18000</v>
      </c>
      <c r="L51" s="514">
        <f>'Параметры проекта'!$B$26</f>
        <v>18000</v>
      </c>
      <c r="M51" s="514">
        <f>'Параметры проекта'!$B$26</f>
        <v>18000</v>
      </c>
      <c r="N51" s="514">
        <f>'Параметры проекта'!$B$26</f>
        <v>18000</v>
      </c>
      <c r="O51" s="514">
        <f>'Параметры проекта'!$B$26</f>
        <v>18000</v>
      </c>
      <c r="P51" s="514">
        <f>'Параметры проекта'!$B$26</f>
        <v>18000</v>
      </c>
      <c r="Q51" s="514">
        <f>'Параметры проекта'!$B$26</f>
        <v>18000</v>
      </c>
      <c r="R51" s="514">
        <f>'Параметры проекта'!$B$26</f>
        <v>18000</v>
      </c>
      <c r="S51" s="514">
        <f>'Параметры проекта'!$B$26</f>
        <v>18000</v>
      </c>
      <c r="T51" s="514">
        <f>'Параметры проекта'!$B$26</f>
        <v>18000</v>
      </c>
      <c r="U51" s="514">
        <f>'Параметры проекта'!$B$26</f>
        <v>18000</v>
      </c>
      <c r="V51" s="514">
        <f>'Параметры проекта'!$B$26</f>
        <v>18000</v>
      </c>
      <c r="W51" s="514">
        <f>'Параметры проекта'!$B$26</f>
        <v>18000</v>
      </c>
      <c r="X51" s="514">
        <f>'Параметры проекта'!$B$26</f>
        <v>18000</v>
      </c>
      <c r="Y51" s="514">
        <f>'Параметры проекта'!$B$26</f>
        <v>18000</v>
      </c>
      <c r="Z51" s="514">
        <f>'Параметры проекта'!$B$26</f>
        <v>18000</v>
      </c>
      <c r="AA51" s="514">
        <f>'Параметры проекта'!$B$26</f>
        <v>18000</v>
      </c>
      <c r="AB51" s="514">
        <f>'Параметры проекта'!$B$26</f>
        <v>18000</v>
      </c>
      <c r="AC51" s="514">
        <f>'Параметры проекта'!$B$26</f>
        <v>18000</v>
      </c>
      <c r="AD51" s="514">
        <f>'Параметры проекта'!$B$26</f>
        <v>18000</v>
      </c>
      <c r="AE51" s="514">
        <f>'Параметры проекта'!$B$26</f>
        <v>18000</v>
      </c>
      <c r="AF51" s="514">
        <f>'Параметры проекта'!$B$26</f>
        <v>18000</v>
      </c>
      <c r="AG51" s="514">
        <f>'Параметры проекта'!$B$26</f>
        <v>18000</v>
      </c>
      <c r="AH51" s="514">
        <f>'Параметры проекта'!$B$26</f>
        <v>18000</v>
      </c>
      <c r="AI51" s="514">
        <f>'Параметры проекта'!$B$26</f>
        <v>18000</v>
      </c>
    </row>
    <row r="52" spans="1:36" hidden="1" x14ac:dyDescent="0.2">
      <c r="A52" s="512"/>
      <c r="B52" s="512"/>
      <c r="C52" s="512"/>
      <c r="D52" s="512"/>
      <c r="E52" s="512"/>
      <c r="F52" s="514">
        <v>0</v>
      </c>
      <c r="G52" s="514">
        <v>0</v>
      </c>
      <c r="H52" s="514"/>
      <c r="I52" s="514"/>
      <c r="J52" s="514"/>
      <c r="K52" s="514"/>
      <c r="L52" s="514"/>
      <c r="M52" s="514"/>
      <c r="N52" s="514"/>
      <c r="O52" s="514"/>
      <c r="P52" s="514"/>
      <c r="Q52" s="514"/>
      <c r="R52" s="514"/>
      <c r="S52" s="514"/>
      <c r="T52" s="514"/>
      <c r="U52" s="514"/>
      <c r="V52" s="514"/>
      <c r="W52" s="514"/>
      <c r="X52" s="514"/>
      <c r="Y52" s="514"/>
      <c r="Z52" s="514"/>
      <c r="AA52" s="514"/>
      <c r="AB52" s="514"/>
      <c r="AC52" s="514"/>
      <c r="AD52" s="514"/>
      <c r="AE52" s="514"/>
      <c r="AF52" s="514"/>
      <c r="AG52" s="514"/>
      <c r="AH52" s="514"/>
      <c r="AI52" s="514"/>
    </row>
    <row r="53" spans="1:36" hidden="1" x14ac:dyDescent="0.2">
      <c r="A53" s="507" t="s">
        <v>35</v>
      </c>
      <c r="B53" s="512"/>
      <c r="C53" s="512"/>
      <c r="D53" s="512"/>
      <c r="E53" s="512"/>
      <c r="F53" s="514">
        <v>0</v>
      </c>
      <c r="G53" s="514">
        <v>0</v>
      </c>
      <c r="H53" s="514">
        <v>0</v>
      </c>
      <c r="I53" s="514">
        <v>0</v>
      </c>
      <c r="J53" s="514">
        <v>0</v>
      </c>
      <c r="K53" s="514">
        <v>0</v>
      </c>
      <c r="L53" s="514">
        <v>0</v>
      </c>
      <c r="M53" s="514">
        <v>0</v>
      </c>
      <c r="N53" s="514">
        <v>0</v>
      </c>
      <c r="O53" s="514">
        <v>0</v>
      </c>
      <c r="P53" s="514">
        <v>0</v>
      </c>
      <c r="Q53" s="514">
        <v>0</v>
      </c>
      <c r="R53" s="514">
        <v>0</v>
      </c>
      <c r="S53" s="514">
        <v>0</v>
      </c>
      <c r="T53" s="514">
        <v>0</v>
      </c>
      <c r="U53" s="514">
        <v>0</v>
      </c>
      <c r="V53" s="514">
        <v>0</v>
      </c>
      <c r="W53" s="514">
        <v>0</v>
      </c>
      <c r="X53" s="514">
        <v>0</v>
      </c>
      <c r="Y53" s="514">
        <v>0</v>
      </c>
      <c r="Z53" s="514">
        <v>0</v>
      </c>
      <c r="AA53" s="514">
        <v>0</v>
      </c>
      <c r="AB53" s="514">
        <v>0</v>
      </c>
      <c r="AC53" s="514">
        <v>0</v>
      </c>
      <c r="AD53" s="514">
        <v>0</v>
      </c>
      <c r="AE53" s="514">
        <v>0</v>
      </c>
      <c r="AF53" s="514">
        <v>0</v>
      </c>
      <c r="AG53" s="514">
        <v>0</v>
      </c>
      <c r="AH53" s="514">
        <v>0</v>
      </c>
      <c r="AI53" s="514">
        <v>0</v>
      </c>
      <c r="AJ53" s="514"/>
    </row>
    <row r="54" spans="1:36" hidden="1" x14ac:dyDescent="0.2">
      <c r="A54" s="512"/>
      <c r="B54" s="512"/>
      <c r="C54" s="512"/>
      <c r="D54" s="512"/>
      <c r="E54" s="512"/>
      <c r="F54" s="512"/>
      <c r="G54" s="512"/>
      <c r="H54" s="512"/>
      <c r="I54" s="512"/>
      <c r="J54" s="512"/>
      <c r="K54" s="512"/>
      <c r="L54" s="512"/>
      <c r="M54" s="512"/>
      <c r="N54" s="512"/>
      <c r="O54" s="512"/>
      <c r="P54" s="512"/>
      <c r="Q54" s="512"/>
      <c r="R54" s="512"/>
      <c r="S54" s="512"/>
      <c r="T54" s="512"/>
      <c r="U54" s="512"/>
      <c r="V54" s="512"/>
      <c r="W54" s="512"/>
      <c r="X54" s="512"/>
      <c r="Y54" s="512"/>
      <c r="Z54" s="512"/>
      <c r="AA54" s="512"/>
      <c r="AB54" s="512"/>
      <c r="AC54" s="512"/>
      <c r="AD54" s="512"/>
      <c r="AE54" s="512"/>
      <c r="AF54" s="512"/>
      <c r="AG54" s="512"/>
      <c r="AH54" s="512"/>
      <c r="AI54" s="512"/>
    </row>
    <row r="55" spans="1:36" x14ac:dyDescent="0.2">
      <c r="A55" s="512" t="s">
        <v>53</v>
      </c>
      <c r="B55" s="512"/>
      <c r="C55" s="512"/>
      <c r="D55" s="515"/>
      <c r="E55" s="512">
        <v>0</v>
      </c>
      <c r="F55" s="514">
        <f>'Параметры проекта'!$B$40</f>
        <v>50000</v>
      </c>
      <c r="G55" s="514">
        <f>'Параметры проекта'!$B$40</f>
        <v>50000</v>
      </c>
      <c r="H55" s="514">
        <f>'Параметры проекта'!$B$40</f>
        <v>50000</v>
      </c>
      <c r="I55" s="514">
        <f>'Параметры проекта'!$B$40</f>
        <v>50000</v>
      </c>
      <c r="J55" s="514">
        <f>'Параметры проекта'!$B$40</f>
        <v>50000</v>
      </c>
      <c r="K55" s="514">
        <f>'Параметры проекта'!$B$40</f>
        <v>50000</v>
      </c>
      <c r="L55" s="514">
        <f>'Параметры проекта'!$B$40</f>
        <v>50000</v>
      </c>
      <c r="M55" s="514">
        <f>'Параметры проекта'!$B$40</f>
        <v>50000</v>
      </c>
      <c r="N55" s="514">
        <f>'Параметры проекта'!$B$40</f>
        <v>50000</v>
      </c>
      <c r="O55" s="514">
        <f>'Параметры проекта'!$B$40</f>
        <v>50000</v>
      </c>
      <c r="P55" s="514">
        <f>'Параметры проекта'!$B$40</f>
        <v>50000</v>
      </c>
      <c r="Q55" s="514">
        <f>'Параметры проекта'!$B$40</f>
        <v>50000</v>
      </c>
      <c r="R55" s="514">
        <f>'Параметры проекта'!$B$40</f>
        <v>50000</v>
      </c>
      <c r="S55" s="514">
        <f>'Параметры проекта'!$B$40</f>
        <v>50000</v>
      </c>
      <c r="T55" s="514">
        <f>'Параметры проекта'!$B$40</f>
        <v>50000</v>
      </c>
      <c r="U55" s="514">
        <f>'Параметры проекта'!$B$40</f>
        <v>50000</v>
      </c>
      <c r="V55" s="514">
        <f>'Параметры проекта'!$B$40</f>
        <v>50000</v>
      </c>
      <c r="W55" s="514">
        <f>'Параметры проекта'!$B$40</f>
        <v>50000</v>
      </c>
      <c r="X55" s="514">
        <f>'Параметры проекта'!$B$40</f>
        <v>50000</v>
      </c>
      <c r="Y55" s="514">
        <f>'Параметры проекта'!$B$40</f>
        <v>50000</v>
      </c>
      <c r="Z55" s="514">
        <f>'Параметры проекта'!$B$40</f>
        <v>50000</v>
      </c>
      <c r="AA55" s="514">
        <f>'Параметры проекта'!$B$40</f>
        <v>50000</v>
      </c>
      <c r="AB55" s="514">
        <f>'Параметры проекта'!$B$40</f>
        <v>50000</v>
      </c>
      <c r="AC55" s="514">
        <f>'Параметры проекта'!$B$40</f>
        <v>50000</v>
      </c>
      <c r="AD55" s="514">
        <f>'Параметры проекта'!$B$40</f>
        <v>50000</v>
      </c>
      <c r="AE55" s="514">
        <f>'Параметры проекта'!$B$40</f>
        <v>50000</v>
      </c>
      <c r="AF55" s="514">
        <f>'Параметры проекта'!$B$40</f>
        <v>50000</v>
      </c>
      <c r="AG55" s="514">
        <f>'Параметры проекта'!$B$40</f>
        <v>50000</v>
      </c>
      <c r="AH55" s="514">
        <f>'Параметры проекта'!$B$40</f>
        <v>50000</v>
      </c>
      <c r="AI55" s="514">
        <f>'Параметры проекта'!$B$40</f>
        <v>50000</v>
      </c>
    </row>
    <row r="56" spans="1:36" hidden="1" x14ac:dyDescent="0.2">
      <c r="A56" s="512"/>
      <c r="B56" s="512"/>
      <c r="C56" s="512"/>
      <c r="D56" s="512"/>
      <c r="E56" s="512"/>
      <c r="F56" s="512"/>
      <c r="G56" s="512"/>
      <c r="H56" s="512"/>
      <c r="I56" s="512"/>
      <c r="J56" s="512"/>
      <c r="K56" s="512"/>
      <c r="L56" s="512"/>
      <c r="M56" s="512"/>
      <c r="N56" s="512"/>
      <c r="O56" s="512"/>
      <c r="P56" s="512"/>
      <c r="Q56" s="512"/>
      <c r="R56" s="512"/>
      <c r="S56" s="512"/>
      <c r="T56" s="512"/>
      <c r="U56" s="512"/>
      <c r="V56" s="512"/>
      <c r="W56" s="512"/>
      <c r="X56" s="512"/>
      <c r="Y56" s="512"/>
      <c r="Z56" s="512"/>
      <c r="AA56" s="512"/>
      <c r="AB56" s="512"/>
      <c r="AC56" s="512"/>
      <c r="AD56" s="512"/>
      <c r="AE56" s="512"/>
      <c r="AF56" s="512"/>
      <c r="AG56" s="512"/>
      <c r="AH56" s="512"/>
      <c r="AI56" s="512"/>
    </row>
    <row r="57" spans="1:36" x14ac:dyDescent="0.2">
      <c r="A57" s="512" t="s">
        <v>37</v>
      </c>
      <c r="B57" s="512"/>
      <c r="C57" s="512"/>
      <c r="D57" s="512"/>
      <c r="E57" s="514">
        <f>E19-E24-E51-E53-E55</f>
        <v>0</v>
      </c>
      <c r="F57" s="514">
        <f>F19-F24-F51-F53-F55</f>
        <v>171003.29618616679</v>
      </c>
      <c r="G57" s="514">
        <f>G19-G24-G51-G53-G55</f>
        <v>171003.29618616679</v>
      </c>
      <c r="H57" s="514">
        <f>H19-H24-H51-H53-H55</f>
        <v>171003.29618616679</v>
      </c>
      <c r="I57" s="514">
        <f t="shared" ref="I57:AI57" si="26">I19-I24-I51-I53-I55</f>
        <v>171003.29618616679</v>
      </c>
      <c r="J57" s="514">
        <f>J19-J24-J51-J53-J55</f>
        <v>171003.29618616679</v>
      </c>
      <c r="K57" s="514">
        <f>K19-K24-K51-K53-K55</f>
        <v>171003.29618616679</v>
      </c>
      <c r="L57" s="514">
        <f>L19-L24-L51-L53-L55</f>
        <v>171003.29618616679</v>
      </c>
      <c r="M57" s="514">
        <f>M19-M24-M51-M53-M55</f>
        <v>171003.29618616679</v>
      </c>
      <c r="N57" s="514">
        <f t="shared" si="26"/>
        <v>171003.29618616679</v>
      </c>
      <c r="O57" s="514">
        <f t="shared" si="26"/>
        <v>171003.29618616679</v>
      </c>
      <c r="P57" s="514">
        <f t="shared" si="26"/>
        <v>171003.29618616679</v>
      </c>
      <c r="Q57" s="514">
        <f>Q19-Q24-Q51-Q53-Q55</f>
        <v>171003.29618616679</v>
      </c>
      <c r="R57" s="514">
        <f t="shared" si="26"/>
        <v>171003.29618616679</v>
      </c>
      <c r="S57" s="514">
        <f t="shared" si="26"/>
        <v>171003.29618616679</v>
      </c>
      <c r="T57" s="514">
        <f t="shared" si="26"/>
        <v>171003.29618616679</v>
      </c>
      <c r="U57" s="514">
        <f t="shared" si="26"/>
        <v>171003.29618616679</v>
      </c>
      <c r="V57" s="514">
        <f t="shared" si="26"/>
        <v>171003.29618616679</v>
      </c>
      <c r="W57" s="514">
        <f t="shared" si="26"/>
        <v>171003.29618616679</v>
      </c>
      <c r="X57" s="514">
        <f t="shared" si="26"/>
        <v>171003.29618616679</v>
      </c>
      <c r="Y57" s="514">
        <f t="shared" si="26"/>
        <v>171003.29618616679</v>
      </c>
      <c r="Z57" s="514">
        <f t="shared" si="26"/>
        <v>171003.29618616679</v>
      </c>
      <c r="AA57" s="514">
        <f t="shared" si="26"/>
        <v>171003.29618616679</v>
      </c>
      <c r="AB57" s="514">
        <f t="shared" si="26"/>
        <v>171003.29618616679</v>
      </c>
      <c r="AC57" s="514">
        <f t="shared" si="26"/>
        <v>171003.29618616679</v>
      </c>
      <c r="AD57" s="514">
        <f t="shared" si="26"/>
        <v>171003.29618616679</v>
      </c>
      <c r="AE57" s="514">
        <f t="shared" si="26"/>
        <v>171003.29618616679</v>
      </c>
      <c r="AF57" s="514">
        <f t="shared" si="26"/>
        <v>171003.29618616679</v>
      </c>
      <c r="AG57" s="514">
        <f t="shared" si="26"/>
        <v>171003.29618616679</v>
      </c>
      <c r="AH57" s="514">
        <f t="shared" si="26"/>
        <v>171003.29618616679</v>
      </c>
      <c r="AI57" s="514">
        <f t="shared" si="26"/>
        <v>171003.29618616679</v>
      </c>
    </row>
    <row r="58" spans="1:36" x14ac:dyDescent="0.2">
      <c r="A58" s="512" t="s">
        <v>38</v>
      </c>
      <c r="B58" s="512"/>
      <c r="C58" s="512"/>
      <c r="D58" s="512"/>
      <c r="E58" s="514">
        <f t="shared" ref="E58:L58" si="27">E57+E27</f>
        <v>0</v>
      </c>
      <c r="F58" s="514">
        <f>F57+F27</f>
        <v>171003.29618616679</v>
      </c>
      <c r="G58" s="514">
        <f t="shared" si="27"/>
        <v>171003.29618616679</v>
      </c>
      <c r="H58" s="514">
        <f t="shared" si="27"/>
        <v>171003.29618616679</v>
      </c>
      <c r="I58" s="514">
        <f t="shared" si="27"/>
        <v>171003.29618616679</v>
      </c>
      <c r="J58" s="514">
        <f>J57+J27</f>
        <v>171003.29618616679</v>
      </c>
      <c r="K58" s="514">
        <f>K57+K27</f>
        <v>171003.29618616679</v>
      </c>
      <c r="L58" s="514">
        <f t="shared" si="27"/>
        <v>171003.29618616679</v>
      </c>
      <c r="M58" s="514">
        <f>M57+M27</f>
        <v>171003.29618616679</v>
      </c>
      <c r="N58" s="514">
        <f t="shared" ref="N58:AI58" si="28">N57+N27</f>
        <v>171003.29618616679</v>
      </c>
      <c r="O58" s="514">
        <f t="shared" si="28"/>
        <v>171003.29618616679</v>
      </c>
      <c r="P58" s="514">
        <f t="shared" si="28"/>
        <v>171003.29618616679</v>
      </c>
      <c r="Q58" s="514">
        <f t="shared" si="28"/>
        <v>171003.29618616679</v>
      </c>
      <c r="R58" s="514">
        <f t="shared" si="28"/>
        <v>171003.29618616679</v>
      </c>
      <c r="S58" s="514">
        <f>S57+S27</f>
        <v>171003.29618616679</v>
      </c>
      <c r="T58" s="514">
        <f t="shared" si="28"/>
        <v>171003.29618616679</v>
      </c>
      <c r="U58" s="514">
        <f t="shared" si="28"/>
        <v>171003.29618616679</v>
      </c>
      <c r="V58" s="514">
        <f t="shared" si="28"/>
        <v>171003.29618616679</v>
      </c>
      <c r="W58" s="514">
        <f t="shared" si="28"/>
        <v>171003.29618616679</v>
      </c>
      <c r="X58" s="514">
        <f t="shared" si="28"/>
        <v>171003.29618616679</v>
      </c>
      <c r="Y58" s="514">
        <f t="shared" si="28"/>
        <v>171003.29618616679</v>
      </c>
      <c r="Z58" s="514">
        <f t="shared" si="28"/>
        <v>171003.29618616679</v>
      </c>
      <c r="AA58" s="514">
        <f t="shared" si="28"/>
        <v>171003.29618616679</v>
      </c>
      <c r="AB58" s="514">
        <f t="shared" si="28"/>
        <v>171003.29618616679</v>
      </c>
      <c r="AC58" s="514">
        <f t="shared" si="28"/>
        <v>171003.29618616679</v>
      </c>
      <c r="AD58" s="514">
        <f t="shared" si="28"/>
        <v>171003.29618616679</v>
      </c>
      <c r="AE58" s="514">
        <f t="shared" si="28"/>
        <v>171003.29618616679</v>
      </c>
      <c r="AF58" s="514">
        <f t="shared" si="28"/>
        <v>171003.29618616679</v>
      </c>
      <c r="AG58" s="514">
        <f t="shared" si="28"/>
        <v>171003.29618616679</v>
      </c>
      <c r="AH58" s="514">
        <f t="shared" si="28"/>
        <v>171003.29618616679</v>
      </c>
      <c r="AI58" s="514">
        <f t="shared" si="28"/>
        <v>171003.29618616679</v>
      </c>
    </row>
    <row r="59" spans="1:36" x14ac:dyDescent="0.2">
      <c r="A59" s="512" t="s">
        <v>48</v>
      </c>
      <c r="B59" s="512"/>
      <c r="C59" s="512"/>
      <c r="D59" s="512"/>
      <c r="E59" s="514">
        <f>IF(E58&lt;0,0,E58*0.5)</f>
        <v>0</v>
      </c>
      <c r="F59" s="514">
        <v>0</v>
      </c>
      <c r="G59" s="514">
        <v>0</v>
      </c>
      <c r="H59" s="514">
        <v>0</v>
      </c>
      <c r="I59" s="514">
        <v>0</v>
      </c>
      <c r="J59" s="514">
        <v>0</v>
      </c>
      <c r="K59" s="514">
        <v>0</v>
      </c>
      <c r="L59" s="514">
        <v>0</v>
      </c>
      <c r="M59" s="514">
        <v>0</v>
      </c>
      <c r="N59" s="514">
        <v>0</v>
      </c>
      <c r="O59" s="514">
        <v>0</v>
      </c>
      <c r="P59" s="514">
        <v>0</v>
      </c>
      <c r="Q59" s="514">
        <v>0</v>
      </c>
      <c r="R59" s="514">
        <v>0</v>
      </c>
      <c r="S59" s="514">
        <v>0</v>
      </c>
      <c r="T59" s="514">
        <v>0</v>
      </c>
      <c r="U59" s="514">
        <v>0</v>
      </c>
      <c r="V59" s="514">
        <v>0</v>
      </c>
      <c r="W59" s="514">
        <v>0</v>
      </c>
      <c r="X59" s="514">
        <v>0</v>
      </c>
      <c r="Y59" s="514">
        <v>0</v>
      </c>
      <c r="Z59" s="514">
        <v>0</v>
      </c>
      <c r="AA59" s="514">
        <v>0</v>
      </c>
      <c r="AB59" s="514">
        <v>0</v>
      </c>
      <c r="AC59" s="514">
        <v>0</v>
      </c>
      <c r="AD59" s="514">
        <v>0</v>
      </c>
      <c r="AE59" s="514">
        <v>0</v>
      </c>
      <c r="AF59" s="514">
        <v>0</v>
      </c>
      <c r="AG59" s="514">
        <v>0</v>
      </c>
      <c r="AH59" s="514">
        <v>0</v>
      </c>
      <c r="AI59" s="514">
        <f t="shared" ref="AI59" si="29">IF(AI58&lt;0,0,AI58*0.5)</f>
        <v>85501.648093083393</v>
      </c>
    </row>
    <row r="60" spans="1:36" ht="26.25" customHeight="1" x14ac:dyDescent="0.2">
      <c r="A60" s="521" t="s">
        <v>50</v>
      </c>
      <c r="B60" s="512"/>
      <c r="C60" s="512"/>
      <c r="D60" s="512"/>
      <c r="E60" s="514">
        <f t="shared" ref="E60:S60" si="30">SUM(E6:E6)*-1+E58-E59</f>
        <v>0</v>
      </c>
      <c r="F60" s="514">
        <f t="shared" si="30"/>
        <v>171003.29618616679</v>
      </c>
      <c r="G60" s="514">
        <f t="shared" si="30"/>
        <v>171003.29618616679</v>
      </c>
      <c r="H60" s="514">
        <f t="shared" si="30"/>
        <v>171003.29618616679</v>
      </c>
      <c r="I60" s="514">
        <f t="shared" si="30"/>
        <v>171003.29618616679</v>
      </c>
      <c r="J60" s="514">
        <f t="shared" si="30"/>
        <v>171003.29618616679</v>
      </c>
      <c r="K60" s="514">
        <f t="shared" si="30"/>
        <v>171003.29618616679</v>
      </c>
      <c r="L60" s="514">
        <f t="shared" si="30"/>
        <v>171003.29618616679</v>
      </c>
      <c r="M60" s="514">
        <f t="shared" si="30"/>
        <v>171003.29618616679</v>
      </c>
      <c r="N60" s="514">
        <f>SUM(N6:N6)*-1+N58-N59</f>
        <v>171003.29618616679</v>
      </c>
      <c r="O60" s="514">
        <f t="shared" si="30"/>
        <v>171003.29618616679</v>
      </c>
      <c r="P60" s="514">
        <f t="shared" si="30"/>
        <v>171003.29618616679</v>
      </c>
      <c r="Q60" s="514">
        <f t="shared" si="30"/>
        <v>171003.29618616679</v>
      </c>
      <c r="R60" s="514">
        <f t="shared" si="30"/>
        <v>171003.29618616679</v>
      </c>
      <c r="S60" s="514">
        <f t="shared" si="30"/>
        <v>171003.29618616679</v>
      </c>
      <c r="T60" s="514">
        <f>SUM(T6:T6)*-1+T58-T59</f>
        <v>171003.29618616679</v>
      </c>
      <c r="U60" s="514">
        <f t="shared" ref="U60:AI60" si="31">SUM(U6:U6)*-1+U58-U59</f>
        <v>171003.29618616679</v>
      </c>
      <c r="V60" s="514">
        <f t="shared" si="31"/>
        <v>171003.29618616679</v>
      </c>
      <c r="W60" s="514">
        <f t="shared" si="31"/>
        <v>171003.29618616679</v>
      </c>
      <c r="X60" s="514">
        <f t="shared" si="31"/>
        <v>171003.29618616679</v>
      </c>
      <c r="Y60" s="514">
        <f t="shared" si="31"/>
        <v>171003.29618616679</v>
      </c>
      <c r="Z60" s="514">
        <f t="shared" si="31"/>
        <v>171003.29618616679</v>
      </c>
      <c r="AA60" s="514">
        <f t="shared" si="31"/>
        <v>171003.29618616679</v>
      </c>
      <c r="AB60" s="514">
        <f t="shared" si="31"/>
        <v>171003.29618616679</v>
      </c>
      <c r="AC60" s="514">
        <f t="shared" si="31"/>
        <v>171003.29618616679</v>
      </c>
      <c r="AD60" s="514">
        <f t="shared" si="31"/>
        <v>171003.29618616679</v>
      </c>
      <c r="AE60" s="514">
        <f t="shared" si="31"/>
        <v>171003.29618616679</v>
      </c>
      <c r="AF60" s="514">
        <f t="shared" si="31"/>
        <v>171003.29618616679</v>
      </c>
      <c r="AG60" s="514">
        <f t="shared" si="31"/>
        <v>171003.29618616679</v>
      </c>
      <c r="AH60" s="514">
        <f t="shared" si="31"/>
        <v>171003.29618616679</v>
      </c>
      <c r="AI60" s="514">
        <f t="shared" si="31"/>
        <v>85501.648093083393</v>
      </c>
    </row>
    <row r="61" spans="1:36" s="496" customFormat="1" x14ac:dyDescent="0.2">
      <c r="A61" s="514" t="s">
        <v>39</v>
      </c>
      <c r="B61" s="514"/>
      <c r="C61" s="514"/>
      <c r="D61" s="514"/>
      <c r="E61" s="514">
        <f>SUM($E60:E60)</f>
        <v>0</v>
      </c>
      <c r="F61" s="514">
        <f>SUM($E60:F60)</f>
        <v>171003.29618616679</v>
      </c>
      <c r="G61" s="514">
        <f>SUM($E60:G60)</f>
        <v>342006.59237233357</v>
      </c>
      <c r="H61" s="514">
        <f>SUM($E60:H60)</f>
        <v>513009.88855850033</v>
      </c>
      <c r="I61" s="514">
        <f>SUM($E60:I60)</f>
        <v>684013.18474466715</v>
      </c>
      <c r="J61" s="514">
        <f>SUM($E60:J60)</f>
        <v>855016.48093083396</v>
      </c>
      <c r="K61" s="514">
        <f>SUM($E60:K60)</f>
        <v>1026019.7771170008</v>
      </c>
      <c r="L61" s="514">
        <f>SUM($E60:L60)</f>
        <v>1197023.0733031675</v>
      </c>
      <c r="M61" s="514">
        <f>SUM($E60:M60)</f>
        <v>1368026.3694893343</v>
      </c>
      <c r="N61" s="514">
        <f>SUM($E60:N60)</f>
        <v>1539029.6656755011</v>
      </c>
      <c r="O61" s="514">
        <f>SUM($E60:O60)</f>
        <v>1710032.9618616679</v>
      </c>
      <c r="P61" s="514">
        <f>SUM($E60:P60)</f>
        <v>1881036.2580478347</v>
      </c>
      <c r="Q61" s="514">
        <f>SUM($E60:Q60)</f>
        <v>2052039.5542340016</v>
      </c>
      <c r="R61" s="514">
        <f>SUM($E60:R60)</f>
        <v>2223042.8504201681</v>
      </c>
      <c r="S61" s="514">
        <f>SUM($E60:S60)</f>
        <v>2394046.146606335</v>
      </c>
      <c r="T61" s="514">
        <f>SUM($E60:T60)</f>
        <v>2565049.4427925018</v>
      </c>
      <c r="U61" s="514">
        <f>SUM($E60:U60)</f>
        <v>2736052.7389786686</v>
      </c>
      <c r="V61" s="514">
        <f>SUM($E60:V60)</f>
        <v>2907056.0351648354</v>
      </c>
      <c r="W61" s="514">
        <f>SUM($E60:W60)</f>
        <v>3078059.3313510022</v>
      </c>
      <c r="X61" s="514">
        <f>SUM($E60:X60)</f>
        <v>3249062.627537169</v>
      </c>
      <c r="Y61" s="514">
        <f>SUM($E60:Y60)</f>
        <v>3420065.9237233358</v>
      </c>
      <c r="Z61" s="514">
        <f>SUM($E60:Z60)</f>
        <v>3591069.2199095027</v>
      </c>
      <c r="AA61" s="514">
        <f>SUM($E60:AA60)</f>
        <v>3762072.5160956695</v>
      </c>
      <c r="AB61" s="514">
        <f>SUM($E60:AB60)</f>
        <v>3933075.8122818363</v>
      </c>
      <c r="AC61" s="514">
        <f>SUM($E60:AC60)</f>
        <v>4104079.1084680031</v>
      </c>
      <c r="AD61" s="514">
        <f>SUM($E60:AD60)</f>
        <v>4275082.4046541695</v>
      </c>
      <c r="AE61" s="514">
        <f>SUM($E60:AE60)</f>
        <v>4446085.7008403363</v>
      </c>
      <c r="AF61" s="514">
        <f>SUM($E60:AF60)</f>
        <v>4617088.9970265031</v>
      </c>
      <c r="AG61" s="514">
        <f>SUM($E60:AG60)</f>
        <v>4788092.2932126699</v>
      </c>
      <c r="AH61" s="514">
        <f>SUM($E60:AH60)</f>
        <v>4959095.5893988367</v>
      </c>
      <c r="AI61" s="514">
        <f>SUM($E60:AI60)</f>
        <v>5044597.2374919197</v>
      </c>
    </row>
    <row r="62" spans="1:36" x14ac:dyDescent="0.2">
      <c r="A62" s="512" t="s">
        <v>40</v>
      </c>
      <c r="B62" s="512"/>
      <c r="C62" s="512"/>
      <c r="D62" s="512"/>
      <c r="E62" s="522">
        <f>R61/R60*-1+12</f>
        <v>-1</v>
      </c>
      <c r="F62" s="512" t="s">
        <v>41</v>
      </c>
      <c r="G62" s="502"/>
      <c r="H62" s="511"/>
      <c r="I62" s="511"/>
      <c r="J62" s="511"/>
      <c r="K62" s="511"/>
      <c r="L62" s="511"/>
      <c r="M62" s="511"/>
      <c r="N62" s="511"/>
      <c r="O62" s="511"/>
      <c r="P62" s="511"/>
      <c r="Q62" s="511"/>
      <c r="R62" s="511"/>
      <c r="S62" s="511"/>
      <c r="T62" s="511"/>
      <c r="U62" s="511"/>
    </row>
    <row r="63" spans="1:36" ht="0.75" customHeight="1" x14ac:dyDescent="0.2">
      <c r="A63" s="512" t="s">
        <v>42</v>
      </c>
      <c r="B63" s="512"/>
      <c r="C63" s="512"/>
      <c r="D63" s="512"/>
      <c r="E63" s="522" t="e">
        <f>((Y60*12)/(E6+F6)*100)</f>
        <v>#DIV/0!</v>
      </c>
      <c r="F63" s="512" t="s">
        <v>0</v>
      </c>
      <c r="G63" s="511"/>
      <c r="H63" s="512"/>
      <c r="I63" s="512"/>
      <c r="J63" s="511"/>
      <c r="K63" s="511"/>
      <c r="L63" s="511"/>
      <c r="M63" s="511"/>
      <c r="N63" s="511"/>
      <c r="O63" s="511"/>
      <c r="P63" s="511"/>
      <c r="Q63" s="511"/>
      <c r="R63" s="511"/>
      <c r="S63" s="511"/>
      <c r="T63" s="511"/>
      <c r="U63" s="511"/>
    </row>
    <row r="64" spans="1:36" s="523" customFormat="1" ht="12" hidden="1" x14ac:dyDescent="0.2">
      <c r="F64" s="524" t="s">
        <v>92</v>
      </c>
      <c r="G64" s="523" t="s">
        <v>88</v>
      </c>
      <c r="H64" s="523" t="s">
        <v>87</v>
      </c>
    </row>
    <row r="65" spans="5:8" s="359" customFormat="1" ht="11.25" hidden="1" customHeight="1" x14ac:dyDescent="0.2">
      <c r="E65" s="363" t="s">
        <v>84</v>
      </c>
      <c r="F65" s="361">
        <v>1800</v>
      </c>
      <c r="G65" s="361">
        <v>0</v>
      </c>
      <c r="H65" s="361">
        <f>F65*30*G65</f>
        <v>0</v>
      </c>
    </row>
    <row r="66" spans="5:8" s="359" customFormat="1" ht="12" hidden="1" x14ac:dyDescent="0.2">
      <c r="E66" s="363" t="s">
        <v>85</v>
      </c>
      <c r="F66" s="361">
        <v>1800</v>
      </c>
      <c r="G66" s="361">
        <v>0</v>
      </c>
      <c r="H66" s="361">
        <f t="shared" ref="H66" si="32">F66*30*G66</f>
        <v>0</v>
      </c>
    </row>
    <row r="67" spans="5:8" s="359" customFormat="1" ht="12" hidden="1" x14ac:dyDescent="0.2">
      <c r="E67" s="363" t="s">
        <v>86</v>
      </c>
      <c r="F67" s="361">
        <f>'Параметры проекта'!B25</f>
        <v>23000</v>
      </c>
      <c r="G67" s="361">
        <v>2</v>
      </c>
      <c r="H67" s="361">
        <f>F67*G67</f>
        <v>46000</v>
      </c>
    </row>
    <row r="68" spans="5:8" s="359" customFormat="1" ht="12" hidden="1" x14ac:dyDescent="0.2">
      <c r="E68" s="363"/>
      <c r="F68" s="361"/>
      <c r="H68" s="361">
        <f>SUM(H65:H67)</f>
        <v>46000</v>
      </c>
    </row>
    <row r="69" spans="5:8" s="359" customFormat="1" ht="12" hidden="1" x14ac:dyDescent="0.2">
      <c r="F69" s="361"/>
      <c r="G69" s="525" t="s">
        <v>90</v>
      </c>
      <c r="H69" s="359" t="s">
        <v>87</v>
      </c>
    </row>
    <row r="70" spans="5:8" s="359" customFormat="1" ht="12" hidden="1" x14ac:dyDescent="0.2">
      <c r="F70" s="361" t="s">
        <v>89</v>
      </c>
      <c r="G70" s="361">
        <v>12000</v>
      </c>
      <c r="H70" s="361">
        <f>G70*(G67+G66+G65)*30.2%</f>
        <v>7248</v>
      </c>
    </row>
    <row r="71" spans="5:8" s="359" customFormat="1" ht="12" x14ac:dyDescent="0.2">
      <c r="F71" s="361"/>
    </row>
    <row r="72" spans="5:8" s="359" customFormat="1" ht="12" x14ac:dyDescent="0.2">
      <c r="F72" s="361"/>
    </row>
    <row r="73" spans="5:8" s="359" customFormat="1" ht="12" x14ac:dyDescent="0.2">
      <c r="F73" s="361"/>
    </row>
    <row r="74" spans="5:8" s="359" customFormat="1" ht="12" x14ac:dyDescent="0.2">
      <c r="F74" s="361"/>
    </row>
    <row r="75" spans="5:8" s="359" customFormat="1" ht="12" x14ac:dyDescent="0.2">
      <c r="F75" s="361"/>
    </row>
    <row r="76" spans="5:8" s="359" customFormat="1" ht="12" x14ac:dyDescent="0.2">
      <c r="F76" s="361"/>
    </row>
    <row r="77" spans="5:8" s="359" customFormat="1" ht="12" x14ac:dyDescent="0.2">
      <c r="F77" s="361"/>
    </row>
    <row r="78" spans="5:8" s="359" customFormat="1" ht="12" x14ac:dyDescent="0.2">
      <c r="F78" s="361"/>
    </row>
    <row r="79" spans="5:8" s="359" customFormat="1" ht="12" x14ac:dyDescent="0.2">
      <c r="F79" s="361"/>
    </row>
    <row r="80" spans="5:8" s="359" customFormat="1" ht="12" x14ac:dyDescent="0.2">
      <c r="F80" s="361"/>
    </row>
    <row r="81" spans="6:6" s="359" customFormat="1" ht="12" x14ac:dyDescent="0.2">
      <c r="F81" s="361"/>
    </row>
    <row r="82" spans="6:6" s="359" customFormat="1" ht="12" x14ac:dyDescent="0.2">
      <c r="F82" s="361"/>
    </row>
    <row r="83" spans="6:6" s="359" customFormat="1" ht="12" x14ac:dyDescent="0.2">
      <c r="F83" s="361"/>
    </row>
    <row r="84" spans="6:6" s="359" customFormat="1" ht="12" x14ac:dyDescent="0.2">
      <c r="F84" s="361"/>
    </row>
    <row r="85" spans="6:6" s="359" customFormat="1" ht="12" x14ac:dyDescent="0.2">
      <c r="F85" s="361"/>
    </row>
    <row r="86" spans="6:6" s="359" customFormat="1" ht="12" x14ac:dyDescent="0.2">
      <c r="F86" s="361"/>
    </row>
    <row r="87" spans="6:6" s="359" customFormat="1" ht="12" x14ac:dyDescent="0.2">
      <c r="F87" s="361"/>
    </row>
    <row r="88" spans="6:6" s="359" customFormat="1" ht="12" x14ac:dyDescent="0.2">
      <c r="F88" s="361"/>
    </row>
    <row r="89" spans="6:6" s="359" customFormat="1" ht="12" x14ac:dyDescent="0.2">
      <c r="F89" s="361"/>
    </row>
    <row r="90" spans="6:6" s="359" customFormat="1" ht="12" x14ac:dyDescent="0.2">
      <c r="F90" s="361"/>
    </row>
    <row r="91" spans="6:6" s="359" customFormat="1" ht="12" x14ac:dyDescent="0.2">
      <c r="F91" s="361"/>
    </row>
    <row r="92" spans="6:6" s="359" customFormat="1" ht="12" x14ac:dyDescent="0.2">
      <c r="F92" s="361"/>
    </row>
    <row r="93" spans="6:6" s="359" customFormat="1" ht="12" x14ac:dyDescent="0.2">
      <c r="F93" s="361"/>
    </row>
    <row r="94" spans="6:6" s="359" customFormat="1" ht="12" x14ac:dyDescent="0.2">
      <c r="F94" s="361"/>
    </row>
    <row r="95" spans="6:6" s="359" customFormat="1" ht="12" x14ac:dyDescent="0.2">
      <c r="F95" s="361"/>
    </row>
    <row r="96" spans="6:6" s="359" customFormat="1" ht="12" x14ac:dyDescent="0.2">
      <c r="F96" s="361"/>
    </row>
    <row r="97" spans="6:6" s="359" customFormat="1" ht="12" x14ac:dyDescent="0.2">
      <c r="F97" s="361"/>
    </row>
    <row r="98" spans="6:6" s="359" customFormat="1" ht="12" x14ac:dyDescent="0.2">
      <c r="F98" s="361"/>
    </row>
    <row r="99" spans="6:6" s="359" customFormat="1" ht="12" x14ac:dyDescent="0.2">
      <c r="F99" s="361"/>
    </row>
    <row r="100" spans="6:6" s="359" customFormat="1" ht="12" x14ac:dyDescent="0.2">
      <c r="F100" s="361"/>
    </row>
    <row r="101" spans="6:6" s="359" customFormat="1" ht="12" x14ac:dyDescent="0.2">
      <c r="F101" s="361"/>
    </row>
    <row r="102" spans="6:6" s="359" customFormat="1" ht="12" x14ac:dyDescent="0.2">
      <c r="F102" s="361"/>
    </row>
    <row r="103" spans="6:6" s="359" customFormat="1" ht="12" x14ac:dyDescent="0.2">
      <c r="F103" s="361"/>
    </row>
    <row r="104" spans="6:6" s="359" customFormat="1" ht="12" x14ac:dyDescent="0.2">
      <c r="F104" s="361"/>
    </row>
    <row r="105" spans="6:6" s="359" customFormat="1" ht="12" x14ac:dyDescent="0.2">
      <c r="F105" s="361"/>
    </row>
    <row r="106" spans="6:6" s="359" customFormat="1" ht="12" x14ac:dyDescent="0.2">
      <c r="F106" s="361"/>
    </row>
    <row r="107" spans="6:6" s="359" customFormat="1" ht="12" x14ac:dyDescent="0.2">
      <c r="F107" s="361"/>
    </row>
    <row r="108" spans="6:6" s="359" customFormat="1" ht="12" x14ac:dyDescent="0.2">
      <c r="F108" s="361"/>
    </row>
    <row r="109" spans="6:6" s="359" customFormat="1" ht="12" x14ac:dyDescent="0.2">
      <c r="F109" s="361"/>
    </row>
    <row r="110" spans="6:6" s="359" customFormat="1" ht="12" x14ac:dyDescent="0.2">
      <c r="F110" s="361"/>
    </row>
    <row r="111" spans="6:6" s="359" customFormat="1" ht="12" x14ac:dyDescent="0.2">
      <c r="F111" s="361"/>
    </row>
    <row r="112" spans="6:6" s="359" customFormat="1" ht="12" x14ac:dyDescent="0.2">
      <c r="F112" s="361"/>
    </row>
    <row r="113" spans="6:6" s="359" customFormat="1" ht="12" x14ac:dyDescent="0.2">
      <c r="F113" s="361"/>
    </row>
    <row r="114" spans="6:6" s="359" customFormat="1" ht="12" x14ac:dyDescent="0.2">
      <c r="F114" s="361"/>
    </row>
    <row r="115" spans="6:6" s="359" customFormat="1" ht="12" x14ac:dyDescent="0.2">
      <c r="F115" s="361"/>
    </row>
    <row r="116" spans="6:6" s="359" customFormat="1" ht="12" x14ac:dyDescent="0.2">
      <c r="F116" s="361"/>
    </row>
    <row r="117" spans="6:6" s="359" customFormat="1" ht="12" x14ac:dyDescent="0.2">
      <c r="F117" s="361"/>
    </row>
    <row r="118" spans="6:6" s="359" customFormat="1" ht="12" x14ac:dyDescent="0.2">
      <c r="F118" s="361"/>
    </row>
    <row r="119" spans="6:6" s="359" customFormat="1" ht="12" x14ac:dyDescent="0.2">
      <c r="F119" s="361"/>
    </row>
    <row r="120" spans="6:6" s="359" customFormat="1" ht="12" x14ac:dyDescent="0.2">
      <c r="F120" s="361"/>
    </row>
    <row r="121" spans="6:6" s="359" customFormat="1" ht="12" x14ac:dyDescent="0.2">
      <c r="F121" s="361"/>
    </row>
    <row r="122" spans="6:6" s="359" customFormat="1" ht="12" x14ac:dyDescent="0.2">
      <c r="F122" s="361"/>
    </row>
    <row r="123" spans="6:6" s="359" customFormat="1" ht="12" x14ac:dyDescent="0.2">
      <c r="F123" s="361"/>
    </row>
    <row r="124" spans="6:6" s="359" customFormat="1" ht="12" x14ac:dyDescent="0.2">
      <c r="F124" s="361"/>
    </row>
    <row r="125" spans="6:6" s="359" customFormat="1" ht="12" x14ac:dyDescent="0.2">
      <c r="F125" s="361"/>
    </row>
    <row r="126" spans="6:6" s="359" customFormat="1" ht="12" x14ac:dyDescent="0.2">
      <c r="F126" s="361"/>
    </row>
    <row r="127" spans="6:6" s="359" customFormat="1" ht="12" x14ac:dyDescent="0.2">
      <c r="F127" s="361"/>
    </row>
    <row r="128" spans="6:6" s="359" customFormat="1" ht="12" x14ac:dyDescent="0.2">
      <c r="F128" s="361"/>
    </row>
    <row r="129" spans="6:6" s="359" customFormat="1" ht="12" x14ac:dyDescent="0.2">
      <c r="F129" s="361"/>
    </row>
    <row r="130" spans="6:6" s="359" customFormat="1" ht="12" x14ac:dyDescent="0.2">
      <c r="F130" s="361"/>
    </row>
    <row r="131" spans="6:6" s="359" customFormat="1" ht="12" x14ac:dyDescent="0.2">
      <c r="F131" s="361"/>
    </row>
    <row r="132" spans="6:6" s="359" customFormat="1" ht="12" x14ac:dyDescent="0.2">
      <c r="F132" s="361"/>
    </row>
    <row r="133" spans="6:6" s="359" customFormat="1" ht="12" x14ac:dyDescent="0.2">
      <c r="F133" s="361"/>
    </row>
    <row r="134" spans="6:6" s="359" customFormat="1" ht="12" x14ac:dyDescent="0.2">
      <c r="F134" s="361"/>
    </row>
    <row r="135" spans="6:6" s="359" customFormat="1" ht="12" x14ac:dyDescent="0.2">
      <c r="F135" s="361"/>
    </row>
    <row r="136" spans="6:6" s="359" customFormat="1" ht="12" x14ac:dyDescent="0.2">
      <c r="F136" s="361"/>
    </row>
    <row r="137" spans="6:6" s="359" customFormat="1" ht="12" x14ac:dyDescent="0.2">
      <c r="F137" s="361"/>
    </row>
    <row r="138" spans="6:6" s="359" customFormat="1" ht="12" x14ac:dyDescent="0.2">
      <c r="F138" s="361"/>
    </row>
    <row r="139" spans="6:6" s="359" customFormat="1" ht="12" x14ac:dyDescent="0.2">
      <c r="F139" s="361"/>
    </row>
    <row r="140" spans="6:6" s="359" customFormat="1" ht="12" x14ac:dyDescent="0.2">
      <c r="F140" s="361"/>
    </row>
    <row r="141" spans="6:6" s="359" customFormat="1" ht="12" x14ac:dyDescent="0.2">
      <c r="F141" s="361"/>
    </row>
    <row r="142" spans="6:6" s="359" customFormat="1" ht="12" x14ac:dyDescent="0.2">
      <c r="F142" s="361"/>
    </row>
    <row r="143" spans="6:6" s="359" customFormat="1" ht="12" x14ac:dyDescent="0.2">
      <c r="F143" s="361"/>
    </row>
    <row r="144" spans="6:6" s="359" customFormat="1" ht="12" x14ac:dyDescent="0.2">
      <c r="F144" s="361"/>
    </row>
    <row r="145" spans="6:6" s="359" customFormat="1" ht="12" x14ac:dyDescent="0.2">
      <c r="F145" s="361"/>
    </row>
    <row r="146" spans="6:6" s="359" customFormat="1" ht="12" x14ac:dyDescent="0.2">
      <c r="F146" s="361"/>
    </row>
    <row r="147" spans="6:6" s="359" customFormat="1" ht="12" x14ac:dyDescent="0.2">
      <c r="F147" s="361"/>
    </row>
    <row r="148" spans="6:6" s="359" customFormat="1" ht="12" x14ac:dyDescent="0.2">
      <c r="F148" s="361"/>
    </row>
    <row r="149" spans="6:6" s="359" customFormat="1" ht="12" x14ac:dyDescent="0.2">
      <c r="F149" s="361"/>
    </row>
    <row r="150" spans="6:6" s="359" customFormat="1" ht="12" x14ac:dyDescent="0.2">
      <c r="F150" s="361"/>
    </row>
    <row r="151" spans="6:6" s="359" customFormat="1" ht="12" x14ac:dyDescent="0.2">
      <c r="F151" s="361"/>
    </row>
    <row r="152" spans="6:6" s="359" customFormat="1" ht="12" x14ac:dyDescent="0.2">
      <c r="F152" s="361"/>
    </row>
    <row r="153" spans="6:6" s="359" customFormat="1" ht="12" x14ac:dyDescent="0.2">
      <c r="F153" s="361"/>
    </row>
    <row r="154" spans="6:6" s="359" customFormat="1" ht="12" x14ac:dyDescent="0.2">
      <c r="F154" s="361"/>
    </row>
    <row r="155" spans="6:6" s="359" customFormat="1" ht="12" x14ac:dyDescent="0.2">
      <c r="F155" s="361"/>
    </row>
    <row r="156" spans="6:6" s="359" customFormat="1" ht="12" x14ac:dyDescent="0.2">
      <c r="F156" s="361"/>
    </row>
    <row r="157" spans="6:6" s="359" customFormat="1" ht="12" x14ac:dyDescent="0.2">
      <c r="F157" s="361"/>
    </row>
    <row r="158" spans="6:6" s="359" customFormat="1" ht="12" x14ac:dyDescent="0.2">
      <c r="F158" s="361"/>
    </row>
    <row r="159" spans="6:6" s="359" customFormat="1" ht="12" x14ac:dyDescent="0.2">
      <c r="F159" s="361"/>
    </row>
    <row r="160" spans="6:6" s="359" customFormat="1" ht="12" x14ac:dyDescent="0.2">
      <c r="F160" s="361"/>
    </row>
    <row r="161" spans="6:6" s="359" customFormat="1" ht="12" x14ac:dyDescent="0.2">
      <c r="F161" s="361"/>
    </row>
    <row r="162" spans="6:6" s="359" customFormat="1" ht="12" x14ac:dyDescent="0.2">
      <c r="F162" s="361"/>
    </row>
    <row r="163" spans="6:6" s="359" customFormat="1" ht="12" x14ac:dyDescent="0.2">
      <c r="F163" s="361"/>
    </row>
    <row r="164" spans="6:6" s="359" customFormat="1" ht="12" x14ac:dyDescent="0.2">
      <c r="F164" s="361"/>
    </row>
    <row r="165" spans="6:6" s="359" customFormat="1" ht="12" x14ac:dyDescent="0.2">
      <c r="F165" s="361"/>
    </row>
    <row r="166" spans="6:6" s="359" customFormat="1" ht="12" x14ac:dyDescent="0.2">
      <c r="F166" s="361"/>
    </row>
    <row r="167" spans="6:6" s="359" customFormat="1" ht="12" x14ac:dyDescent="0.2">
      <c r="F167" s="361"/>
    </row>
    <row r="168" spans="6:6" s="359" customFormat="1" ht="12" x14ac:dyDescent="0.2">
      <c r="F168" s="361"/>
    </row>
    <row r="169" spans="6:6" s="359" customFormat="1" ht="12" x14ac:dyDescent="0.2">
      <c r="F169" s="361"/>
    </row>
    <row r="170" spans="6:6" s="359" customFormat="1" ht="12" x14ac:dyDescent="0.2">
      <c r="F170" s="361"/>
    </row>
    <row r="171" spans="6:6" s="359" customFormat="1" ht="12" x14ac:dyDescent="0.2">
      <c r="F171" s="361"/>
    </row>
    <row r="172" spans="6:6" s="359" customFormat="1" ht="12" x14ac:dyDescent="0.2">
      <c r="F172" s="361"/>
    </row>
    <row r="173" spans="6:6" s="359" customFormat="1" ht="12" x14ac:dyDescent="0.2"/>
    <row r="174" spans="6:6" s="359" customFormat="1" ht="12" x14ac:dyDescent="0.2"/>
    <row r="175" spans="6:6" s="359" customFormat="1" ht="12" x14ac:dyDescent="0.2"/>
    <row r="176" spans="6:6" s="359" customFormat="1" ht="12" x14ac:dyDescent="0.2"/>
    <row r="177" s="359" customFormat="1" ht="12" x14ac:dyDescent="0.2"/>
    <row r="178" s="359" customFormat="1" ht="12" x14ac:dyDescent="0.2"/>
    <row r="179" s="359" customFormat="1" ht="12" x14ac:dyDescent="0.2"/>
    <row r="180" s="359" customFormat="1" ht="12" x14ac:dyDescent="0.2"/>
    <row r="181" s="359" customFormat="1" ht="12" x14ac:dyDescent="0.2"/>
    <row r="182" s="359" customFormat="1" ht="12" x14ac:dyDescent="0.2"/>
  </sheetData>
  <sheetProtection password="CC5E" sheet="1" objects="1" scenarios="1" selectLockedCells="1" selectUnlockedCells="1"/>
  <mergeCells count="1">
    <mergeCell ref="A1:E1"/>
  </mergeCells>
  <conditionalFormatting sqref="E61:AI61">
    <cfRule type="cellIs" dxfId="1" priority="1" operator="greaterThan">
      <formula>0</formula>
    </cfRule>
  </conditionalFormatting>
  <pageMargins left="0.15748031496062992" right="0.15748031496062992" top="0.21" bottom="0.31" header="0.2" footer="0.23"/>
  <pageSetup paperSize="9" scale="30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182"/>
  <sheetViews>
    <sheetView zoomScaleNormal="100" workbookViewId="0">
      <selection sqref="A1:XFD1048576"/>
    </sheetView>
  </sheetViews>
  <sheetFormatPr defaultRowHeight="12.75" outlineLevelRow="2" x14ac:dyDescent="0.2"/>
  <cols>
    <col min="1" max="1" width="30.7109375" style="433" customWidth="1"/>
    <col min="2" max="2" width="8" style="433" customWidth="1"/>
    <col min="3" max="3" width="7.85546875" style="433" customWidth="1"/>
    <col min="4" max="4" width="8.28515625" style="433" customWidth="1"/>
    <col min="5" max="5" width="10" style="433" customWidth="1"/>
    <col min="6" max="6" width="9.85546875" style="433" customWidth="1"/>
    <col min="7" max="25" width="9.140625" style="433" customWidth="1"/>
    <col min="26" max="35" width="8.28515625" style="433" customWidth="1"/>
    <col min="36" max="16384" width="9.140625" style="433"/>
  </cols>
  <sheetData>
    <row r="1" spans="1:35" x14ac:dyDescent="0.2">
      <c r="A1" s="669" t="s">
        <v>45</v>
      </c>
      <c r="B1" s="669"/>
      <c r="C1" s="669"/>
      <c r="D1" s="669"/>
      <c r="E1" s="669"/>
      <c r="F1" s="529">
        <f>F8/F15</f>
        <v>2.7273929332255933</v>
      </c>
      <c r="G1" s="529">
        <f t="shared" ref="G1:AI1" si="0">G8/G15</f>
        <v>2.7273929332255933</v>
      </c>
      <c r="H1" s="529">
        <f t="shared" si="0"/>
        <v>2.7273929332255933</v>
      </c>
      <c r="I1" s="529">
        <f t="shared" si="0"/>
        <v>2.7273929332255933</v>
      </c>
      <c r="J1" s="529">
        <f t="shared" si="0"/>
        <v>2.7273929332255933</v>
      </c>
      <c r="K1" s="529">
        <f t="shared" si="0"/>
        <v>2.7273929332255933</v>
      </c>
      <c r="L1" s="529">
        <f t="shared" si="0"/>
        <v>2.7273929332255933</v>
      </c>
      <c r="M1" s="529">
        <f t="shared" si="0"/>
        <v>2.7273929332255933</v>
      </c>
      <c r="N1" s="529">
        <f t="shared" si="0"/>
        <v>2.7273929332255933</v>
      </c>
      <c r="O1" s="529">
        <f t="shared" si="0"/>
        <v>2.7273929332255933</v>
      </c>
      <c r="P1" s="529">
        <f t="shared" si="0"/>
        <v>2.7273929332255933</v>
      </c>
      <c r="Q1" s="529">
        <f t="shared" si="0"/>
        <v>2.7273929332255933</v>
      </c>
      <c r="R1" s="529">
        <f t="shared" si="0"/>
        <v>2.7273929332255933</v>
      </c>
      <c r="S1" s="529">
        <f t="shared" si="0"/>
        <v>2.7273929332255933</v>
      </c>
      <c r="T1" s="529">
        <f t="shared" si="0"/>
        <v>2.7273929332255933</v>
      </c>
      <c r="U1" s="529">
        <f t="shared" si="0"/>
        <v>2.7273929332255933</v>
      </c>
      <c r="V1" s="529">
        <f t="shared" si="0"/>
        <v>2.7273929332255933</v>
      </c>
      <c r="W1" s="529">
        <f t="shared" si="0"/>
        <v>2.7273929332255933</v>
      </c>
      <c r="X1" s="529">
        <f t="shared" si="0"/>
        <v>2.7273929332255933</v>
      </c>
      <c r="Y1" s="529">
        <f t="shared" si="0"/>
        <v>2.7273929332255933</v>
      </c>
      <c r="Z1" s="529">
        <f t="shared" si="0"/>
        <v>2.7273929332255933</v>
      </c>
      <c r="AA1" s="529">
        <f t="shared" si="0"/>
        <v>2.7273929332255933</v>
      </c>
      <c r="AB1" s="529">
        <f t="shared" si="0"/>
        <v>2.7273929332255933</v>
      </c>
      <c r="AC1" s="529">
        <f t="shared" si="0"/>
        <v>2.7273929332255933</v>
      </c>
      <c r="AD1" s="529">
        <f t="shared" si="0"/>
        <v>2.7273929332255933</v>
      </c>
      <c r="AE1" s="529">
        <f t="shared" si="0"/>
        <v>2.7273929332255933</v>
      </c>
      <c r="AF1" s="529">
        <f t="shared" si="0"/>
        <v>2.7273929332255933</v>
      </c>
      <c r="AG1" s="529">
        <f t="shared" si="0"/>
        <v>2.7273929332255933</v>
      </c>
      <c r="AH1" s="529">
        <f t="shared" si="0"/>
        <v>2.7273929332255933</v>
      </c>
      <c r="AI1" s="529">
        <f t="shared" si="0"/>
        <v>2.7273929332255933</v>
      </c>
    </row>
    <row r="2" spans="1:35" x14ac:dyDescent="0.2">
      <c r="A2" s="530"/>
      <c r="B2" s="530"/>
      <c r="C2" s="530"/>
      <c r="D2" s="530"/>
      <c r="E2" s="531" t="s">
        <v>46</v>
      </c>
      <c r="F2" s="532">
        <f>F10/F16</f>
        <v>3.12</v>
      </c>
      <c r="G2" s="532">
        <f t="shared" ref="G2:AI2" si="1">G10/G16</f>
        <v>3.12</v>
      </c>
      <c r="H2" s="532">
        <f t="shared" si="1"/>
        <v>3.12</v>
      </c>
      <c r="I2" s="532">
        <f t="shared" si="1"/>
        <v>3.12</v>
      </c>
      <c r="J2" s="532">
        <f t="shared" si="1"/>
        <v>3.12</v>
      </c>
      <c r="K2" s="532">
        <f t="shared" si="1"/>
        <v>3.12</v>
      </c>
      <c r="L2" s="532">
        <f t="shared" si="1"/>
        <v>3.12</v>
      </c>
      <c r="M2" s="532">
        <f t="shared" si="1"/>
        <v>3.12</v>
      </c>
      <c r="N2" s="532">
        <f t="shared" si="1"/>
        <v>3.12</v>
      </c>
      <c r="O2" s="532">
        <f t="shared" si="1"/>
        <v>3.12</v>
      </c>
      <c r="P2" s="532">
        <f t="shared" si="1"/>
        <v>3.12</v>
      </c>
      <c r="Q2" s="532">
        <f t="shared" si="1"/>
        <v>3.12</v>
      </c>
      <c r="R2" s="532">
        <f t="shared" si="1"/>
        <v>3.12</v>
      </c>
      <c r="S2" s="532">
        <f t="shared" si="1"/>
        <v>3.12</v>
      </c>
      <c r="T2" s="532">
        <f t="shared" si="1"/>
        <v>3.12</v>
      </c>
      <c r="U2" s="532">
        <f t="shared" si="1"/>
        <v>3.12</v>
      </c>
      <c r="V2" s="532">
        <f t="shared" si="1"/>
        <v>3.12</v>
      </c>
      <c r="W2" s="532">
        <f t="shared" si="1"/>
        <v>3.12</v>
      </c>
      <c r="X2" s="532">
        <f t="shared" si="1"/>
        <v>3.12</v>
      </c>
      <c r="Y2" s="532">
        <f t="shared" si="1"/>
        <v>3.12</v>
      </c>
      <c r="Z2" s="532">
        <f t="shared" si="1"/>
        <v>3.12</v>
      </c>
      <c r="AA2" s="532">
        <f t="shared" si="1"/>
        <v>3.12</v>
      </c>
      <c r="AB2" s="532">
        <f t="shared" si="1"/>
        <v>3.12</v>
      </c>
      <c r="AC2" s="532">
        <f t="shared" si="1"/>
        <v>3.12</v>
      </c>
      <c r="AD2" s="532">
        <f t="shared" si="1"/>
        <v>3.12</v>
      </c>
      <c r="AE2" s="532">
        <f t="shared" si="1"/>
        <v>3.12</v>
      </c>
      <c r="AF2" s="532">
        <f t="shared" si="1"/>
        <v>3.12</v>
      </c>
      <c r="AG2" s="532">
        <f t="shared" si="1"/>
        <v>3.12</v>
      </c>
      <c r="AH2" s="532">
        <f t="shared" si="1"/>
        <v>3.12</v>
      </c>
      <c r="AI2" s="532">
        <f t="shared" si="1"/>
        <v>3.12</v>
      </c>
    </row>
    <row r="3" spans="1:35" x14ac:dyDescent="0.2">
      <c r="A3" s="531"/>
      <c r="B3" s="531"/>
      <c r="C3" s="531"/>
      <c r="D3" s="531"/>
      <c r="E3" s="531" t="s">
        <v>141</v>
      </c>
      <c r="F3" s="533">
        <f>F11/F17</f>
        <v>2.1</v>
      </c>
      <c r="G3" s="533">
        <f t="shared" ref="G3:AI3" si="2">G11/G17</f>
        <v>2.1</v>
      </c>
      <c r="H3" s="533">
        <f t="shared" si="2"/>
        <v>2.1</v>
      </c>
      <c r="I3" s="533">
        <f t="shared" si="2"/>
        <v>2.1</v>
      </c>
      <c r="J3" s="533">
        <f t="shared" si="2"/>
        <v>2.1</v>
      </c>
      <c r="K3" s="533">
        <f t="shared" si="2"/>
        <v>2.1</v>
      </c>
      <c r="L3" s="533">
        <f t="shared" si="2"/>
        <v>2.1</v>
      </c>
      <c r="M3" s="533">
        <f t="shared" si="2"/>
        <v>2.1</v>
      </c>
      <c r="N3" s="533">
        <f t="shared" si="2"/>
        <v>2.1</v>
      </c>
      <c r="O3" s="533">
        <f t="shared" si="2"/>
        <v>2.1</v>
      </c>
      <c r="P3" s="533">
        <f t="shared" si="2"/>
        <v>2.1</v>
      </c>
      <c r="Q3" s="533">
        <f t="shared" si="2"/>
        <v>2.1</v>
      </c>
      <c r="R3" s="533">
        <f t="shared" si="2"/>
        <v>2.1</v>
      </c>
      <c r="S3" s="533">
        <f t="shared" si="2"/>
        <v>2.1</v>
      </c>
      <c r="T3" s="533">
        <f t="shared" si="2"/>
        <v>2.1</v>
      </c>
      <c r="U3" s="533">
        <f t="shared" si="2"/>
        <v>2.1</v>
      </c>
      <c r="V3" s="533">
        <f t="shared" si="2"/>
        <v>2.1</v>
      </c>
      <c r="W3" s="533">
        <f t="shared" si="2"/>
        <v>2.1</v>
      </c>
      <c r="X3" s="533">
        <f t="shared" si="2"/>
        <v>2.1</v>
      </c>
      <c r="Y3" s="533">
        <f t="shared" si="2"/>
        <v>2.1</v>
      </c>
      <c r="Z3" s="533">
        <f t="shared" si="2"/>
        <v>2.1</v>
      </c>
      <c r="AA3" s="533">
        <f t="shared" si="2"/>
        <v>2.1</v>
      </c>
      <c r="AB3" s="533">
        <f t="shared" si="2"/>
        <v>2.1</v>
      </c>
      <c r="AC3" s="533">
        <f t="shared" si="2"/>
        <v>2.1</v>
      </c>
      <c r="AD3" s="533">
        <f t="shared" si="2"/>
        <v>2.1</v>
      </c>
      <c r="AE3" s="533">
        <f t="shared" si="2"/>
        <v>2.1</v>
      </c>
      <c r="AF3" s="533">
        <f t="shared" si="2"/>
        <v>2.1</v>
      </c>
      <c r="AG3" s="533">
        <f t="shared" si="2"/>
        <v>2.1</v>
      </c>
      <c r="AH3" s="533">
        <f t="shared" si="2"/>
        <v>2.1</v>
      </c>
      <c r="AI3" s="533">
        <f t="shared" si="2"/>
        <v>2.1</v>
      </c>
    </row>
    <row r="4" spans="1:35" x14ac:dyDescent="0.2">
      <c r="A4" s="530"/>
      <c r="B4" s="530"/>
      <c r="C4" s="530"/>
      <c r="D4" s="530"/>
      <c r="E4" s="531" t="s">
        <v>47</v>
      </c>
      <c r="F4" s="532">
        <f>F12/F18</f>
        <v>1.7</v>
      </c>
      <c r="G4" s="532">
        <f t="shared" ref="G4:AI4" si="3">G12/G18</f>
        <v>1.7</v>
      </c>
      <c r="H4" s="532">
        <f t="shared" si="3"/>
        <v>1.7</v>
      </c>
      <c r="I4" s="532">
        <f t="shared" si="3"/>
        <v>1.7</v>
      </c>
      <c r="J4" s="532">
        <f t="shared" si="3"/>
        <v>1.7</v>
      </c>
      <c r="K4" s="532">
        <f t="shared" si="3"/>
        <v>1.7</v>
      </c>
      <c r="L4" s="532">
        <f t="shared" si="3"/>
        <v>1.7</v>
      </c>
      <c r="M4" s="532">
        <f t="shared" si="3"/>
        <v>1.7</v>
      </c>
      <c r="N4" s="532">
        <f t="shared" si="3"/>
        <v>1.7</v>
      </c>
      <c r="O4" s="532">
        <f t="shared" si="3"/>
        <v>1.7</v>
      </c>
      <c r="P4" s="532">
        <f t="shared" si="3"/>
        <v>1.7</v>
      </c>
      <c r="Q4" s="532">
        <f t="shared" si="3"/>
        <v>1.7</v>
      </c>
      <c r="R4" s="532">
        <f t="shared" si="3"/>
        <v>1.7</v>
      </c>
      <c r="S4" s="532">
        <f t="shared" si="3"/>
        <v>1.7</v>
      </c>
      <c r="T4" s="532">
        <f t="shared" si="3"/>
        <v>1.7</v>
      </c>
      <c r="U4" s="532">
        <f t="shared" si="3"/>
        <v>1.7</v>
      </c>
      <c r="V4" s="532">
        <f t="shared" si="3"/>
        <v>1.7</v>
      </c>
      <c r="W4" s="532">
        <f t="shared" si="3"/>
        <v>1.7</v>
      </c>
      <c r="X4" s="532">
        <f t="shared" si="3"/>
        <v>1.7</v>
      </c>
      <c r="Y4" s="532">
        <f t="shared" si="3"/>
        <v>1.7</v>
      </c>
      <c r="Z4" s="532">
        <f t="shared" si="3"/>
        <v>1.7</v>
      </c>
      <c r="AA4" s="532">
        <f t="shared" si="3"/>
        <v>1.7</v>
      </c>
      <c r="AB4" s="532">
        <f t="shared" si="3"/>
        <v>1.7</v>
      </c>
      <c r="AC4" s="532">
        <f t="shared" si="3"/>
        <v>1.7</v>
      </c>
      <c r="AD4" s="532">
        <f t="shared" si="3"/>
        <v>1.7</v>
      </c>
      <c r="AE4" s="532">
        <f t="shared" si="3"/>
        <v>1.7</v>
      </c>
      <c r="AF4" s="532">
        <f t="shared" si="3"/>
        <v>1.7</v>
      </c>
      <c r="AG4" s="532">
        <f t="shared" si="3"/>
        <v>1.7</v>
      </c>
      <c r="AH4" s="532">
        <f t="shared" si="3"/>
        <v>1.7</v>
      </c>
      <c r="AI4" s="532">
        <f t="shared" si="3"/>
        <v>1.7</v>
      </c>
    </row>
    <row r="5" spans="1:35" ht="14.25" customHeight="1" x14ac:dyDescent="0.3">
      <c r="A5" s="534" t="s">
        <v>125</v>
      </c>
      <c r="B5" s="535"/>
      <c r="C5" s="526">
        <f>цех!L105</f>
        <v>231046.12578306397</v>
      </c>
      <c r="D5" s="535"/>
      <c r="E5" s="536"/>
      <c r="F5" s="537" t="s">
        <v>73</v>
      </c>
      <c r="G5" s="537" t="s">
        <v>74</v>
      </c>
      <c r="H5" s="537" t="s">
        <v>75</v>
      </c>
      <c r="I5" s="537" t="s">
        <v>76</v>
      </c>
      <c r="J5" s="537" t="s">
        <v>66</v>
      </c>
      <c r="K5" s="537" t="s">
        <v>63</v>
      </c>
      <c r="L5" s="537" t="s">
        <v>67</v>
      </c>
      <c r="M5" s="537" t="s">
        <v>68</v>
      </c>
      <c r="N5" s="537" t="s">
        <v>69</v>
      </c>
      <c r="O5" s="537" t="s">
        <v>70</v>
      </c>
      <c r="P5" s="537" t="s">
        <v>71</v>
      </c>
      <c r="Q5" s="537" t="s">
        <v>72</v>
      </c>
      <c r="R5" s="537" t="s">
        <v>73</v>
      </c>
      <c r="S5" s="537" t="s">
        <v>74</v>
      </c>
      <c r="T5" s="537" t="s">
        <v>75</v>
      </c>
      <c r="U5" s="537" t="s">
        <v>76</v>
      </c>
      <c r="V5" s="537" t="s">
        <v>66</v>
      </c>
      <c r="W5" s="537" t="s">
        <v>63</v>
      </c>
      <c r="X5" s="537" t="s">
        <v>67</v>
      </c>
      <c r="Y5" s="537" t="s">
        <v>68</v>
      </c>
      <c r="Z5" s="537" t="s">
        <v>69</v>
      </c>
      <c r="AA5" s="537" t="s">
        <v>70</v>
      </c>
      <c r="AB5" s="537" t="s">
        <v>71</v>
      </c>
      <c r="AC5" s="537" t="s">
        <v>72</v>
      </c>
      <c r="AD5" s="537" t="s">
        <v>73</v>
      </c>
      <c r="AE5" s="537" t="s">
        <v>74</v>
      </c>
      <c r="AF5" s="537" t="s">
        <v>75</v>
      </c>
      <c r="AG5" s="537" t="s">
        <v>76</v>
      </c>
      <c r="AH5" s="537" t="s">
        <v>66</v>
      </c>
      <c r="AI5" s="537" t="s">
        <v>63</v>
      </c>
    </row>
    <row r="6" spans="1:35" ht="15" x14ac:dyDescent="0.25">
      <c r="A6" s="536"/>
      <c r="B6" s="535"/>
      <c r="C6" s="535"/>
      <c r="D6" s="531" t="s">
        <v>43</v>
      </c>
      <c r="E6" s="527">
        <v>0</v>
      </c>
      <c r="F6" s="527">
        <v>0</v>
      </c>
      <c r="G6" s="526"/>
      <c r="H6" s="526"/>
      <c r="I6" s="526"/>
      <c r="J6" s="526"/>
      <c r="K6" s="526"/>
      <c r="L6" s="526"/>
      <c r="M6" s="526"/>
      <c r="N6" s="526"/>
      <c r="O6" s="526"/>
      <c r="P6" s="526"/>
      <c r="Q6" s="526"/>
      <c r="R6" s="526"/>
      <c r="S6" s="535"/>
      <c r="T6" s="535"/>
      <c r="U6" s="535"/>
    </row>
    <row r="7" spans="1:35" x14ac:dyDescent="0.2">
      <c r="A7" s="536" t="s">
        <v>1</v>
      </c>
      <c r="B7" s="536"/>
      <c r="C7" s="536"/>
      <c r="D7" s="536"/>
      <c r="E7" s="536"/>
      <c r="F7" s="538">
        <f>цех!$E$76</f>
        <v>20000</v>
      </c>
      <c r="G7" s="538">
        <f>цех!$E$76</f>
        <v>20000</v>
      </c>
      <c r="H7" s="538">
        <f>цех!$E$76</f>
        <v>20000</v>
      </c>
      <c r="I7" s="538">
        <f>цех!$E$76</f>
        <v>20000</v>
      </c>
      <c r="J7" s="538">
        <f>цех!$E$76</f>
        <v>20000</v>
      </c>
      <c r="K7" s="538">
        <f>цех!$E$76</f>
        <v>20000</v>
      </c>
      <c r="L7" s="538">
        <f>цех!$E$76</f>
        <v>20000</v>
      </c>
      <c r="M7" s="538">
        <f>цех!$E$76</f>
        <v>20000</v>
      </c>
      <c r="N7" s="538">
        <f>цех!$E$76</f>
        <v>20000</v>
      </c>
      <c r="O7" s="538">
        <f>цех!$E$76</f>
        <v>20000</v>
      </c>
      <c r="P7" s="538">
        <f>цех!$E$76</f>
        <v>20000</v>
      </c>
      <c r="Q7" s="538">
        <f>цех!$E$76</f>
        <v>20000</v>
      </c>
      <c r="R7" s="538">
        <f>цех!$E$76</f>
        <v>20000</v>
      </c>
      <c r="S7" s="538">
        <f>цех!$E$76</f>
        <v>20000</v>
      </c>
      <c r="T7" s="538">
        <f>цех!$E$76</f>
        <v>20000</v>
      </c>
      <c r="U7" s="538">
        <f>цех!$E$76</f>
        <v>20000</v>
      </c>
      <c r="V7" s="538">
        <f>цех!$E$76</f>
        <v>20000</v>
      </c>
      <c r="W7" s="538">
        <f>цех!$E$76</f>
        <v>20000</v>
      </c>
      <c r="X7" s="538">
        <f>цех!$E$76</f>
        <v>20000</v>
      </c>
      <c r="Y7" s="538">
        <f>цех!$E$76</f>
        <v>20000</v>
      </c>
      <c r="Z7" s="538">
        <f>цех!$E$76</f>
        <v>20000</v>
      </c>
      <c r="AA7" s="538">
        <f>цех!$E$76</f>
        <v>20000</v>
      </c>
      <c r="AB7" s="538">
        <f>цех!$E$76</f>
        <v>20000</v>
      </c>
      <c r="AC7" s="538">
        <f>цех!$E$76</f>
        <v>20000</v>
      </c>
      <c r="AD7" s="538">
        <f>цех!$E$76</f>
        <v>20000</v>
      </c>
      <c r="AE7" s="538">
        <f>цех!$E$76</f>
        <v>20000</v>
      </c>
      <c r="AF7" s="538">
        <f>цех!$E$76</f>
        <v>20000</v>
      </c>
      <c r="AG7" s="538">
        <f>цех!$E$76</f>
        <v>20000</v>
      </c>
      <c r="AH7" s="538">
        <f>цех!$E$76</f>
        <v>20000</v>
      </c>
      <c r="AI7" s="538">
        <f>цех!$E$76</f>
        <v>20000</v>
      </c>
    </row>
    <row r="8" spans="1:35" x14ac:dyDescent="0.2">
      <c r="A8" s="536" t="s">
        <v>2</v>
      </c>
      <c r="B8" s="536"/>
      <c r="C8" s="536"/>
      <c r="D8" s="536"/>
      <c r="E8" s="536"/>
      <c r="F8" s="538">
        <f t="shared" ref="F8:AI8" si="4">F7*30</f>
        <v>600000</v>
      </c>
      <c r="G8" s="538">
        <f t="shared" si="4"/>
        <v>600000</v>
      </c>
      <c r="H8" s="538">
        <f t="shared" si="4"/>
        <v>600000</v>
      </c>
      <c r="I8" s="538">
        <f t="shared" si="4"/>
        <v>600000</v>
      </c>
      <c r="J8" s="538">
        <f t="shared" si="4"/>
        <v>600000</v>
      </c>
      <c r="K8" s="538">
        <f t="shared" si="4"/>
        <v>600000</v>
      </c>
      <c r="L8" s="538">
        <f t="shared" si="4"/>
        <v>600000</v>
      </c>
      <c r="M8" s="538">
        <f t="shared" si="4"/>
        <v>600000</v>
      </c>
      <c r="N8" s="538">
        <f t="shared" si="4"/>
        <v>600000</v>
      </c>
      <c r="O8" s="538">
        <f>O7*30</f>
        <v>600000</v>
      </c>
      <c r="P8" s="538">
        <f t="shared" si="4"/>
        <v>600000</v>
      </c>
      <c r="Q8" s="538">
        <f t="shared" si="4"/>
        <v>600000</v>
      </c>
      <c r="R8" s="538">
        <f t="shared" si="4"/>
        <v>600000</v>
      </c>
      <c r="S8" s="538">
        <f t="shared" si="4"/>
        <v>600000</v>
      </c>
      <c r="T8" s="538">
        <f t="shared" si="4"/>
        <v>600000</v>
      </c>
      <c r="U8" s="538">
        <f t="shared" si="4"/>
        <v>600000</v>
      </c>
      <c r="V8" s="538">
        <f t="shared" si="4"/>
        <v>600000</v>
      </c>
      <c r="W8" s="538">
        <f t="shared" si="4"/>
        <v>600000</v>
      </c>
      <c r="X8" s="538">
        <f t="shared" si="4"/>
        <v>600000</v>
      </c>
      <c r="Y8" s="538">
        <f t="shared" si="4"/>
        <v>600000</v>
      </c>
      <c r="Z8" s="538">
        <f t="shared" si="4"/>
        <v>600000</v>
      </c>
      <c r="AA8" s="538">
        <f t="shared" si="4"/>
        <v>600000</v>
      </c>
      <c r="AB8" s="538">
        <f t="shared" si="4"/>
        <v>600000</v>
      </c>
      <c r="AC8" s="538">
        <f t="shared" si="4"/>
        <v>600000</v>
      </c>
      <c r="AD8" s="538">
        <f t="shared" si="4"/>
        <v>600000</v>
      </c>
      <c r="AE8" s="538">
        <f t="shared" si="4"/>
        <v>600000</v>
      </c>
      <c r="AF8" s="538">
        <f t="shared" si="4"/>
        <v>600000</v>
      </c>
      <c r="AG8" s="538">
        <f t="shared" si="4"/>
        <v>600000</v>
      </c>
      <c r="AH8" s="538">
        <f t="shared" si="4"/>
        <v>600000</v>
      </c>
      <c r="AI8" s="538">
        <f t="shared" si="4"/>
        <v>600000</v>
      </c>
    </row>
    <row r="9" spans="1:35" x14ac:dyDescent="0.2">
      <c r="A9" s="536" t="s">
        <v>3</v>
      </c>
      <c r="B9" s="536"/>
      <c r="C9" s="536"/>
      <c r="D9" s="536"/>
      <c r="E9" s="536"/>
      <c r="F9" s="538"/>
      <c r="G9" s="538"/>
      <c r="H9" s="538"/>
      <c r="I9" s="538"/>
      <c r="J9" s="538"/>
      <c r="K9" s="538"/>
      <c r="L9" s="538"/>
      <c r="M9" s="538"/>
      <c r="N9" s="538"/>
      <c r="O9" s="538"/>
      <c r="P9" s="538"/>
      <c r="Q9" s="538"/>
      <c r="R9" s="538"/>
      <c r="S9" s="538"/>
      <c r="T9" s="538"/>
      <c r="U9" s="538"/>
      <c r="V9" s="538"/>
      <c r="W9" s="538"/>
      <c r="X9" s="538"/>
      <c r="Y9" s="538"/>
      <c r="Z9" s="538"/>
      <c r="AA9" s="538"/>
      <c r="AB9" s="538"/>
      <c r="AC9" s="538"/>
      <c r="AD9" s="538"/>
      <c r="AE9" s="538"/>
      <c r="AF9" s="538"/>
      <c r="AG9" s="538"/>
      <c r="AH9" s="538"/>
      <c r="AI9" s="538"/>
    </row>
    <row r="10" spans="1:35" x14ac:dyDescent="0.2">
      <c r="A10" s="536" t="s">
        <v>4</v>
      </c>
      <c r="B10" s="536"/>
      <c r="C10" s="536" t="s">
        <v>5</v>
      </c>
      <c r="D10" s="539">
        <f>цех!I120</f>
        <v>0.79</v>
      </c>
      <c r="E10" s="536"/>
      <c r="F10" s="538">
        <f>F8*$D10</f>
        <v>474000</v>
      </c>
      <c r="G10" s="538">
        <f t="shared" ref="G10:AI10" si="5">G8*$D10</f>
        <v>474000</v>
      </c>
      <c r="H10" s="538">
        <f t="shared" si="5"/>
        <v>474000</v>
      </c>
      <c r="I10" s="538">
        <f t="shared" si="5"/>
        <v>474000</v>
      </c>
      <c r="J10" s="538">
        <f t="shared" si="5"/>
        <v>474000</v>
      </c>
      <c r="K10" s="538">
        <f t="shared" si="5"/>
        <v>474000</v>
      </c>
      <c r="L10" s="538">
        <f t="shared" si="5"/>
        <v>474000</v>
      </c>
      <c r="M10" s="538">
        <f t="shared" si="5"/>
        <v>474000</v>
      </c>
      <c r="N10" s="538">
        <f t="shared" si="5"/>
        <v>474000</v>
      </c>
      <c r="O10" s="538">
        <f t="shared" si="5"/>
        <v>474000</v>
      </c>
      <c r="P10" s="538">
        <f t="shared" si="5"/>
        <v>474000</v>
      </c>
      <c r="Q10" s="538">
        <f t="shared" si="5"/>
        <v>474000</v>
      </c>
      <c r="R10" s="538">
        <f t="shared" si="5"/>
        <v>474000</v>
      </c>
      <c r="S10" s="538">
        <f t="shared" si="5"/>
        <v>474000</v>
      </c>
      <c r="T10" s="538">
        <f t="shared" si="5"/>
        <v>474000</v>
      </c>
      <c r="U10" s="538">
        <f t="shared" si="5"/>
        <v>474000</v>
      </c>
      <c r="V10" s="538">
        <f t="shared" si="5"/>
        <v>474000</v>
      </c>
      <c r="W10" s="538">
        <f t="shared" si="5"/>
        <v>474000</v>
      </c>
      <c r="X10" s="538">
        <f t="shared" si="5"/>
        <v>474000</v>
      </c>
      <c r="Y10" s="538">
        <f t="shared" si="5"/>
        <v>474000</v>
      </c>
      <c r="Z10" s="538">
        <f t="shared" si="5"/>
        <v>474000</v>
      </c>
      <c r="AA10" s="538">
        <f t="shared" si="5"/>
        <v>474000</v>
      </c>
      <c r="AB10" s="538">
        <f t="shared" si="5"/>
        <v>474000</v>
      </c>
      <c r="AC10" s="538">
        <f t="shared" si="5"/>
        <v>474000</v>
      </c>
      <c r="AD10" s="538">
        <f t="shared" si="5"/>
        <v>474000</v>
      </c>
      <c r="AE10" s="538">
        <f t="shared" si="5"/>
        <v>474000</v>
      </c>
      <c r="AF10" s="538">
        <f t="shared" si="5"/>
        <v>474000</v>
      </c>
      <c r="AG10" s="538">
        <f t="shared" si="5"/>
        <v>474000</v>
      </c>
      <c r="AH10" s="538">
        <f t="shared" si="5"/>
        <v>474000</v>
      </c>
      <c r="AI10" s="538">
        <f t="shared" si="5"/>
        <v>474000</v>
      </c>
    </row>
    <row r="11" spans="1:35" x14ac:dyDescent="0.2">
      <c r="A11" s="536" t="s">
        <v>6</v>
      </c>
      <c r="B11" s="536"/>
      <c r="C11" s="536" t="s">
        <v>5</v>
      </c>
      <c r="D11" s="539">
        <f>цех!I121</f>
        <v>0.09</v>
      </c>
      <c r="E11" s="536"/>
      <c r="F11" s="538">
        <f>F8*$D$11</f>
        <v>54000</v>
      </c>
      <c r="G11" s="538">
        <f t="shared" ref="G11:AI11" si="6">G8*$D$11</f>
        <v>54000</v>
      </c>
      <c r="H11" s="538">
        <f t="shared" si="6"/>
        <v>54000</v>
      </c>
      <c r="I11" s="538">
        <f t="shared" si="6"/>
        <v>54000</v>
      </c>
      <c r="J11" s="538">
        <f t="shared" si="6"/>
        <v>54000</v>
      </c>
      <c r="K11" s="538">
        <f t="shared" si="6"/>
        <v>54000</v>
      </c>
      <c r="L11" s="538">
        <f t="shared" si="6"/>
        <v>54000</v>
      </c>
      <c r="M11" s="538">
        <f t="shared" si="6"/>
        <v>54000</v>
      </c>
      <c r="N11" s="538">
        <f t="shared" si="6"/>
        <v>54000</v>
      </c>
      <c r="O11" s="538">
        <f t="shared" si="6"/>
        <v>54000</v>
      </c>
      <c r="P11" s="538">
        <f t="shared" si="6"/>
        <v>54000</v>
      </c>
      <c r="Q11" s="538">
        <f t="shared" si="6"/>
        <v>54000</v>
      </c>
      <c r="R11" s="538">
        <f t="shared" si="6"/>
        <v>54000</v>
      </c>
      <c r="S11" s="538">
        <f t="shared" si="6"/>
        <v>54000</v>
      </c>
      <c r="T11" s="538">
        <f t="shared" si="6"/>
        <v>54000</v>
      </c>
      <c r="U11" s="538">
        <f t="shared" si="6"/>
        <v>54000</v>
      </c>
      <c r="V11" s="538">
        <f t="shared" si="6"/>
        <v>54000</v>
      </c>
      <c r="W11" s="538">
        <f t="shared" si="6"/>
        <v>54000</v>
      </c>
      <c r="X11" s="538">
        <f t="shared" si="6"/>
        <v>54000</v>
      </c>
      <c r="Y11" s="538">
        <f t="shared" si="6"/>
        <v>54000</v>
      </c>
      <c r="Z11" s="538">
        <f t="shared" si="6"/>
        <v>54000</v>
      </c>
      <c r="AA11" s="538">
        <f t="shared" si="6"/>
        <v>54000</v>
      </c>
      <c r="AB11" s="538">
        <f t="shared" si="6"/>
        <v>54000</v>
      </c>
      <c r="AC11" s="538">
        <f t="shared" si="6"/>
        <v>54000</v>
      </c>
      <c r="AD11" s="538">
        <f t="shared" si="6"/>
        <v>54000</v>
      </c>
      <c r="AE11" s="538">
        <f t="shared" si="6"/>
        <v>54000</v>
      </c>
      <c r="AF11" s="538">
        <f t="shared" si="6"/>
        <v>54000</v>
      </c>
      <c r="AG11" s="538">
        <f t="shared" si="6"/>
        <v>54000</v>
      </c>
      <c r="AH11" s="538">
        <f t="shared" si="6"/>
        <v>54000</v>
      </c>
      <c r="AI11" s="538">
        <f t="shared" si="6"/>
        <v>54000</v>
      </c>
    </row>
    <row r="12" spans="1:35" x14ac:dyDescent="0.2">
      <c r="A12" s="536" t="s">
        <v>7</v>
      </c>
      <c r="B12" s="536"/>
      <c r="C12" s="536" t="s">
        <v>5</v>
      </c>
      <c r="D12" s="539">
        <f>цех!I122</f>
        <v>0.12</v>
      </c>
      <c r="E12" s="536"/>
      <c r="F12" s="538">
        <f>F8*$D12</f>
        <v>72000</v>
      </c>
      <c r="G12" s="538">
        <f t="shared" ref="G12:AI12" si="7">G8*$D12</f>
        <v>72000</v>
      </c>
      <c r="H12" s="538">
        <f t="shared" si="7"/>
        <v>72000</v>
      </c>
      <c r="I12" s="538">
        <f t="shared" si="7"/>
        <v>72000</v>
      </c>
      <c r="J12" s="538">
        <f t="shared" si="7"/>
        <v>72000</v>
      </c>
      <c r="K12" s="538">
        <f t="shared" si="7"/>
        <v>72000</v>
      </c>
      <c r="L12" s="538">
        <f t="shared" si="7"/>
        <v>72000</v>
      </c>
      <c r="M12" s="538">
        <f t="shared" si="7"/>
        <v>72000</v>
      </c>
      <c r="N12" s="538">
        <f t="shared" si="7"/>
        <v>72000</v>
      </c>
      <c r="O12" s="538">
        <f t="shared" si="7"/>
        <v>72000</v>
      </c>
      <c r="P12" s="538">
        <f t="shared" si="7"/>
        <v>72000</v>
      </c>
      <c r="Q12" s="538">
        <f t="shared" si="7"/>
        <v>72000</v>
      </c>
      <c r="R12" s="538">
        <f t="shared" si="7"/>
        <v>72000</v>
      </c>
      <c r="S12" s="538">
        <f t="shared" si="7"/>
        <v>72000</v>
      </c>
      <c r="T12" s="538">
        <f t="shared" si="7"/>
        <v>72000</v>
      </c>
      <c r="U12" s="538">
        <f t="shared" si="7"/>
        <v>72000</v>
      </c>
      <c r="V12" s="538">
        <f t="shared" si="7"/>
        <v>72000</v>
      </c>
      <c r="W12" s="538">
        <f t="shared" si="7"/>
        <v>72000</v>
      </c>
      <c r="X12" s="538">
        <f t="shared" si="7"/>
        <v>72000</v>
      </c>
      <c r="Y12" s="538">
        <f t="shared" si="7"/>
        <v>72000</v>
      </c>
      <c r="Z12" s="538">
        <f t="shared" si="7"/>
        <v>72000</v>
      </c>
      <c r="AA12" s="538">
        <f t="shared" si="7"/>
        <v>72000</v>
      </c>
      <c r="AB12" s="538">
        <f t="shared" si="7"/>
        <v>72000</v>
      </c>
      <c r="AC12" s="538">
        <f t="shared" si="7"/>
        <v>72000</v>
      </c>
      <c r="AD12" s="538">
        <f t="shared" si="7"/>
        <v>72000</v>
      </c>
      <c r="AE12" s="538">
        <f t="shared" si="7"/>
        <v>72000</v>
      </c>
      <c r="AF12" s="538">
        <f t="shared" si="7"/>
        <v>72000</v>
      </c>
      <c r="AG12" s="538">
        <f t="shared" si="7"/>
        <v>72000</v>
      </c>
      <c r="AH12" s="538">
        <f t="shared" si="7"/>
        <v>72000</v>
      </c>
      <c r="AI12" s="538">
        <f t="shared" si="7"/>
        <v>72000</v>
      </c>
    </row>
    <row r="13" spans="1:35" x14ac:dyDescent="0.2">
      <c r="A13" s="536" t="s">
        <v>8</v>
      </c>
      <c r="B13" s="536"/>
      <c r="C13" s="536" t="s">
        <v>5</v>
      </c>
      <c r="D13" s="540">
        <v>0.33</v>
      </c>
      <c r="E13" s="536"/>
      <c r="F13" s="538">
        <f>F8*$D13</f>
        <v>198000</v>
      </c>
      <c r="G13" s="538">
        <f>G8*$D13</f>
        <v>198000</v>
      </c>
      <c r="H13" s="538">
        <f t="shared" ref="H13:AI13" si="8">H8*$D13</f>
        <v>198000</v>
      </c>
      <c r="I13" s="538">
        <f t="shared" si="8"/>
        <v>198000</v>
      </c>
      <c r="J13" s="538">
        <f t="shared" si="8"/>
        <v>198000</v>
      </c>
      <c r="K13" s="538">
        <f t="shared" si="8"/>
        <v>198000</v>
      </c>
      <c r="L13" s="538">
        <f t="shared" si="8"/>
        <v>198000</v>
      </c>
      <c r="M13" s="538">
        <f t="shared" si="8"/>
        <v>198000</v>
      </c>
      <c r="N13" s="538">
        <f t="shared" si="8"/>
        <v>198000</v>
      </c>
      <c r="O13" s="538">
        <f t="shared" si="8"/>
        <v>198000</v>
      </c>
      <c r="P13" s="538">
        <f t="shared" si="8"/>
        <v>198000</v>
      </c>
      <c r="Q13" s="538">
        <f t="shared" si="8"/>
        <v>198000</v>
      </c>
      <c r="R13" s="538">
        <f t="shared" si="8"/>
        <v>198000</v>
      </c>
      <c r="S13" s="538">
        <f t="shared" si="8"/>
        <v>198000</v>
      </c>
      <c r="T13" s="538">
        <f t="shared" si="8"/>
        <v>198000</v>
      </c>
      <c r="U13" s="538">
        <f t="shared" si="8"/>
        <v>198000</v>
      </c>
      <c r="V13" s="538">
        <f t="shared" si="8"/>
        <v>198000</v>
      </c>
      <c r="W13" s="538">
        <f t="shared" si="8"/>
        <v>198000</v>
      </c>
      <c r="X13" s="538">
        <f t="shared" si="8"/>
        <v>198000</v>
      </c>
      <c r="Y13" s="538">
        <f t="shared" si="8"/>
        <v>198000</v>
      </c>
      <c r="Z13" s="538">
        <f t="shared" si="8"/>
        <v>198000</v>
      </c>
      <c r="AA13" s="538">
        <f t="shared" si="8"/>
        <v>198000</v>
      </c>
      <c r="AB13" s="538">
        <f t="shared" si="8"/>
        <v>198000</v>
      </c>
      <c r="AC13" s="538">
        <f t="shared" si="8"/>
        <v>198000</v>
      </c>
      <c r="AD13" s="538">
        <f t="shared" si="8"/>
        <v>198000</v>
      </c>
      <c r="AE13" s="538">
        <f t="shared" si="8"/>
        <v>198000</v>
      </c>
      <c r="AF13" s="538">
        <f t="shared" si="8"/>
        <v>198000</v>
      </c>
      <c r="AG13" s="538">
        <f t="shared" si="8"/>
        <v>198000</v>
      </c>
      <c r="AH13" s="538">
        <f t="shared" si="8"/>
        <v>198000</v>
      </c>
      <c r="AI13" s="538">
        <f t="shared" si="8"/>
        <v>198000</v>
      </c>
    </row>
    <row r="14" spans="1:35" x14ac:dyDescent="0.2">
      <c r="A14" s="536" t="s">
        <v>9</v>
      </c>
      <c r="B14" s="536"/>
      <c r="C14" s="536" t="s">
        <v>5</v>
      </c>
      <c r="D14" s="540">
        <v>0.67</v>
      </c>
      <c r="E14" s="536"/>
      <c r="F14" s="538">
        <f>F8*$D14</f>
        <v>402000</v>
      </c>
      <c r="G14" s="538">
        <f>G8*$D14</f>
        <v>402000</v>
      </c>
      <c r="H14" s="538">
        <f t="shared" ref="H14:AI14" si="9">H8*$D14</f>
        <v>402000</v>
      </c>
      <c r="I14" s="538">
        <f t="shared" si="9"/>
        <v>402000</v>
      </c>
      <c r="J14" s="538">
        <f t="shared" si="9"/>
        <v>402000</v>
      </c>
      <c r="K14" s="538">
        <f t="shared" si="9"/>
        <v>402000</v>
      </c>
      <c r="L14" s="538">
        <f t="shared" si="9"/>
        <v>402000</v>
      </c>
      <c r="M14" s="538">
        <f t="shared" si="9"/>
        <v>402000</v>
      </c>
      <c r="N14" s="538">
        <f t="shared" si="9"/>
        <v>402000</v>
      </c>
      <c r="O14" s="538">
        <f t="shared" si="9"/>
        <v>402000</v>
      </c>
      <c r="P14" s="538">
        <f t="shared" si="9"/>
        <v>402000</v>
      </c>
      <c r="Q14" s="538">
        <f t="shared" si="9"/>
        <v>402000</v>
      </c>
      <c r="R14" s="538">
        <f t="shared" si="9"/>
        <v>402000</v>
      </c>
      <c r="S14" s="538">
        <f t="shared" si="9"/>
        <v>402000</v>
      </c>
      <c r="T14" s="538">
        <f t="shared" si="9"/>
        <v>402000</v>
      </c>
      <c r="U14" s="538">
        <f t="shared" si="9"/>
        <v>402000</v>
      </c>
      <c r="V14" s="538">
        <f t="shared" si="9"/>
        <v>402000</v>
      </c>
      <c r="W14" s="538">
        <f t="shared" si="9"/>
        <v>402000</v>
      </c>
      <c r="X14" s="538">
        <f t="shared" si="9"/>
        <v>402000</v>
      </c>
      <c r="Y14" s="538">
        <f t="shared" si="9"/>
        <v>402000</v>
      </c>
      <c r="Z14" s="538">
        <f t="shared" si="9"/>
        <v>402000</v>
      </c>
      <c r="AA14" s="538">
        <f t="shared" si="9"/>
        <v>402000</v>
      </c>
      <c r="AB14" s="538">
        <f t="shared" si="9"/>
        <v>402000</v>
      </c>
      <c r="AC14" s="538">
        <f t="shared" si="9"/>
        <v>402000</v>
      </c>
      <c r="AD14" s="538">
        <f t="shared" si="9"/>
        <v>402000</v>
      </c>
      <c r="AE14" s="538">
        <f t="shared" si="9"/>
        <v>402000</v>
      </c>
      <c r="AF14" s="538">
        <f t="shared" si="9"/>
        <v>402000</v>
      </c>
      <c r="AG14" s="538">
        <f t="shared" si="9"/>
        <v>402000</v>
      </c>
      <c r="AH14" s="538">
        <f t="shared" si="9"/>
        <v>402000</v>
      </c>
      <c r="AI14" s="538">
        <f t="shared" si="9"/>
        <v>402000</v>
      </c>
    </row>
    <row r="15" spans="1:35" x14ac:dyDescent="0.2">
      <c r="A15" s="536"/>
      <c r="B15" s="536"/>
      <c r="C15" s="536"/>
      <c r="D15" s="540"/>
      <c r="E15" s="536"/>
      <c r="F15" s="538">
        <f>F16+F17+F18</f>
        <v>219990.30381383322</v>
      </c>
      <c r="G15" s="538">
        <f t="shared" ref="G15:AI15" si="10">G16+G17+G18</f>
        <v>219990.30381383322</v>
      </c>
      <c r="H15" s="538">
        <f t="shared" si="10"/>
        <v>219990.30381383322</v>
      </c>
      <c r="I15" s="538">
        <f t="shared" si="10"/>
        <v>219990.30381383322</v>
      </c>
      <c r="J15" s="538">
        <f t="shared" si="10"/>
        <v>219990.30381383322</v>
      </c>
      <c r="K15" s="538">
        <f t="shared" si="10"/>
        <v>219990.30381383322</v>
      </c>
      <c r="L15" s="538">
        <f t="shared" si="10"/>
        <v>219990.30381383322</v>
      </c>
      <c r="M15" s="538">
        <f t="shared" si="10"/>
        <v>219990.30381383322</v>
      </c>
      <c r="N15" s="538">
        <f t="shared" si="10"/>
        <v>219990.30381383322</v>
      </c>
      <c r="O15" s="538">
        <f t="shared" si="10"/>
        <v>219990.30381383322</v>
      </c>
      <c r="P15" s="538">
        <f t="shared" si="10"/>
        <v>219990.30381383322</v>
      </c>
      <c r="Q15" s="538">
        <f t="shared" si="10"/>
        <v>219990.30381383322</v>
      </c>
      <c r="R15" s="538">
        <f t="shared" si="10"/>
        <v>219990.30381383322</v>
      </c>
      <c r="S15" s="538">
        <f t="shared" si="10"/>
        <v>219990.30381383322</v>
      </c>
      <c r="T15" s="538">
        <f t="shared" si="10"/>
        <v>219990.30381383322</v>
      </c>
      <c r="U15" s="538">
        <f t="shared" si="10"/>
        <v>219990.30381383322</v>
      </c>
      <c r="V15" s="538">
        <f t="shared" si="10"/>
        <v>219990.30381383322</v>
      </c>
      <c r="W15" s="538">
        <f t="shared" si="10"/>
        <v>219990.30381383322</v>
      </c>
      <c r="X15" s="538">
        <f t="shared" si="10"/>
        <v>219990.30381383322</v>
      </c>
      <c r="Y15" s="538">
        <f t="shared" si="10"/>
        <v>219990.30381383322</v>
      </c>
      <c r="Z15" s="538">
        <f t="shared" si="10"/>
        <v>219990.30381383322</v>
      </c>
      <c r="AA15" s="538">
        <f t="shared" si="10"/>
        <v>219990.30381383322</v>
      </c>
      <c r="AB15" s="538">
        <f t="shared" si="10"/>
        <v>219990.30381383322</v>
      </c>
      <c r="AC15" s="538">
        <f t="shared" si="10"/>
        <v>219990.30381383322</v>
      </c>
      <c r="AD15" s="538">
        <f t="shared" si="10"/>
        <v>219990.30381383322</v>
      </c>
      <c r="AE15" s="538">
        <f t="shared" si="10"/>
        <v>219990.30381383322</v>
      </c>
      <c r="AF15" s="538">
        <f t="shared" si="10"/>
        <v>219990.30381383322</v>
      </c>
      <c r="AG15" s="538">
        <f t="shared" si="10"/>
        <v>219990.30381383322</v>
      </c>
      <c r="AH15" s="538">
        <f t="shared" si="10"/>
        <v>219990.30381383322</v>
      </c>
      <c r="AI15" s="538">
        <f t="shared" si="10"/>
        <v>219990.30381383322</v>
      </c>
    </row>
    <row r="16" spans="1:35" x14ac:dyDescent="0.2">
      <c r="A16" s="536" t="s">
        <v>135</v>
      </c>
      <c r="B16" s="536"/>
      <c r="C16" s="536"/>
      <c r="D16" s="541">
        <f>цех!J120</f>
        <v>3.12</v>
      </c>
      <c r="E16" s="536"/>
      <c r="F16" s="538">
        <f>F10/$D$16</f>
        <v>151923.07692307691</v>
      </c>
      <c r="G16" s="538">
        <f t="shared" ref="G16:AI16" si="11">G10/$D$16</f>
        <v>151923.07692307691</v>
      </c>
      <c r="H16" s="538">
        <f t="shared" si="11"/>
        <v>151923.07692307691</v>
      </c>
      <c r="I16" s="538">
        <f t="shared" si="11"/>
        <v>151923.07692307691</v>
      </c>
      <c r="J16" s="538">
        <f t="shared" si="11"/>
        <v>151923.07692307691</v>
      </c>
      <c r="K16" s="538">
        <f t="shared" si="11"/>
        <v>151923.07692307691</v>
      </c>
      <c r="L16" s="538">
        <f t="shared" si="11"/>
        <v>151923.07692307691</v>
      </c>
      <c r="M16" s="538">
        <f t="shared" si="11"/>
        <v>151923.07692307691</v>
      </c>
      <c r="N16" s="538">
        <f t="shared" si="11"/>
        <v>151923.07692307691</v>
      </c>
      <c r="O16" s="538">
        <f t="shared" si="11"/>
        <v>151923.07692307691</v>
      </c>
      <c r="P16" s="538">
        <f t="shared" si="11"/>
        <v>151923.07692307691</v>
      </c>
      <c r="Q16" s="538">
        <f t="shared" si="11"/>
        <v>151923.07692307691</v>
      </c>
      <c r="R16" s="538">
        <f t="shared" si="11"/>
        <v>151923.07692307691</v>
      </c>
      <c r="S16" s="538">
        <f t="shared" si="11"/>
        <v>151923.07692307691</v>
      </c>
      <c r="T16" s="538">
        <f t="shared" si="11"/>
        <v>151923.07692307691</v>
      </c>
      <c r="U16" s="538">
        <f t="shared" si="11"/>
        <v>151923.07692307691</v>
      </c>
      <c r="V16" s="538">
        <f t="shared" si="11"/>
        <v>151923.07692307691</v>
      </c>
      <c r="W16" s="538">
        <f t="shared" si="11"/>
        <v>151923.07692307691</v>
      </c>
      <c r="X16" s="538">
        <f t="shared" si="11"/>
        <v>151923.07692307691</v>
      </c>
      <c r="Y16" s="538">
        <f t="shared" si="11"/>
        <v>151923.07692307691</v>
      </c>
      <c r="Z16" s="538">
        <f t="shared" si="11"/>
        <v>151923.07692307691</v>
      </c>
      <c r="AA16" s="538">
        <f t="shared" si="11"/>
        <v>151923.07692307691</v>
      </c>
      <c r="AB16" s="538">
        <f t="shared" si="11"/>
        <v>151923.07692307691</v>
      </c>
      <c r="AC16" s="538">
        <f t="shared" si="11"/>
        <v>151923.07692307691</v>
      </c>
      <c r="AD16" s="538">
        <f t="shared" si="11"/>
        <v>151923.07692307691</v>
      </c>
      <c r="AE16" s="538">
        <f t="shared" si="11"/>
        <v>151923.07692307691</v>
      </c>
      <c r="AF16" s="538">
        <f t="shared" si="11"/>
        <v>151923.07692307691</v>
      </c>
      <c r="AG16" s="538">
        <f t="shared" si="11"/>
        <v>151923.07692307691</v>
      </c>
      <c r="AH16" s="538">
        <f t="shared" si="11"/>
        <v>151923.07692307691</v>
      </c>
      <c r="AI16" s="538">
        <f t="shared" si="11"/>
        <v>151923.07692307691</v>
      </c>
    </row>
    <row r="17" spans="1:35" x14ac:dyDescent="0.2">
      <c r="A17" s="536" t="s">
        <v>142</v>
      </c>
      <c r="B17" s="536"/>
      <c r="C17" s="536"/>
      <c r="D17" s="541">
        <f>цех!J121</f>
        <v>2.1</v>
      </c>
      <c r="E17" s="536"/>
      <c r="F17" s="538">
        <f>F11/$D$17</f>
        <v>25714.285714285714</v>
      </c>
      <c r="G17" s="538">
        <f t="shared" ref="G17:AI17" si="12">G11/$D$17</f>
        <v>25714.285714285714</v>
      </c>
      <c r="H17" s="538">
        <f t="shared" si="12"/>
        <v>25714.285714285714</v>
      </c>
      <c r="I17" s="538">
        <f t="shared" si="12"/>
        <v>25714.285714285714</v>
      </c>
      <c r="J17" s="538">
        <f t="shared" si="12"/>
        <v>25714.285714285714</v>
      </c>
      <c r="K17" s="538">
        <f t="shared" si="12"/>
        <v>25714.285714285714</v>
      </c>
      <c r="L17" s="538">
        <f t="shared" si="12"/>
        <v>25714.285714285714</v>
      </c>
      <c r="M17" s="538">
        <f t="shared" si="12"/>
        <v>25714.285714285714</v>
      </c>
      <c r="N17" s="538">
        <f t="shared" si="12"/>
        <v>25714.285714285714</v>
      </c>
      <c r="O17" s="538">
        <f t="shared" si="12"/>
        <v>25714.285714285714</v>
      </c>
      <c r="P17" s="538">
        <f t="shared" si="12"/>
        <v>25714.285714285714</v>
      </c>
      <c r="Q17" s="538">
        <f t="shared" si="12"/>
        <v>25714.285714285714</v>
      </c>
      <c r="R17" s="538">
        <f t="shared" si="12"/>
        <v>25714.285714285714</v>
      </c>
      <c r="S17" s="538">
        <f t="shared" si="12"/>
        <v>25714.285714285714</v>
      </c>
      <c r="T17" s="538">
        <f t="shared" si="12"/>
        <v>25714.285714285714</v>
      </c>
      <c r="U17" s="538">
        <f t="shared" si="12"/>
        <v>25714.285714285714</v>
      </c>
      <c r="V17" s="538">
        <f t="shared" si="12"/>
        <v>25714.285714285714</v>
      </c>
      <c r="W17" s="538">
        <f t="shared" si="12"/>
        <v>25714.285714285714</v>
      </c>
      <c r="X17" s="538">
        <f t="shared" si="12"/>
        <v>25714.285714285714</v>
      </c>
      <c r="Y17" s="538">
        <f t="shared" si="12"/>
        <v>25714.285714285714</v>
      </c>
      <c r="Z17" s="538">
        <f t="shared" si="12"/>
        <v>25714.285714285714</v>
      </c>
      <c r="AA17" s="538">
        <f t="shared" si="12"/>
        <v>25714.285714285714</v>
      </c>
      <c r="AB17" s="538">
        <f t="shared" si="12"/>
        <v>25714.285714285714</v>
      </c>
      <c r="AC17" s="538">
        <f t="shared" si="12"/>
        <v>25714.285714285714</v>
      </c>
      <c r="AD17" s="538">
        <f t="shared" si="12"/>
        <v>25714.285714285714</v>
      </c>
      <c r="AE17" s="538">
        <f t="shared" si="12"/>
        <v>25714.285714285714</v>
      </c>
      <c r="AF17" s="538">
        <f t="shared" si="12"/>
        <v>25714.285714285714</v>
      </c>
      <c r="AG17" s="538">
        <f t="shared" si="12"/>
        <v>25714.285714285714</v>
      </c>
      <c r="AH17" s="538">
        <f t="shared" si="12"/>
        <v>25714.285714285714</v>
      </c>
      <c r="AI17" s="538">
        <f t="shared" si="12"/>
        <v>25714.285714285714</v>
      </c>
    </row>
    <row r="18" spans="1:35" x14ac:dyDescent="0.2">
      <c r="A18" s="536" t="s">
        <v>143</v>
      </c>
      <c r="B18" s="536"/>
      <c r="C18" s="536"/>
      <c r="D18" s="541">
        <f>цех!J122</f>
        <v>1.7</v>
      </c>
      <c r="E18" s="536"/>
      <c r="F18" s="538">
        <f>F12/$D$18</f>
        <v>42352.941176470587</v>
      </c>
      <c r="G18" s="538">
        <f t="shared" ref="G18:AI18" si="13">G12/$D$18</f>
        <v>42352.941176470587</v>
      </c>
      <c r="H18" s="538">
        <f t="shared" si="13"/>
        <v>42352.941176470587</v>
      </c>
      <c r="I18" s="538">
        <f t="shared" si="13"/>
        <v>42352.941176470587</v>
      </c>
      <c r="J18" s="538">
        <f t="shared" si="13"/>
        <v>42352.941176470587</v>
      </c>
      <c r="K18" s="538">
        <f t="shared" si="13"/>
        <v>42352.941176470587</v>
      </c>
      <c r="L18" s="538">
        <f t="shared" si="13"/>
        <v>42352.941176470587</v>
      </c>
      <c r="M18" s="538">
        <f t="shared" si="13"/>
        <v>42352.941176470587</v>
      </c>
      <c r="N18" s="538">
        <f t="shared" si="13"/>
        <v>42352.941176470587</v>
      </c>
      <c r="O18" s="538">
        <f t="shared" si="13"/>
        <v>42352.941176470587</v>
      </c>
      <c r="P18" s="538">
        <f t="shared" si="13"/>
        <v>42352.941176470587</v>
      </c>
      <c r="Q18" s="538">
        <f t="shared" si="13"/>
        <v>42352.941176470587</v>
      </c>
      <c r="R18" s="538">
        <f t="shared" si="13"/>
        <v>42352.941176470587</v>
      </c>
      <c r="S18" s="538">
        <f t="shared" si="13"/>
        <v>42352.941176470587</v>
      </c>
      <c r="T18" s="538">
        <f t="shared" si="13"/>
        <v>42352.941176470587</v>
      </c>
      <c r="U18" s="538">
        <f t="shared" si="13"/>
        <v>42352.941176470587</v>
      </c>
      <c r="V18" s="538">
        <f t="shared" si="13"/>
        <v>42352.941176470587</v>
      </c>
      <c r="W18" s="538">
        <f t="shared" si="13"/>
        <v>42352.941176470587</v>
      </c>
      <c r="X18" s="538">
        <f t="shared" si="13"/>
        <v>42352.941176470587</v>
      </c>
      <c r="Y18" s="538">
        <f t="shared" si="13"/>
        <v>42352.941176470587</v>
      </c>
      <c r="Z18" s="538">
        <f t="shared" si="13"/>
        <v>42352.941176470587</v>
      </c>
      <c r="AA18" s="538">
        <f t="shared" si="13"/>
        <v>42352.941176470587</v>
      </c>
      <c r="AB18" s="538">
        <f t="shared" si="13"/>
        <v>42352.941176470587</v>
      </c>
      <c r="AC18" s="538">
        <f t="shared" si="13"/>
        <v>42352.941176470587</v>
      </c>
      <c r="AD18" s="538">
        <f t="shared" si="13"/>
        <v>42352.941176470587</v>
      </c>
      <c r="AE18" s="538">
        <f t="shared" si="13"/>
        <v>42352.941176470587</v>
      </c>
      <c r="AF18" s="538">
        <f t="shared" si="13"/>
        <v>42352.941176470587</v>
      </c>
      <c r="AG18" s="538">
        <f t="shared" si="13"/>
        <v>42352.941176470587</v>
      </c>
      <c r="AH18" s="538">
        <f t="shared" si="13"/>
        <v>42352.941176470587</v>
      </c>
      <c r="AI18" s="538">
        <f t="shared" si="13"/>
        <v>42352.941176470587</v>
      </c>
    </row>
    <row r="19" spans="1:35" x14ac:dyDescent="0.2">
      <c r="A19" s="536" t="s">
        <v>10</v>
      </c>
      <c r="B19" s="536"/>
      <c r="C19" s="528" t="s">
        <v>49</v>
      </c>
      <c r="D19" s="542">
        <f>G8/(G8-G19)*100</f>
        <v>272.73929332255932</v>
      </c>
      <c r="E19" s="536"/>
      <c r="F19" s="538">
        <f>SUM(F20:F22)</f>
        <v>380009.69618616678</v>
      </c>
      <c r="G19" s="538">
        <f t="shared" ref="G19:AI19" si="14">SUM(G20:G22)</f>
        <v>380009.69618616678</v>
      </c>
      <c r="H19" s="538">
        <f t="shared" si="14"/>
        <v>380009.69618616678</v>
      </c>
      <c r="I19" s="538">
        <f t="shared" si="14"/>
        <v>380009.69618616678</v>
      </c>
      <c r="J19" s="538">
        <f t="shared" si="14"/>
        <v>380009.69618616678</v>
      </c>
      <c r="K19" s="538">
        <f t="shared" si="14"/>
        <v>380009.69618616678</v>
      </c>
      <c r="L19" s="538">
        <f t="shared" si="14"/>
        <v>380009.69618616678</v>
      </c>
      <c r="M19" s="538">
        <f t="shared" si="14"/>
        <v>380009.69618616678</v>
      </c>
      <c r="N19" s="538">
        <f t="shared" si="14"/>
        <v>380009.69618616678</v>
      </c>
      <c r="O19" s="538">
        <f t="shared" si="14"/>
        <v>380009.69618616678</v>
      </c>
      <c r="P19" s="538">
        <f t="shared" si="14"/>
        <v>380009.69618616678</v>
      </c>
      <c r="Q19" s="538">
        <f t="shared" si="14"/>
        <v>380009.69618616678</v>
      </c>
      <c r="R19" s="538">
        <f t="shared" si="14"/>
        <v>380009.69618616678</v>
      </c>
      <c r="S19" s="538">
        <f t="shared" si="14"/>
        <v>380009.69618616678</v>
      </c>
      <c r="T19" s="538">
        <f t="shared" si="14"/>
        <v>380009.69618616678</v>
      </c>
      <c r="U19" s="538">
        <f t="shared" si="14"/>
        <v>380009.69618616678</v>
      </c>
      <c r="V19" s="538">
        <f t="shared" si="14"/>
        <v>380009.69618616678</v>
      </c>
      <c r="W19" s="538">
        <f t="shared" si="14"/>
        <v>380009.69618616678</v>
      </c>
      <c r="X19" s="538">
        <f t="shared" si="14"/>
        <v>380009.69618616678</v>
      </c>
      <c r="Y19" s="538">
        <f t="shared" si="14"/>
        <v>380009.69618616678</v>
      </c>
      <c r="Z19" s="538">
        <f t="shared" si="14"/>
        <v>380009.69618616678</v>
      </c>
      <c r="AA19" s="538">
        <f t="shared" si="14"/>
        <v>380009.69618616678</v>
      </c>
      <c r="AB19" s="538">
        <f t="shared" si="14"/>
        <v>380009.69618616678</v>
      </c>
      <c r="AC19" s="538">
        <f t="shared" si="14"/>
        <v>380009.69618616678</v>
      </c>
      <c r="AD19" s="538">
        <f t="shared" si="14"/>
        <v>380009.69618616678</v>
      </c>
      <c r="AE19" s="538">
        <f t="shared" si="14"/>
        <v>380009.69618616678</v>
      </c>
      <c r="AF19" s="538">
        <f t="shared" si="14"/>
        <v>380009.69618616678</v>
      </c>
      <c r="AG19" s="538">
        <f t="shared" si="14"/>
        <v>380009.69618616678</v>
      </c>
      <c r="AH19" s="538">
        <f t="shared" si="14"/>
        <v>380009.69618616678</v>
      </c>
      <c r="AI19" s="538">
        <f t="shared" si="14"/>
        <v>380009.69618616678</v>
      </c>
    </row>
    <row r="20" spans="1:35" x14ac:dyDescent="0.2">
      <c r="A20" s="536" t="s">
        <v>4</v>
      </c>
      <c r="B20" s="536"/>
      <c r="C20" s="528">
        <v>0.66500000000000004</v>
      </c>
      <c r="D20" s="542">
        <f>G10/(G10-G20)*100</f>
        <v>312.00000000000011</v>
      </c>
      <c r="E20" s="536"/>
      <c r="F20" s="538">
        <f>F10-F16</f>
        <v>322076.92307692312</v>
      </c>
      <c r="G20" s="538">
        <f t="shared" ref="G20:AI20" si="15">G10-G16</f>
        <v>322076.92307692312</v>
      </c>
      <c r="H20" s="538">
        <f t="shared" si="15"/>
        <v>322076.92307692312</v>
      </c>
      <c r="I20" s="538">
        <f t="shared" si="15"/>
        <v>322076.92307692312</v>
      </c>
      <c r="J20" s="538">
        <f t="shared" si="15"/>
        <v>322076.92307692312</v>
      </c>
      <c r="K20" s="538">
        <f t="shared" si="15"/>
        <v>322076.92307692312</v>
      </c>
      <c r="L20" s="538">
        <f t="shared" si="15"/>
        <v>322076.92307692312</v>
      </c>
      <c r="M20" s="538">
        <f t="shared" si="15"/>
        <v>322076.92307692312</v>
      </c>
      <c r="N20" s="538">
        <f t="shared" si="15"/>
        <v>322076.92307692312</v>
      </c>
      <c r="O20" s="538">
        <f t="shared" si="15"/>
        <v>322076.92307692312</v>
      </c>
      <c r="P20" s="538">
        <f t="shared" si="15"/>
        <v>322076.92307692312</v>
      </c>
      <c r="Q20" s="538">
        <f t="shared" si="15"/>
        <v>322076.92307692312</v>
      </c>
      <c r="R20" s="538">
        <f t="shared" si="15"/>
        <v>322076.92307692312</v>
      </c>
      <c r="S20" s="538">
        <f t="shared" si="15"/>
        <v>322076.92307692312</v>
      </c>
      <c r="T20" s="538">
        <f t="shared" si="15"/>
        <v>322076.92307692312</v>
      </c>
      <c r="U20" s="538">
        <f t="shared" si="15"/>
        <v>322076.92307692312</v>
      </c>
      <c r="V20" s="538">
        <f t="shared" si="15"/>
        <v>322076.92307692312</v>
      </c>
      <c r="W20" s="538">
        <f t="shared" si="15"/>
        <v>322076.92307692312</v>
      </c>
      <c r="X20" s="538">
        <f t="shared" si="15"/>
        <v>322076.92307692312</v>
      </c>
      <c r="Y20" s="538">
        <f t="shared" si="15"/>
        <v>322076.92307692312</v>
      </c>
      <c r="Z20" s="538">
        <f t="shared" si="15"/>
        <v>322076.92307692312</v>
      </c>
      <c r="AA20" s="538">
        <f t="shared" si="15"/>
        <v>322076.92307692312</v>
      </c>
      <c r="AB20" s="538">
        <f t="shared" si="15"/>
        <v>322076.92307692312</v>
      </c>
      <c r="AC20" s="538">
        <f t="shared" si="15"/>
        <v>322076.92307692312</v>
      </c>
      <c r="AD20" s="538">
        <f t="shared" si="15"/>
        <v>322076.92307692312</v>
      </c>
      <c r="AE20" s="538">
        <f t="shared" si="15"/>
        <v>322076.92307692312</v>
      </c>
      <c r="AF20" s="538">
        <f t="shared" si="15"/>
        <v>322076.92307692312</v>
      </c>
      <c r="AG20" s="538">
        <f t="shared" si="15"/>
        <v>322076.92307692312</v>
      </c>
      <c r="AH20" s="538">
        <f t="shared" si="15"/>
        <v>322076.92307692312</v>
      </c>
      <c r="AI20" s="538">
        <f t="shared" si="15"/>
        <v>322076.92307692312</v>
      </c>
    </row>
    <row r="21" spans="1:35" x14ac:dyDescent="0.2">
      <c r="A21" s="536" t="s">
        <v>146</v>
      </c>
      <c r="B21" s="536"/>
      <c r="C21" s="528"/>
      <c r="D21" s="542"/>
      <c r="E21" s="536"/>
      <c r="F21" s="538">
        <f>F11-F17</f>
        <v>28285.714285714286</v>
      </c>
      <c r="G21" s="538">
        <f t="shared" ref="G21:AI21" si="16">G11-G17</f>
        <v>28285.714285714286</v>
      </c>
      <c r="H21" s="538">
        <f t="shared" si="16"/>
        <v>28285.714285714286</v>
      </c>
      <c r="I21" s="538">
        <f t="shared" si="16"/>
        <v>28285.714285714286</v>
      </c>
      <c r="J21" s="538">
        <f t="shared" si="16"/>
        <v>28285.714285714286</v>
      </c>
      <c r="K21" s="538">
        <f t="shared" si="16"/>
        <v>28285.714285714286</v>
      </c>
      <c r="L21" s="538">
        <f t="shared" si="16"/>
        <v>28285.714285714286</v>
      </c>
      <c r="M21" s="538">
        <f t="shared" si="16"/>
        <v>28285.714285714286</v>
      </c>
      <c r="N21" s="538">
        <f t="shared" si="16"/>
        <v>28285.714285714286</v>
      </c>
      <c r="O21" s="538">
        <f t="shared" si="16"/>
        <v>28285.714285714286</v>
      </c>
      <c r="P21" s="538">
        <f t="shared" si="16"/>
        <v>28285.714285714286</v>
      </c>
      <c r="Q21" s="538">
        <f t="shared" si="16"/>
        <v>28285.714285714286</v>
      </c>
      <c r="R21" s="538">
        <f t="shared" si="16"/>
        <v>28285.714285714286</v>
      </c>
      <c r="S21" s="538">
        <f t="shared" si="16"/>
        <v>28285.714285714286</v>
      </c>
      <c r="T21" s="538">
        <f t="shared" si="16"/>
        <v>28285.714285714286</v>
      </c>
      <c r="U21" s="538">
        <f t="shared" si="16"/>
        <v>28285.714285714286</v>
      </c>
      <c r="V21" s="538">
        <f t="shared" si="16"/>
        <v>28285.714285714286</v>
      </c>
      <c r="W21" s="538">
        <f t="shared" si="16"/>
        <v>28285.714285714286</v>
      </c>
      <c r="X21" s="538">
        <f t="shared" si="16"/>
        <v>28285.714285714286</v>
      </c>
      <c r="Y21" s="538">
        <f t="shared" si="16"/>
        <v>28285.714285714286</v>
      </c>
      <c r="Z21" s="538">
        <f t="shared" si="16"/>
        <v>28285.714285714286</v>
      </c>
      <c r="AA21" s="538">
        <f t="shared" si="16"/>
        <v>28285.714285714286</v>
      </c>
      <c r="AB21" s="538">
        <f t="shared" si="16"/>
        <v>28285.714285714286</v>
      </c>
      <c r="AC21" s="538">
        <f t="shared" si="16"/>
        <v>28285.714285714286</v>
      </c>
      <c r="AD21" s="538">
        <f t="shared" si="16"/>
        <v>28285.714285714286</v>
      </c>
      <c r="AE21" s="538">
        <f t="shared" si="16"/>
        <v>28285.714285714286</v>
      </c>
      <c r="AF21" s="538">
        <f t="shared" si="16"/>
        <v>28285.714285714286</v>
      </c>
      <c r="AG21" s="538">
        <f t="shared" si="16"/>
        <v>28285.714285714286</v>
      </c>
      <c r="AH21" s="538">
        <f t="shared" si="16"/>
        <v>28285.714285714286</v>
      </c>
      <c r="AI21" s="538">
        <f t="shared" si="16"/>
        <v>28285.714285714286</v>
      </c>
    </row>
    <row r="22" spans="1:35" x14ac:dyDescent="0.2">
      <c r="A22" s="536" t="s">
        <v>7</v>
      </c>
      <c r="B22" s="536"/>
      <c r="C22" s="528">
        <v>0.25</v>
      </c>
      <c r="D22" s="542">
        <f>G12/(G12-G22)*100</f>
        <v>170</v>
      </c>
      <c r="E22" s="536"/>
      <c r="F22" s="538">
        <f>F12-F18</f>
        <v>29647.058823529413</v>
      </c>
      <c r="G22" s="538">
        <f t="shared" ref="G22:AI22" si="17">G12-G18</f>
        <v>29647.058823529413</v>
      </c>
      <c r="H22" s="538">
        <f t="shared" si="17"/>
        <v>29647.058823529413</v>
      </c>
      <c r="I22" s="538">
        <f t="shared" si="17"/>
        <v>29647.058823529413</v>
      </c>
      <c r="J22" s="538">
        <f t="shared" si="17"/>
        <v>29647.058823529413</v>
      </c>
      <c r="K22" s="538">
        <f t="shared" si="17"/>
        <v>29647.058823529413</v>
      </c>
      <c r="L22" s="538">
        <f t="shared" si="17"/>
        <v>29647.058823529413</v>
      </c>
      <c r="M22" s="538">
        <f t="shared" si="17"/>
        <v>29647.058823529413</v>
      </c>
      <c r="N22" s="538">
        <f t="shared" si="17"/>
        <v>29647.058823529413</v>
      </c>
      <c r="O22" s="538">
        <f t="shared" si="17"/>
        <v>29647.058823529413</v>
      </c>
      <c r="P22" s="538">
        <f t="shared" si="17"/>
        <v>29647.058823529413</v>
      </c>
      <c r="Q22" s="538">
        <f t="shared" si="17"/>
        <v>29647.058823529413</v>
      </c>
      <c r="R22" s="538">
        <f t="shared" si="17"/>
        <v>29647.058823529413</v>
      </c>
      <c r="S22" s="538">
        <f t="shared" si="17"/>
        <v>29647.058823529413</v>
      </c>
      <c r="T22" s="538">
        <f t="shared" si="17"/>
        <v>29647.058823529413</v>
      </c>
      <c r="U22" s="538">
        <f t="shared" si="17"/>
        <v>29647.058823529413</v>
      </c>
      <c r="V22" s="538">
        <f t="shared" si="17"/>
        <v>29647.058823529413</v>
      </c>
      <c r="W22" s="538">
        <f t="shared" si="17"/>
        <v>29647.058823529413</v>
      </c>
      <c r="X22" s="538">
        <f t="shared" si="17"/>
        <v>29647.058823529413</v>
      </c>
      <c r="Y22" s="538">
        <f t="shared" si="17"/>
        <v>29647.058823529413</v>
      </c>
      <c r="Z22" s="538">
        <f t="shared" si="17"/>
        <v>29647.058823529413</v>
      </c>
      <c r="AA22" s="538">
        <f t="shared" si="17"/>
        <v>29647.058823529413</v>
      </c>
      <c r="AB22" s="538">
        <f t="shared" si="17"/>
        <v>29647.058823529413</v>
      </c>
      <c r="AC22" s="538">
        <f t="shared" si="17"/>
        <v>29647.058823529413</v>
      </c>
      <c r="AD22" s="538">
        <f t="shared" si="17"/>
        <v>29647.058823529413</v>
      </c>
      <c r="AE22" s="538">
        <f t="shared" si="17"/>
        <v>29647.058823529413</v>
      </c>
      <c r="AF22" s="538">
        <f t="shared" si="17"/>
        <v>29647.058823529413</v>
      </c>
      <c r="AG22" s="538">
        <f t="shared" si="17"/>
        <v>29647.058823529413</v>
      </c>
      <c r="AH22" s="538">
        <f t="shared" si="17"/>
        <v>29647.058823529413</v>
      </c>
      <c r="AI22" s="538">
        <f t="shared" si="17"/>
        <v>29647.058823529413</v>
      </c>
    </row>
    <row r="23" spans="1:35" x14ac:dyDescent="0.2">
      <c r="A23" s="536" t="s">
        <v>11</v>
      </c>
      <c r="B23" s="536"/>
      <c r="C23" s="536"/>
      <c r="D23" s="536"/>
      <c r="E23" s="536"/>
      <c r="F23" s="538"/>
      <c r="G23" s="538"/>
      <c r="H23" s="538"/>
      <c r="I23" s="538"/>
      <c r="J23" s="538"/>
      <c r="K23" s="538"/>
      <c r="L23" s="538"/>
      <c r="M23" s="538"/>
      <c r="N23" s="538"/>
      <c r="O23" s="538"/>
      <c r="P23" s="538"/>
      <c r="Q23" s="538"/>
      <c r="R23" s="538"/>
      <c r="S23" s="538"/>
      <c r="T23" s="538"/>
      <c r="U23" s="538"/>
      <c r="V23" s="538"/>
      <c r="W23" s="538"/>
      <c r="X23" s="538"/>
      <c r="Y23" s="538"/>
      <c r="Z23" s="538"/>
      <c r="AA23" s="538"/>
      <c r="AB23" s="538"/>
      <c r="AC23" s="538"/>
      <c r="AD23" s="538"/>
      <c r="AE23" s="538"/>
      <c r="AF23" s="538"/>
      <c r="AG23" s="538"/>
      <c r="AH23" s="538"/>
      <c r="AI23" s="538"/>
    </row>
    <row r="24" spans="1:35" x14ac:dyDescent="0.2">
      <c r="A24" s="536" t="s">
        <v>98</v>
      </c>
      <c r="B24" s="536"/>
      <c r="C24" s="536"/>
      <c r="D24" s="536"/>
      <c r="E24" s="536">
        <f>SUM(E25:E28,E35,E39:E40,E43:E49)</f>
        <v>0</v>
      </c>
      <c r="F24" s="538">
        <f>SUM(F25:F28,F35,F39:F40,F43:F50)</f>
        <v>141006.39999999999</v>
      </c>
      <c r="G24" s="538">
        <f>SUM(G25:G28,G35,G39:G40,G43:G50)</f>
        <v>141006.39999999999</v>
      </c>
      <c r="H24" s="538">
        <f t="shared" ref="H24:AI24" si="18">SUM(H25:H28,H35,H39:H40,H43:H50)</f>
        <v>141006.39999999999</v>
      </c>
      <c r="I24" s="538">
        <f>SUM(I25:I28,I35,I39:I40,I43:I50)</f>
        <v>141006.39999999999</v>
      </c>
      <c r="J24" s="538">
        <f>SUM(J25:J28,J35,J39:J40,J43:J50)</f>
        <v>141006.39999999999</v>
      </c>
      <c r="K24" s="538">
        <f>SUM(K25:K28,K35,K39:K40,K43:K50)</f>
        <v>141006.39999999999</v>
      </c>
      <c r="L24" s="538">
        <f>SUM(L25:L28,L35,L39:L40,L43:L50)</f>
        <v>141006.39999999999</v>
      </c>
      <c r="M24" s="538">
        <f>SUM(M25:M28,M35,M39:M40,M43:M50)</f>
        <v>141006.39999999999</v>
      </c>
      <c r="N24" s="538">
        <f t="shared" si="18"/>
        <v>141006.39999999999</v>
      </c>
      <c r="O24" s="538">
        <f t="shared" si="18"/>
        <v>141006.39999999999</v>
      </c>
      <c r="P24" s="538">
        <f t="shared" si="18"/>
        <v>141006.39999999999</v>
      </c>
      <c r="Q24" s="538">
        <f t="shared" si="18"/>
        <v>141006.39999999999</v>
      </c>
      <c r="R24" s="538">
        <f t="shared" si="18"/>
        <v>141006.39999999999</v>
      </c>
      <c r="S24" s="538">
        <f t="shared" si="18"/>
        <v>141006.39999999999</v>
      </c>
      <c r="T24" s="538">
        <f t="shared" si="18"/>
        <v>141006.39999999999</v>
      </c>
      <c r="U24" s="538">
        <f t="shared" si="18"/>
        <v>141006.39999999999</v>
      </c>
      <c r="V24" s="538">
        <f t="shared" si="18"/>
        <v>141006.39999999999</v>
      </c>
      <c r="W24" s="538">
        <f t="shared" si="18"/>
        <v>141006.39999999999</v>
      </c>
      <c r="X24" s="538">
        <f t="shared" si="18"/>
        <v>141006.39999999999</v>
      </c>
      <c r="Y24" s="538">
        <f t="shared" si="18"/>
        <v>141006.39999999999</v>
      </c>
      <c r="Z24" s="538">
        <f t="shared" si="18"/>
        <v>141006.39999999999</v>
      </c>
      <c r="AA24" s="538">
        <f t="shared" si="18"/>
        <v>141006.39999999999</v>
      </c>
      <c r="AB24" s="538">
        <f t="shared" si="18"/>
        <v>141006.39999999999</v>
      </c>
      <c r="AC24" s="538">
        <f t="shared" si="18"/>
        <v>141006.39999999999</v>
      </c>
      <c r="AD24" s="538">
        <f t="shared" si="18"/>
        <v>141006.39999999999</v>
      </c>
      <c r="AE24" s="538">
        <f t="shared" si="18"/>
        <v>141006.39999999999</v>
      </c>
      <c r="AF24" s="538">
        <f t="shared" si="18"/>
        <v>141006.39999999999</v>
      </c>
      <c r="AG24" s="538">
        <f t="shared" si="18"/>
        <v>141006.39999999999</v>
      </c>
      <c r="AH24" s="538">
        <f t="shared" si="18"/>
        <v>141006.39999999999</v>
      </c>
      <c r="AI24" s="538">
        <f t="shared" si="18"/>
        <v>141006.39999999999</v>
      </c>
    </row>
    <row r="25" spans="1:35" x14ac:dyDescent="0.2">
      <c r="A25" s="536" t="s">
        <v>12</v>
      </c>
      <c r="B25" s="536"/>
      <c r="C25" s="536" t="s">
        <v>60</v>
      </c>
      <c r="D25" s="536"/>
      <c r="E25" s="536">
        <v>0</v>
      </c>
      <c r="F25" s="538">
        <f>'Параметры проекта'!$B$23</f>
        <v>50000</v>
      </c>
      <c r="G25" s="538">
        <f>'Параметры проекта'!$B$23</f>
        <v>50000</v>
      </c>
      <c r="H25" s="538">
        <f>'Параметры проекта'!$B$23</f>
        <v>50000</v>
      </c>
      <c r="I25" s="538">
        <f>'Параметры проекта'!$B$23</f>
        <v>50000</v>
      </c>
      <c r="J25" s="538">
        <f>'Параметры проекта'!$B$23</f>
        <v>50000</v>
      </c>
      <c r="K25" s="538">
        <f>'Параметры проекта'!$B$23</f>
        <v>50000</v>
      </c>
      <c r="L25" s="538">
        <f>'Параметры проекта'!$B$23</f>
        <v>50000</v>
      </c>
      <c r="M25" s="538">
        <f>'Параметры проекта'!$B$23</f>
        <v>50000</v>
      </c>
      <c r="N25" s="538">
        <f>'Параметры проекта'!$B$23</f>
        <v>50000</v>
      </c>
      <c r="O25" s="538">
        <f>'Параметры проекта'!$B$23</f>
        <v>50000</v>
      </c>
      <c r="P25" s="538">
        <f>'Параметры проекта'!$B$23</f>
        <v>50000</v>
      </c>
      <c r="Q25" s="538">
        <f>'Параметры проекта'!$B$23</f>
        <v>50000</v>
      </c>
      <c r="R25" s="538">
        <f>'Параметры проекта'!$B$23</f>
        <v>50000</v>
      </c>
      <c r="S25" s="538">
        <f>'Параметры проекта'!$B$23</f>
        <v>50000</v>
      </c>
      <c r="T25" s="538">
        <f>'Параметры проекта'!$B$23</f>
        <v>50000</v>
      </c>
      <c r="U25" s="538">
        <f>'Параметры проекта'!$B$23</f>
        <v>50000</v>
      </c>
      <c r="V25" s="538">
        <f>'Параметры проекта'!$B$23</f>
        <v>50000</v>
      </c>
      <c r="W25" s="538">
        <f>'Параметры проекта'!$B$23</f>
        <v>50000</v>
      </c>
      <c r="X25" s="538">
        <f>'Параметры проекта'!$B$23</f>
        <v>50000</v>
      </c>
      <c r="Y25" s="538">
        <f>'Параметры проекта'!$B$23</f>
        <v>50000</v>
      </c>
      <c r="Z25" s="538">
        <f>'Параметры проекта'!$B$23</f>
        <v>50000</v>
      </c>
      <c r="AA25" s="538">
        <f>'Параметры проекта'!$B$23</f>
        <v>50000</v>
      </c>
      <c r="AB25" s="538">
        <f>'Параметры проекта'!$B$23</f>
        <v>50000</v>
      </c>
      <c r="AC25" s="538">
        <f>'Параметры проекта'!$B$23</f>
        <v>50000</v>
      </c>
      <c r="AD25" s="538">
        <f>'Параметры проекта'!$B$23</f>
        <v>50000</v>
      </c>
      <c r="AE25" s="538">
        <f>'Параметры проекта'!$B$23</f>
        <v>50000</v>
      </c>
      <c r="AF25" s="538">
        <f>'Параметры проекта'!$B$23</f>
        <v>50000</v>
      </c>
      <c r="AG25" s="538">
        <f>'Параметры проекта'!$B$23</f>
        <v>50000</v>
      </c>
      <c r="AH25" s="538">
        <f>'Параметры проекта'!$B$23</f>
        <v>50000</v>
      </c>
      <c r="AI25" s="538">
        <f>'Параметры проекта'!$B$23</f>
        <v>50000</v>
      </c>
    </row>
    <row r="26" spans="1:35" ht="11.25" customHeight="1" x14ac:dyDescent="0.2">
      <c r="A26" s="536" t="s">
        <v>13</v>
      </c>
      <c r="B26" s="536"/>
      <c r="C26" s="536"/>
      <c r="D26" s="536"/>
      <c r="E26" s="536"/>
      <c r="F26" s="538">
        <f>'Параметры проекта'!$B$24</f>
        <v>5000</v>
      </c>
      <c r="G26" s="538">
        <f>'Параметры проекта'!$B$24</f>
        <v>5000</v>
      </c>
      <c r="H26" s="538">
        <f>'Параметры проекта'!$B$24</f>
        <v>5000</v>
      </c>
      <c r="I26" s="538">
        <f>'Параметры проекта'!$B$24</f>
        <v>5000</v>
      </c>
      <c r="J26" s="538">
        <f>'Параметры проекта'!$B$24</f>
        <v>5000</v>
      </c>
      <c r="K26" s="538">
        <f>'Параметры проекта'!$B$24</f>
        <v>5000</v>
      </c>
      <c r="L26" s="538">
        <f>'Параметры проекта'!$B$24</f>
        <v>5000</v>
      </c>
      <c r="M26" s="538">
        <f>'Параметры проекта'!$B$24</f>
        <v>5000</v>
      </c>
      <c r="N26" s="538">
        <f>'Параметры проекта'!$B$24</f>
        <v>5000</v>
      </c>
      <c r="O26" s="538">
        <f>'Параметры проекта'!$B$24</f>
        <v>5000</v>
      </c>
      <c r="P26" s="538">
        <f>'Параметры проекта'!$B$24</f>
        <v>5000</v>
      </c>
      <c r="Q26" s="538">
        <f>'Параметры проекта'!$B$24</f>
        <v>5000</v>
      </c>
      <c r="R26" s="538">
        <f>'Параметры проекта'!$B$24</f>
        <v>5000</v>
      </c>
      <c r="S26" s="538">
        <f>'Параметры проекта'!$B$24</f>
        <v>5000</v>
      </c>
      <c r="T26" s="538">
        <f>'Параметры проекта'!$B$24</f>
        <v>5000</v>
      </c>
      <c r="U26" s="538">
        <f>'Параметры проекта'!$B$24</f>
        <v>5000</v>
      </c>
      <c r="V26" s="538">
        <f>'Параметры проекта'!$B$24</f>
        <v>5000</v>
      </c>
      <c r="W26" s="538">
        <f>'Параметры проекта'!$B$24</f>
        <v>5000</v>
      </c>
      <c r="X26" s="538">
        <f>'Параметры проекта'!$B$24</f>
        <v>5000</v>
      </c>
      <c r="Y26" s="538">
        <f>'Параметры проекта'!$B$24</f>
        <v>5000</v>
      </c>
      <c r="Z26" s="538">
        <f>'Параметры проекта'!$B$24</f>
        <v>5000</v>
      </c>
      <c r="AA26" s="538">
        <f>'Параметры проекта'!$B$24</f>
        <v>5000</v>
      </c>
      <c r="AB26" s="538">
        <f>'Параметры проекта'!$B$24</f>
        <v>5000</v>
      </c>
      <c r="AC26" s="538">
        <f>'Параметры проекта'!$B$24</f>
        <v>5000</v>
      </c>
      <c r="AD26" s="538">
        <f>'Параметры проекта'!$B$24</f>
        <v>5000</v>
      </c>
      <c r="AE26" s="538">
        <f>'Параметры проекта'!$B$24</f>
        <v>5000</v>
      </c>
      <c r="AF26" s="538">
        <f>'Параметры проекта'!$B$24</f>
        <v>5000</v>
      </c>
      <c r="AG26" s="538">
        <f>'Параметры проекта'!$B$24</f>
        <v>5000</v>
      </c>
      <c r="AH26" s="538">
        <f>'Параметры проекта'!$B$24</f>
        <v>5000</v>
      </c>
      <c r="AI26" s="538">
        <f>'Параметры проекта'!$B$24</f>
        <v>5000</v>
      </c>
    </row>
    <row r="27" spans="1:35" ht="1.5" customHeight="1" x14ac:dyDescent="0.2">
      <c r="A27" s="536"/>
      <c r="B27" s="536"/>
      <c r="C27" s="536"/>
      <c r="D27" s="536"/>
      <c r="E27" s="536"/>
      <c r="F27" s="538"/>
      <c r="G27" s="538"/>
      <c r="H27" s="538"/>
      <c r="I27" s="538"/>
      <c r="J27" s="538"/>
      <c r="K27" s="538"/>
      <c r="L27" s="538"/>
      <c r="M27" s="538"/>
      <c r="N27" s="538"/>
      <c r="O27" s="538"/>
      <c r="P27" s="538"/>
      <c r="Q27" s="538"/>
      <c r="R27" s="538"/>
      <c r="S27" s="538"/>
      <c r="T27" s="538"/>
      <c r="U27" s="538"/>
      <c r="V27" s="538"/>
      <c r="W27" s="538"/>
      <c r="X27" s="538"/>
      <c r="Y27" s="538"/>
      <c r="Z27" s="538"/>
      <c r="AA27" s="538"/>
      <c r="AB27" s="538"/>
      <c r="AC27" s="538"/>
      <c r="AD27" s="538"/>
      <c r="AE27" s="538"/>
      <c r="AF27" s="538"/>
      <c r="AG27" s="538"/>
      <c r="AH27" s="538"/>
      <c r="AI27" s="538"/>
    </row>
    <row r="28" spans="1:35" x14ac:dyDescent="0.2">
      <c r="A28" s="536" t="s">
        <v>52</v>
      </c>
      <c r="B28" s="536"/>
      <c r="C28" s="536"/>
      <c r="D28" s="536"/>
      <c r="E28" s="538">
        <v>0</v>
      </c>
      <c r="F28" s="538">
        <f>$H$68</f>
        <v>46000</v>
      </c>
      <c r="G28" s="538">
        <f t="shared" ref="G28:AI28" si="19">$H$68</f>
        <v>46000</v>
      </c>
      <c r="H28" s="538">
        <f t="shared" si="19"/>
        <v>46000</v>
      </c>
      <c r="I28" s="538">
        <f t="shared" si="19"/>
        <v>46000</v>
      </c>
      <c r="J28" s="538">
        <f t="shared" si="19"/>
        <v>46000</v>
      </c>
      <c r="K28" s="538">
        <f t="shared" si="19"/>
        <v>46000</v>
      </c>
      <c r="L28" s="538">
        <f t="shared" si="19"/>
        <v>46000</v>
      </c>
      <c r="M28" s="538">
        <f t="shared" si="19"/>
        <v>46000</v>
      </c>
      <c r="N28" s="538">
        <f t="shared" si="19"/>
        <v>46000</v>
      </c>
      <c r="O28" s="538">
        <f t="shared" si="19"/>
        <v>46000</v>
      </c>
      <c r="P28" s="538">
        <f t="shared" si="19"/>
        <v>46000</v>
      </c>
      <c r="Q28" s="538">
        <f t="shared" si="19"/>
        <v>46000</v>
      </c>
      <c r="R28" s="538">
        <f t="shared" si="19"/>
        <v>46000</v>
      </c>
      <c r="S28" s="538">
        <f t="shared" si="19"/>
        <v>46000</v>
      </c>
      <c r="T28" s="538">
        <f t="shared" si="19"/>
        <v>46000</v>
      </c>
      <c r="U28" s="538">
        <f t="shared" si="19"/>
        <v>46000</v>
      </c>
      <c r="V28" s="538">
        <f t="shared" si="19"/>
        <v>46000</v>
      </c>
      <c r="W28" s="538">
        <f t="shared" si="19"/>
        <v>46000</v>
      </c>
      <c r="X28" s="538">
        <f t="shared" si="19"/>
        <v>46000</v>
      </c>
      <c r="Y28" s="538">
        <f t="shared" si="19"/>
        <v>46000</v>
      </c>
      <c r="Z28" s="538">
        <f t="shared" si="19"/>
        <v>46000</v>
      </c>
      <c r="AA28" s="538">
        <f t="shared" si="19"/>
        <v>46000</v>
      </c>
      <c r="AB28" s="538">
        <f t="shared" si="19"/>
        <v>46000</v>
      </c>
      <c r="AC28" s="538">
        <f t="shared" si="19"/>
        <v>46000</v>
      </c>
      <c r="AD28" s="538">
        <f t="shared" si="19"/>
        <v>46000</v>
      </c>
      <c r="AE28" s="538">
        <f t="shared" si="19"/>
        <v>46000</v>
      </c>
      <c r="AF28" s="538">
        <f t="shared" si="19"/>
        <v>46000</v>
      </c>
      <c r="AG28" s="538">
        <f t="shared" si="19"/>
        <v>46000</v>
      </c>
      <c r="AH28" s="538">
        <f t="shared" si="19"/>
        <v>46000</v>
      </c>
      <c r="AI28" s="538">
        <f t="shared" si="19"/>
        <v>46000</v>
      </c>
    </row>
    <row r="29" spans="1:35" hidden="1" outlineLevel="1" x14ac:dyDescent="0.2">
      <c r="A29" s="536" t="s">
        <v>14</v>
      </c>
      <c r="B29" s="536">
        <v>2</v>
      </c>
      <c r="C29" s="536">
        <v>35000</v>
      </c>
      <c r="D29" s="536">
        <f>B29*C29</f>
        <v>70000</v>
      </c>
      <c r="E29" s="536"/>
      <c r="F29" s="538"/>
      <c r="G29" s="538"/>
      <c r="H29" s="538"/>
      <c r="I29" s="538"/>
      <c r="J29" s="538"/>
      <c r="K29" s="538"/>
      <c r="L29" s="538"/>
      <c r="M29" s="538"/>
      <c r="N29" s="538"/>
      <c r="O29" s="538"/>
      <c r="P29" s="538"/>
      <c r="Q29" s="538"/>
      <c r="R29" s="538"/>
      <c r="S29" s="538"/>
      <c r="T29" s="538"/>
      <c r="U29" s="538"/>
      <c r="V29" s="538"/>
      <c r="W29" s="538"/>
      <c r="X29" s="538"/>
      <c r="Y29" s="538"/>
      <c r="Z29" s="538"/>
      <c r="AA29" s="538"/>
      <c r="AB29" s="538"/>
      <c r="AC29" s="538"/>
      <c r="AD29" s="538"/>
      <c r="AE29" s="538"/>
      <c r="AF29" s="538"/>
      <c r="AG29" s="538"/>
      <c r="AH29" s="538"/>
      <c r="AI29" s="538"/>
    </row>
    <row r="30" spans="1:35" hidden="1" outlineLevel="1" x14ac:dyDescent="0.2">
      <c r="A30" s="536" t="s">
        <v>15</v>
      </c>
      <c r="B30" s="536">
        <v>0</v>
      </c>
      <c r="C30" s="536">
        <v>37000</v>
      </c>
      <c r="D30" s="536">
        <f t="shared" ref="D30:D31" si="20">B30*C30</f>
        <v>0</v>
      </c>
      <c r="E30" s="536"/>
      <c r="F30" s="538"/>
      <c r="G30" s="538"/>
      <c r="H30" s="538"/>
      <c r="I30" s="538"/>
      <c r="J30" s="538"/>
      <c r="K30" s="538"/>
      <c r="L30" s="538"/>
      <c r="M30" s="538"/>
      <c r="N30" s="538"/>
      <c r="O30" s="538"/>
      <c r="P30" s="538"/>
      <c r="Q30" s="538"/>
      <c r="R30" s="538"/>
      <c r="S30" s="538"/>
      <c r="T30" s="538"/>
      <c r="U30" s="538"/>
      <c r="V30" s="538"/>
      <c r="W30" s="538"/>
      <c r="X30" s="538"/>
      <c r="Y30" s="538"/>
      <c r="Z30" s="538"/>
      <c r="AA30" s="538"/>
      <c r="AB30" s="538"/>
      <c r="AC30" s="538"/>
      <c r="AD30" s="538"/>
      <c r="AE30" s="538"/>
      <c r="AF30" s="538"/>
      <c r="AG30" s="538"/>
      <c r="AH30" s="538"/>
      <c r="AI30" s="538"/>
    </row>
    <row r="31" spans="1:35" hidden="1" outlineLevel="1" x14ac:dyDescent="0.2">
      <c r="A31" s="536" t="s">
        <v>16</v>
      </c>
      <c r="B31" s="536">
        <v>0</v>
      </c>
      <c r="C31" s="536">
        <v>24000</v>
      </c>
      <c r="D31" s="536">
        <f t="shared" si="20"/>
        <v>0</v>
      </c>
      <c r="E31" s="536"/>
      <c r="F31" s="538"/>
      <c r="G31" s="538"/>
      <c r="H31" s="538"/>
      <c r="I31" s="538"/>
      <c r="J31" s="538"/>
      <c r="K31" s="538"/>
      <c r="L31" s="538"/>
      <c r="M31" s="538"/>
      <c r="N31" s="538"/>
      <c r="O31" s="538"/>
      <c r="P31" s="538"/>
      <c r="Q31" s="538"/>
      <c r="R31" s="538"/>
      <c r="S31" s="538"/>
      <c r="T31" s="538"/>
      <c r="U31" s="538"/>
      <c r="V31" s="538"/>
      <c r="W31" s="538"/>
      <c r="X31" s="538"/>
      <c r="Y31" s="538"/>
      <c r="Z31" s="538"/>
      <c r="AA31" s="538"/>
      <c r="AB31" s="538"/>
      <c r="AC31" s="538"/>
      <c r="AD31" s="538"/>
      <c r="AE31" s="538"/>
      <c r="AF31" s="538"/>
      <c r="AG31" s="538"/>
      <c r="AH31" s="538"/>
      <c r="AI31" s="538"/>
    </row>
    <row r="32" spans="1:35" hidden="1" outlineLevel="1" x14ac:dyDescent="0.2">
      <c r="A32" s="536" t="s">
        <v>17</v>
      </c>
      <c r="B32" s="536">
        <v>0</v>
      </c>
      <c r="C32" s="536"/>
      <c r="D32" s="536">
        <f>B32*C32</f>
        <v>0</v>
      </c>
      <c r="E32" s="536"/>
      <c r="F32" s="538"/>
      <c r="G32" s="538"/>
      <c r="H32" s="538"/>
      <c r="I32" s="538"/>
      <c r="J32" s="538"/>
      <c r="K32" s="538"/>
      <c r="L32" s="538"/>
      <c r="M32" s="538"/>
      <c r="N32" s="538"/>
      <c r="O32" s="538"/>
      <c r="P32" s="538"/>
      <c r="Q32" s="538"/>
      <c r="R32" s="538"/>
      <c r="S32" s="538"/>
      <c r="T32" s="538"/>
      <c r="U32" s="538"/>
      <c r="V32" s="538"/>
      <c r="W32" s="538"/>
      <c r="X32" s="538"/>
      <c r="Y32" s="538"/>
      <c r="Z32" s="538"/>
      <c r="AA32" s="538"/>
      <c r="AB32" s="538"/>
      <c r="AC32" s="538"/>
      <c r="AD32" s="538"/>
      <c r="AE32" s="538"/>
      <c r="AF32" s="538"/>
      <c r="AG32" s="538"/>
      <c r="AH32" s="538"/>
      <c r="AI32" s="538"/>
    </row>
    <row r="33" spans="1:35" hidden="1" outlineLevel="1" x14ac:dyDescent="0.2">
      <c r="A33" s="536" t="s">
        <v>18</v>
      </c>
      <c r="B33" s="536"/>
      <c r="C33" s="536"/>
      <c r="D33" s="536">
        <f>SUM(D29:D32)</f>
        <v>70000</v>
      </c>
      <c r="E33" s="536"/>
      <c r="F33" s="538"/>
      <c r="G33" s="538"/>
      <c r="H33" s="538"/>
      <c r="I33" s="538"/>
      <c r="J33" s="538"/>
      <c r="K33" s="538"/>
      <c r="L33" s="538"/>
      <c r="M33" s="538"/>
      <c r="N33" s="538"/>
      <c r="O33" s="538"/>
      <c r="P33" s="538"/>
      <c r="Q33" s="538"/>
      <c r="R33" s="538"/>
      <c r="S33" s="538"/>
      <c r="T33" s="538"/>
      <c r="U33" s="538"/>
      <c r="V33" s="538"/>
      <c r="W33" s="538"/>
      <c r="X33" s="538"/>
      <c r="Y33" s="538"/>
      <c r="Z33" s="538"/>
      <c r="AA33" s="538"/>
      <c r="AB33" s="538"/>
      <c r="AC33" s="538"/>
      <c r="AD33" s="538"/>
      <c r="AE33" s="538"/>
      <c r="AF33" s="538"/>
      <c r="AG33" s="538"/>
      <c r="AH33" s="538"/>
      <c r="AI33" s="538"/>
    </row>
    <row r="34" spans="1:35" hidden="1" outlineLevel="1" x14ac:dyDescent="0.2">
      <c r="A34" s="536" t="s">
        <v>19</v>
      </c>
      <c r="B34" s="536"/>
      <c r="C34" s="536"/>
      <c r="D34" s="536">
        <f>D33-D32</f>
        <v>70000</v>
      </c>
      <c r="E34" s="536"/>
      <c r="F34" s="538"/>
      <c r="G34" s="538"/>
      <c r="H34" s="538"/>
      <c r="I34" s="538"/>
      <c r="J34" s="538"/>
      <c r="K34" s="538"/>
      <c r="L34" s="538"/>
      <c r="M34" s="538"/>
      <c r="N34" s="538"/>
      <c r="O34" s="538"/>
      <c r="P34" s="538"/>
      <c r="Q34" s="538"/>
      <c r="R34" s="538"/>
      <c r="S34" s="538"/>
      <c r="T34" s="538"/>
      <c r="U34" s="538"/>
      <c r="V34" s="538"/>
      <c r="W34" s="538"/>
      <c r="X34" s="538"/>
      <c r="Y34" s="538"/>
      <c r="Z34" s="538"/>
      <c r="AA34" s="538"/>
      <c r="AB34" s="538"/>
      <c r="AC34" s="538"/>
      <c r="AD34" s="538"/>
      <c r="AE34" s="538"/>
      <c r="AF34" s="538"/>
      <c r="AG34" s="538"/>
      <c r="AH34" s="538"/>
      <c r="AI34" s="538"/>
    </row>
    <row r="35" spans="1:35" collapsed="1" x14ac:dyDescent="0.2">
      <c r="A35" s="536" t="s">
        <v>20</v>
      </c>
      <c r="B35" s="536">
        <f>B29+B30+B31</f>
        <v>2</v>
      </c>
      <c r="C35" s="536">
        <v>11000</v>
      </c>
      <c r="D35" s="543">
        <v>0.30199999999999999</v>
      </c>
      <c r="E35" s="536"/>
      <c r="F35" s="538">
        <f>$H$70</f>
        <v>7248</v>
      </c>
      <c r="G35" s="538">
        <f t="shared" ref="G35:AI35" si="21">$H$70</f>
        <v>7248</v>
      </c>
      <c r="H35" s="538">
        <f t="shared" si="21"/>
        <v>7248</v>
      </c>
      <c r="I35" s="538">
        <f t="shared" si="21"/>
        <v>7248</v>
      </c>
      <c r="J35" s="538">
        <f t="shared" si="21"/>
        <v>7248</v>
      </c>
      <c r="K35" s="538">
        <f t="shared" si="21"/>
        <v>7248</v>
      </c>
      <c r="L35" s="538">
        <f t="shared" si="21"/>
        <v>7248</v>
      </c>
      <c r="M35" s="538">
        <f t="shared" si="21"/>
        <v>7248</v>
      </c>
      <c r="N35" s="538">
        <f t="shared" si="21"/>
        <v>7248</v>
      </c>
      <c r="O35" s="538">
        <f t="shared" si="21"/>
        <v>7248</v>
      </c>
      <c r="P35" s="538">
        <f t="shared" si="21"/>
        <v>7248</v>
      </c>
      <c r="Q35" s="538">
        <f t="shared" si="21"/>
        <v>7248</v>
      </c>
      <c r="R35" s="538">
        <f t="shared" si="21"/>
        <v>7248</v>
      </c>
      <c r="S35" s="538">
        <f t="shared" si="21"/>
        <v>7248</v>
      </c>
      <c r="T35" s="538">
        <f t="shared" si="21"/>
        <v>7248</v>
      </c>
      <c r="U35" s="538">
        <f t="shared" si="21"/>
        <v>7248</v>
      </c>
      <c r="V35" s="538">
        <f t="shared" si="21"/>
        <v>7248</v>
      </c>
      <c r="W35" s="538">
        <f t="shared" si="21"/>
        <v>7248</v>
      </c>
      <c r="X35" s="538">
        <f t="shared" si="21"/>
        <v>7248</v>
      </c>
      <c r="Y35" s="538">
        <f t="shared" si="21"/>
        <v>7248</v>
      </c>
      <c r="Z35" s="538">
        <f t="shared" si="21"/>
        <v>7248</v>
      </c>
      <c r="AA35" s="538">
        <f t="shared" si="21"/>
        <v>7248</v>
      </c>
      <c r="AB35" s="538">
        <f t="shared" si="21"/>
        <v>7248</v>
      </c>
      <c r="AC35" s="538">
        <f t="shared" si="21"/>
        <v>7248</v>
      </c>
      <c r="AD35" s="538">
        <f t="shared" si="21"/>
        <v>7248</v>
      </c>
      <c r="AE35" s="538">
        <f t="shared" si="21"/>
        <v>7248</v>
      </c>
      <c r="AF35" s="538">
        <f t="shared" si="21"/>
        <v>7248</v>
      </c>
      <c r="AG35" s="538">
        <f t="shared" si="21"/>
        <v>7248</v>
      </c>
      <c r="AH35" s="538">
        <f t="shared" si="21"/>
        <v>7248</v>
      </c>
      <c r="AI35" s="538">
        <f t="shared" si="21"/>
        <v>7248</v>
      </c>
    </row>
    <row r="36" spans="1:35" hidden="1" outlineLevel="2" x14ac:dyDescent="0.2">
      <c r="A36" s="536"/>
      <c r="B36" s="536"/>
      <c r="C36" s="536" t="s">
        <v>21</v>
      </c>
      <c r="D36" s="536">
        <f>SUM(B29:B32)-B32</f>
        <v>2</v>
      </c>
      <c r="E36" s="536"/>
      <c r="F36" s="538"/>
      <c r="G36" s="538"/>
      <c r="H36" s="538"/>
      <c r="I36" s="538"/>
      <c r="J36" s="538"/>
      <c r="K36" s="538"/>
      <c r="L36" s="538"/>
      <c r="M36" s="538"/>
      <c r="N36" s="538"/>
      <c r="O36" s="538"/>
      <c r="P36" s="538"/>
      <c r="Q36" s="538"/>
      <c r="R36" s="538"/>
      <c r="S36" s="538"/>
      <c r="T36" s="538"/>
      <c r="U36" s="538"/>
      <c r="V36" s="538"/>
      <c r="W36" s="538"/>
      <c r="X36" s="538"/>
      <c r="Y36" s="538"/>
      <c r="Z36" s="538"/>
      <c r="AA36" s="538"/>
      <c r="AB36" s="538"/>
      <c r="AC36" s="538"/>
      <c r="AD36" s="538"/>
      <c r="AE36" s="538"/>
      <c r="AF36" s="538"/>
      <c r="AG36" s="538"/>
      <c r="AH36" s="538"/>
      <c r="AI36" s="538"/>
    </row>
    <row r="37" spans="1:35" hidden="1" outlineLevel="2" x14ac:dyDescent="0.2">
      <c r="A37" s="536"/>
      <c r="B37" s="536"/>
      <c r="C37" s="536" t="s">
        <v>22</v>
      </c>
      <c r="D37" s="536">
        <v>10000</v>
      </c>
      <c r="E37" s="536"/>
      <c r="F37" s="538"/>
      <c r="G37" s="538"/>
      <c r="H37" s="538"/>
      <c r="I37" s="538"/>
      <c r="J37" s="538"/>
      <c r="K37" s="538"/>
      <c r="L37" s="538"/>
      <c r="M37" s="538"/>
      <c r="N37" s="538"/>
      <c r="O37" s="538"/>
      <c r="P37" s="538"/>
      <c r="Q37" s="538"/>
      <c r="R37" s="538"/>
      <c r="S37" s="538"/>
      <c r="T37" s="538"/>
      <c r="U37" s="538"/>
      <c r="V37" s="538"/>
      <c r="W37" s="538"/>
      <c r="X37" s="538"/>
      <c r="Y37" s="538"/>
      <c r="Z37" s="538"/>
      <c r="AA37" s="538"/>
      <c r="AB37" s="538"/>
      <c r="AC37" s="538"/>
      <c r="AD37" s="538"/>
      <c r="AE37" s="538"/>
      <c r="AF37" s="538"/>
      <c r="AG37" s="538"/>
      <c r="AH37" s="538"/>
      <c r="AI37" s="538"/>
    </row>
    <row r="38" spans="1:35" hidden="1" outlineLevel="2" x14ac:dyDescent="0.2">
      <c r="A38" s="536"/>
      <c r="B38" s="536"/>
      <c r="C38" s="536" t="s">
        <v>23</v>
      </c>
      <c r="D38" s="544">
        <v>0.30199999999999999</v>
      </c>
      <c r="E38" s="536"/>
      <c r="F38" s="538"/>
      <c r="G38" s="538"/>
      <c r="H38" s="538"/>
      <c r="I38" s="538"/>
      <c r="J38" s="538"/>
      <c r="K38" s="538"/>
      <c r="L38" s="538"/>
      <c r="M38" s="538"/>
      <c r="N38" s="538"/>
      <c r="O38" s="538"/>
      <c r="P38" s="538"/>
      <c r="Q38" s="538"/>
      <c r="R38" s="538"/>
      <c r="S38" s="538"/>
      <c r="T38" s="538"/>
      <c r="U38" s="538"/>
      <c r="V38" s="538"/>
      <c r="W38" s="538"/>
      <c r="X38" s="538"/>
      <c r="Y38" s="538"/>
      <c r="Z38" s="538"/>
      <c r="AA38" s="538"/>
      <c r="AB38" s="538"/>
      <c r="AC38" s="538"/>
      <c r="AD38" s="538"/>
      <c r="AE38" s="538"/>
      <c r="AF38" s="538"/>
      <c r="AG38" s="538"/>
      <c r="AH38" s="538"/>
      <c r="AI38" s="538"/>
    </row>
    <row r="39" spans="1:35" collapsed="1" x14ac:dyDescent="0.2">
      <c r="A39" s="536" t="s">
        <v>24</v>
      </c>
      <c r="B39" s="536"/>
      <c r="C39" s="536"/>
      <c r="D39" s="536"/>
      <c r="E39" s="536"/>
      <c r="F39" s="538">
        <f>1300+200</f>
        <v>1500</v>
      </c>
      <c r="G39" s="538">
        <f t="shared" ref="G39:AI39" si="22">1300+200</f>
        <v>1500</v>
      </c>
      <c r="H39" s="538">
        <f t="shared" si="22"/>
        <v>1500</v>
      </c>
      <c r="I39" s="538">
        <f t="shared" si="22"/>
        <v>1500</v>
      </c>
      <c r="J39" s="538">
        <f t="shared" si="22"/>
        <v>1500</v>
      </c>
      <c r="K39" s="538">
        <f t="shared" si="22"/>
        <v>1500</v>
      </c>
      <c r="L39" s="538">
        <f t="shared" si="22"/>
        <v>1500</v>
      </c>
      <c r="M39" s="538">
        <f t="shared" si="22"/>
        <v>1500</v>
      </c>
      <c r="N39" s="538">
        <f t="shared" si="22"/>
        <v>1500</v>
      </c>
      <c r="O39" s="538">
        <f t="shared" si="22"/>
        <v>1500</v>
      </c>
      <c r="P39" s="538">
        <f t="shared" si="22"/>
        <v>1500</v>
      </c>
      <c r="Q39" s="538">
        <f t="shared" si="22"/>
        <v>1500</v>
      </c>
      <c r="R39" s="538">
        <f t="shared" si="22"/>
        <v>1500</v>
      </c>
      <c r="S39" s="538">
        <f t="shared" si="22"/>
        <v>1500</v>
      </c>
      <c r="T39" s="538">
        <f t="shared" si="22"/>
        <v>1500</v>
      </c>
      <c r="U39" s="538">
        <f t="shared" si="22"/>
        <v>1500</v>
      </c>
      <c r="V39" s="538">
        <f t="shared" si="22"/>
        <v>1500</v>
      </c>
      <c r="W39" s="538">
        <f t="shared" si="22"/>
        <v>1500</v>
      </c>
      <c r="X39" s="538">
        <f t="shared" si="22"/>
        <v>1500</v>
      </c>
      <c r="Y39" s="538">
        <f t="shared" si="22"/>
        <v>1500</v>
      </c>
      <c r="Z39" s="538">
        <f t="shared" si="22"/>
        <v>1500</v>
      </c>
      <c r="AA39" s="538">
        <f t="shared" si="22"/>
        <v>1500</v>
      </c>
      <c r="AB39" s="538">
        <f t="shared" si="22"/>
        <v>1500</v>
      </c>
      <c r="AC39" s="538">
        <f t="shared" si="22"/>
        <v>1500</v>
      </c>
      <c r="AD39" s="538">
        <f t="shared" si="22"/>
        <v>1500</v>
      </c>
      <c r="AE39" s="538">
        <f t="shared" si="22"/>
        <v>1500</v>
      </c>
      <c r="AF39" s="538">
        <f t="shared" si="22"/>
        <v>1500</v>
      </c>
      <c r="AG39" s="538">
        <f t="shared" si="22"/>
        <v>1500</v>
      </c>
      <c r="AH39" s="538">
        <f t="shared" si="22"/>
        <v>1500</v>
      </c>
      <c r="AI39" s="538">
        <f t="shared" si="22"/>
        <v>1500</v>
      </c>
    </row>
    <row r="40" spans="1:35" x14ac:dyDescent="0.2">
      <c r="A40" s="536" t="s">
        <v>25</v>
      </c>
      <c r="B40" s="536"/>
      <c r="C40" s="536"/>
      <c r="D40" s="536"/>
      <c r="E40" s="536"/>
      <c r="F40" s="538">
        <f t="shared" ref="F40:AI40" si="23">F41+F42</f>
        <v>5000</v>
      </c>
      <c r="G40" s="538">
        <f t="shared" si="23"/>
        <v>5000</v>
      </c>
      <c r="H40" s="538">
        <f t="shared" si="23"/>
        <v>5000</v>
      </c>
      <c r="I40" s="538">
        <f t="shared" si="23"/>
        <v>5000</v>
      </c>
      <c r="J40" s="538">
        <f t="shared" si="23"/>
        <v>5000</v>
      </c>
      <c r="K40" s="538">
        <f>K41+K42</f>
        <v>5000</v>
      </c>
      <c r="L40" s="538">
        <f t="shared" si="23"/>
        <v>5000</v>
      </c>
      <c r="M40" s="538">
        <f t="shared" si="23"/>
        <v>5000</v>
      </c>
      <c r="N40" s="538">
        <f t="shared" si="23"/>
        <v>5000</v>
      </c>
      <c r="O40" s="538">
        <f t="shared" si="23"/>
        <v>5000</v>
      </c>
      <c r="P40" s="538">
        <f t="shared" si="23"/>
        <v>5000</v>
      </c>
      <c r="Q40" s="538">
        <f t="shared" si="23"/>
        <v>5000</v>
      </c>
      <c r="R40" s="538">
        <f t="shared" si="23"/>
        <v>5000</v>
      </c>
      <c r="S40" s="538">
        <f t="shared" si="23"/>
        <v>5000</v>
      </c>
      <c r="T40" s="538">
        <f t="shared" si="23"/>
        <v>5000</v>
      </c>
      <c r="U40" s="538">
        <f t="shared" si="23"/>
        <v>5000</v>
      </c>
      <c r="V40" s="538">
        <f t="shared" si="23"/>
        <v>5000</v>
      </c>
      <c r="W40" s="538">
        <f t="shared" si="23"/>
        <v>5000</v>
      </c>
      <c r="X40" s="538">
        <f t="shared" si="23"/>
        <v>5000</v>
      </c>
      <c r="Y40" s="538">
        <f t="shared" si="23"/>
        <v>5000</v>
      </c>
      <c r="Z40" s="538">
        <f t="shared" si="23"/>
        <v>5000</v>
      </c>
      <c r="AA40" s="538">
        <f t="shared" si="23"/>
        <v>5000</v>
      </c>
      <c r="AB40" s="538">
        <f t="shared" si="23"/>
        <v>5000</v>
      </c>
      <c r="AC40" s="538">
        <f t="shared" si="23"/>
        <v>5000</v>
      </c>
      <c r="AD40" s="538">
        <f t="shared" si="23"/>
        <v>5000</v>
      </c>
      <c r="AE40" s="538">
        <f t="shared" si="23"/>
        <v>5000</v>
      </c>
      <c r="AF40" s="538">
        <f t="shared" si="23"/>
        <v>5000</v>
      </c>
      <c r="AG40" s="538">
        <f t="shared" si="23"/>
        <v>5000</v>
      </c>
      <c r="AH40" s="538">
        <f t="shared" si="23"/>
        <v>5000</v>
      </c>
      <c r="AI40" s="538">
        <f t="shared" si="23"/>
        <v>5000</v>
      </c>
    </row>
    <row r="41" spans="1:35" hidden="1" x14ac:dyDescent="0.2">
      <c r="A41" s="536" t="s">
        <v>26</v>
      </c>
      <c r="B41" s="536"/>
      <c r="C41" s="536"/>
      <c r="D41" s="536"/>
      <c r="E41" s="536"/>
      <c r="F41" s="538">
        <v>1000</v>
      </c>
      <c r="G41" s="538">
        <v>1000</v>
      </c>
      <c r="H41" s="538">
        <v>1000</v>
      </c>
      <c r="I41" s="538">
        <v>1000</v>
      </c>
      <c r="J41" s="538">
        <v>1000</v>
      </c>
      <c r="K41" s="538">
        <v>1000</v>
      </c>
      <c r="L41" s="538">
        <v>1000</v>
      </c>
      <c r="M41" s="538">
        <v>1000</v>
      </c>
      <c r="N41" s="538">
        <v>1000</v>
      </c>
      <c r="O41" s="538">
        <v>1000</v>
      </c>
      <c r="P41" s="538">
        <v>1000</v>
      </c>
      <c r="Q41" s="538">
        <v>1000</v>
      </c>
      <c r="R41" s="538">
        <v>1000</v>
      </c>
      <c r="S41" s="538">
        <v>1000</v>
      </c>
      <c r="T41" s="538">
        <v>1000</v>
      </c>
      <c r="U41" s="538">
        <v>1000</v>
      </c>
      <c r="V41" s="538">
        <v>1000</v>
      </c>
      <c r="W41" s="538">
        <v>1000</v>
      </c>
      <c r="X41" s="538">
        <v>1000</v>
      </c>
      <c r="Y41" s="538">
        <v>1000</v>
      </c>
      <c r="Z41" s="538">
        <v>1000</v>
      </c>
      <c r="AA41" s="538">
        <v>1000</v>
      </c>
      <c r="AB41" s="538">
        <v>1000</v>
      </c>
      <c r="AC41" s="538">
        <v>1000</v>
      </c>
      <c r="AD41" s="538">
        <v>1000</v>
      </c>
      <c r="AE41" s="538">
        <v>1000</v>
      </c>
      <c r="AF41" s="538">
        <v>1000</v>
      </c>
      <c r="AG41" s="538">
        <v>1000</v>
      </c>
      <c r="AH41" s="538">
        <v>1000</v>
      </c>
      <c r="AI41" s="538">
        <v>1000</v>
      </c>
    </row>
    <row r="42" spans="1:35" hidden="1" x14ac:dyDescent="0.2">
      <c r="A42" s="536" t="s">
        <v>27</v>
      </c>
      <c r="B42" s="536"/>
      <c r="C42" s="536"/>
      <c r="D42" s="536"/>
      <c r="E42" s="536"/>
      <c r="F42" s="538">
        <v>4000</v>
      </c>
      <c r="G42" s="538">
        <v>4000</v>
      </c>
      <c r="H42" s="538">
        <v>4000</v>
      </c>
      <c r="I42" s="538">
        <v>4000</v>
      </c>
      <c r="J42" s="538">
        <v>4000</v>
      </c>
      <c r="K42" s="538">
        <v>4000</v>
      </c>
      <c r="L42" s="538">
        <v>4000</v>
      </c>
      <c r="M42" s="538">
        <v>4000</v>
      </c>
      <c r="N42" s="538">
        <v>4000</v>
      </c>
      <c r="O42" s="538">
        <v>4000</v>
      </c>
      <c r="P42" s="538">
        <v>4000</v>
      </c>
      <c r="Q42" s="538">
        <v>4000</v>
      </c>
      <c r="R42" s="538">
        <v>4000</v>
      </c>
      <c r="S42" s="538">
        <v>4000</v>
      </c>
      <c r="T42" s="538">
        <v>4000</v>
      </c>
      <c r="U42" s="538">
        <v>4000</v>
      </c>
      <c r="V42" s="538">
        <v>4000</v>
      </c>
      <c r="W42" s="538">
        <v>4000</v>
      </c>
      <c r="X42" s="538">
        <v>4000</v>
      </c>
      <c r="Y42" s="538">
        <v>4000</v>
      </c>
      <c r="Z42" s="538">
        <v>4000</v>
      </c>
      <c r="AA42" s="538">
        <v>4000</v>
      </c>
      <c r="AB42" s="538">
        <v>4000</v>
      </c>
      <c r="AC42" s="538">
        <v>4000</v>
      </c>
      <c r="AD42" s="538">
        <v>4000</v>
      </c>
      <c r="AE42" s="538">
        <v>4000</v>
      </c>
      <c r="AF42" s="538">
        <v>4000</v>
      </c>
      <c r="AG42" s="538">
        <v>4000</v>
      </c>
      <c r="AH42" s="538">
        <v>4000</v>
      </c>
      <c r="AI42" s="538">
        <v>4000</v>
      </c>
    </row>
    <row r="43" spans="1:35" x14ac:dyDescent="0.2">
      <c r="A43" s="536" t="s">
        <v>28</v>
      </c>
      <c r="B43" s="536"/>
      <c r="C43" s="536"/>
      <c r="D43" s="536"/>
      <c r="E43" s="536"/>
      <c r="F43" s="538">
        <v>5000</v>
      </c>
      <c r="G43" s="538">
        <v>5000</v>
      </c>
      <c r="H43" s="538">
        <v>5000</v>
      </c>
      <c r="I43" s="538">
        <v>5000</v>
      </c>
      <c r="J43" s="538">
        <v>5000</v>
      </c>
      <c r="K43" s="538">
        <v>5000</v>
      </c>
      <c r="L43" s="538">
        <v>5000</v>
      </c>
      <c r="M43" s="538">
        <v>5000</v>
      </c>
      <c r="N43" s="538">
        <v>5000</v>
      </c>
      <c r="O43" s="538">
        <v>5000</v>
      </c>
      <c r="P43" s="538">
        <v>5000</v>
      </c>
      <c r="Q43" s="538">
        <v>5000</v>
      </c>
      <c r="R43" s="538">
        <v>5000</v>
      </c>
      <c r="S43" s="538">
        <v>5000</v>
      </c>
      <c r="T43" s="538">
        <v>5000</v>
      </c>
      <c r="U43" s="538">
        <v>5000</v>
      </c>
      <c r="V43" s="538">
        <v>5000</v>
      </c>
      <c r="W43" s="538">
        <v>5000</v>
      </c>
      <c r="X43" s="538">
        <v>5000</v>
      </c>
      <c r="Y43" s="538">
        <v>5000</v>
      </c>
      <c r="Z43" s="538">
        <v>5000</v>
      </c>
      <c r="AA43" s="538">
        <v>5000</v>
      </c>
      <c r="AB43" s="538">
        <v>5000</v>
      </c>
      <c r="AC43" s="538">
        <v>5000</v>
      </c>
      <c r="AD43" s="538">
        <v>5000</v>
      </c>
      <c r="AE43" s="538">
        <v>5000</v>
      </c>
      <c r="AF43" s="538">
        <v>5000</v>
      </c>
      <c r="AG43" s="538">
        <v>5000</v>
      </c>
      <c r="AH43" s="538">
        <v>5000</v>
      </c>
      <c r="AI43" s="538">
        <v>5000</v>
      </c>
    </row>
    <row r="44" spans="1:35" x14ac:dyDescent="0.2">
      <c r="A44" s="536" t="s">
        <v>29</v>
      </c>
      <c r="B44" s="536"/>
      <c r="C44" s="536"/>
      <c r="D44" s="536"/>
      <c r="E44" s="536"/>
      <c r="F44" s="538">
        <v>3000</v>
      </c>
      <c r="G44" s="538">
        <v>3000</v>
      </c>
      <c r="H44" s="538">
        <v>3000</v>
      </c>
      <c r="I44" s="538">
        <v>3000</v>
      </c>
      <c r="J44" s="538">
        <v>3000</v>
      </c>
      <c r="K44" s="538">
        <v>3000</v>
      </c>
      <c r="L44" s="538">
        <v>3000</v>
      </c>
      <c r="M44" s="538">
        <v>3000</v>
      </c>
      <c r="N44" s="538">
        <v>3000</v>
      </c>
      <c r="O44" s="538">
        <v>3000</v>
      </c>
      <c r="P44" s="538">
        <v>3000</v>
      </c>
      <c r="Q44" s="538">
        <v>3000</v>
      </c>
      <c r="R44" s="538">
        <v>3000</v>
      </c>
      <c r="S44" s="538">
        <v>3000</v>
      </c>
      <c r="T44" s="538">
        <v>3000</v>
      </c>
      <c r="U44" s="538">
        <v>3000</v>
      </c>
      <c r="V44" s="538">
        <v>3000</v>
      </c>
      <c r="W44" s="538">
        <v>3000</v>
      </c>
      <c r="X44" s="538">
        <v>3000</v>
      </c>
      <c r="Y44" s="538">
        <v>3000</v>
      </c>
      <c r="Z44" s="538">
        <v>3000</v>
      </c>
      <c r="AA44" s="538">
        <v>3000</v>
      </c>
      <c r="AB44" s="538">
        <v>3000</v>
      </c>
      <c r="AC44" s="538">
        <v>3000</v>
      </c>
      <c r="AD44" s="538">
        <v>3000</v>
      </c>
      <c r="AE44" s="538">
        <v>3000</v>
      </c>
      <c r="AF44" s="538">
        <v>3000</v>
      </c>
      <c r="AG44" s="538">
        <v>3000</v>
      </c>
      <c r="AH44" s="538">
        <v>3000</v>
      </c>
      <c r="AI44" s="538">
        <v>3000</v>
      </c>
    </row>
    <row r="45" spans="1:35" x14ac:dyDescent="0.2">
      <c r="A45" s="536" t="s">
        <v>97</v>
      </c>
      <c r="B45" s="536"/>
      <c r="C45" s="536"/>
      <c r="D45" s="536"/>
      <c r="E45" s="536"/>
      <c r="F45" s="538">
        <v>5000</v>
      </c>
      <c r="G45" s="538">
        <v>5000</v>
      </c>
      <c r="H45" s="538">
        <v>5000</v>
      </c>
      <c r="I45" s="538">
        <v>5000</v>
      </c>
      <c r="J45" s="538">
        <v>5000</v>
      </c>
      <c r="K45" s="538">
        <v>5000</v>
      </c>
      <c r="L45" s="538">
        <v>5000</v>
      </c>
      <c r="M45" s="538">
        <v>5000</v>
      </c>
      <c r="N45" s="538">
        <v>5000</v>
      </c>
      <c r="O45" s="538">
        <v>5000</v>
      </c>
      <c r="P45" s="538">
        <v>5000</v>
      </c>
      <c r="Q45" s="538">
        <v>5000</v>
      </c>
      <c r="R45" s="538">
        <v>5000</v>
      </c>
      <c r="S45" s="538">
        <v>5000</v>
      </c>
      <c r="T45" s="538">
        <v>5000</v>
      </c>
      <c r="U45" s="538">
        <v>5000</v>
      </c>
      <c r="V45" s="538">
        <v>5000</v>
      </c>
      <c r="W45" s="538">
        <v>5000</v>
      </c>
      <c r="X45" s="538">
        <v>5000</v>
      </c>
      <c r="Y45" s="538">
        <v>5000</v>
      </c>
      <c r="Z45" s="538">
        <v>5000</v>
      </c>
      <c r="AA45" s="538">
        <v>5000</v>
      </c>
      <c r="AB45" s="538">
        <v>5000</v>
      </c>
      <c r="AC45" s="538">
        <v>5000</v>
      </c>
      <c r="AD45" s="538">
        <v>5000</v>
      </c>
      <c r="AE45" s="538">
        <v>5000</v>
      </c>
      <c r="AF45" s="538">
        <v>5000</v>
      </c>
      <c r="AG45" s="538">
        <v>5000</v>
      </c>
      <c r="AH45" s="538">
        <v>5000</v>
      </c>
      <c r="AI45" s="538">
        <v>5000</v>
      </c>
    </row>
    <row r="46" spans="1:35" x14ac:dyDescent="0.2">
      <c r="A46" s="536" t="s">
        <v>44</v>
      </c>
      <c r="B46" s="536"/>
      <c r="C46" s="536" t="s">
        <v>30</v>
      </c>
      <c r="D46" s="539">
        <v>1.6E-2</v>
      </c>
      <c r="E46" s="536"/>
      <c r="F46" s="538">
        <f t="shared" ref="F46:AI46" si="24">F13*$D46</f>
        <v>3168</v>
      </c>
      <c r="G46" s="538">
        <f t="shared" si="24"/>
        <v>3168</v>
      </c>
      <c r="H46" s="538">
        <f t="shared" si="24"/>
        <v>3168</v>
      </c>
      <c r="I46" s="538">
        <f t="shared" si="24"/>
        <v>3168</v>
      </c>
      <c r="J46" s="538">
        <f t="shared" si="24"/>
        <v>3168</v>
      </c>
      <c r="K46" s="538">
        <f t="shared" si="24"/>
        <v>3168</v>
      </c>
      <c r="L46" s="538">
        <f t="shared" si="24"/>
        <v>3168</v>
      </c>
      <c r="M46" s="538">
        <f t="shared" si="24"/>
        <v>3168</v>
      </c>
      <c r="N46" s="538">
        <f t="shared" si="24"/>
        <v>3168</v>
      </c>
      <c r="O46" s="538">
        <f t="shared" si="24"/>
        <v>3168</v>
      </c>
      <c r="P46" s="538">
        <f t="shared" si="24"/>
        <v>3168</v>
      </c>
      <c r="Q46" s="538">
        <f t="shared" si="24"/>
        <v>3168</v>
      </c>
      <c r="R46" s="538">
        <f t="shared" si="24"/>
        <v>3168</v>
      </c>
      <c r="S46" s="538">
        <f t="shared" si="24"/>
        <v>3168</v>
      </c>
      <c r="T46" s="538">
        <f t="shared" si="24"/>
        <v>3168</v>
      </c>
      <c r="U46" s="538">
        <f t="shared" si="24"/>
        <v>3168</v>
      </c>
      <c r="V46" s="538">
        <f t="shared" si="24"/>
        <v>3168</v>
      </c>
      <c r="W46" s="538">
        <f t="shared" si="24"/>
        <v>3168</v>
      </c>
      <c r="X46" s="538">
        <f t="shared" si="24"/>
        <v>3168</v>
      </c>
      <c r="Y46" s="538">
        <f t="shared" si="24"/>
        <v>3168</v>
      </c>
      <c r="Z46" s="538">
        <f t="shared" si="24"/>
        <v>3168</v>
      </c>
      <c r="AA46" s="538">
        <f t="shared" si="24"/>
        <v>3168</v>
      </c>
      <c r="AB46" s="538">
        <f t="shared" si="24"/>
        <v>3168</v>
      </c>
      <c r="AC46" s="538">
        <f t="shared" si="24"/>
        <v>3168</v>
      </c>
      <c r="AD46" s="538">
        <f t="shared" si="24"/>
        <v>3168</v>
      </c>
      <c r="AE46" s="538">
        <f t="shared" si="24"/>
        <v>3168</v>
      </c>
      <c r="AF46" s="538">
        <f t="shared" si="24"/>
        <v>3168</v>
      </c>
      <c r="AG46" s="538">
        <f t="shared" si="24"/>
        <v>3168</v>
      </c>
      <c r="AH46" s="538">
        <f t="shared" si="24"/>
        <v>3168</v>
      </c>
      <c r="AI46" s="538">
        <f t="shared" si="24"/>
        <v>3168</v>
      </c>
    </row>
    <row r="47" spans="1:35" x14ac:dyDescent="0.2">
      <c r="A47" s="536" t="s">
        <v>31</v>
      </c>
      <c r="B47" s="536"/>
      <c r="C47" s="536" t="s">
        <v>30</v>
      </c>
      <c r="D47" s="539">
        <v>5.1999999999999998E-3</v>
      </c>
      <c r="E47" s="536"/>
      <c r="F47" s="538">
        <f t="shared" ref="F47:AI47" si="25">F14*$D47</f>
        <v>2090.4</v>
      </c>
      <c r="G47" s="538">
        <f t="shared" si="25"/>
        <v>2090.4</v>
      </c>
      <c r="H47" s="538">
        <f t="shared" si="25"/>
        <v>2090.4</v>
      </c>
      <c r="I47" s="538">
        <f t="shared" si="25"/>
        <v>2090.4</v>
      </c>
      <c r="J47" s="538">
        <f t="shared" si="25"/>
        <v>2090.4</v>
      </c>
      <c r="K47" s="538">
        <f t="shared" si="25"/>
        <v>2090.4</v>
      </c>
      <c r="L47" s="538">
        <f t="shared" si="25"/>
        <v>2090.4</v>
      </c>
      <c r="M47" s="538">
        <f t="shared" si="25"/>
        <v>2090.4</v>
      </c>
      <c r="N47" s="538">
        <f t="shared" si="25"/>
        <v>2090.4</v>
      </c>
      <c r="O47" s="538">
        <f t="shared" si="25"/>
        <v>2090.4</v>
      </c>
      <c r="P47" s="538">
        <f t="shared" si="25"/>
        <v>2090.4</v>
      </c>
      <c r="Q47" s="538">
        <f t="shared" si="25"/>
        <v>2090.4</v>
      </c>
      <c r="R47" s="538">
        <f t="shared" si="25"/>
        <v>2090.4</v>
      </c>
      <c r="S47" s="538">
        <f t="shared" si="25"/>
        <v>2090.4</v>
      </c>
      <c r="T47" s="538">
        <f t="shared" si="25"/>
        <v>2090.4</v>
      </c>
      <c r="U47" s="538">
        <f t="shared" si="25"/>
        <v>2090.4</v>
      </c>
      <c r="V47" s="538">
        <f t="shared" si="25"/>
        <v>2090.4</v>
      </c>
      <c r="W47" s="538">
        <f t="shared" si="25"/>
        <v>2090.4</v>
      </c>
      <c r="X47" s="538">
        <f t="shared" si="25"/>
        <v>2090.4</v>
      </c>
      <c r="Y47" s="538">
        <f t="shared" si="25"/>
        <v>2090.4</v>
      </c>
      <c r="Z47" s="538">
        <f t="shared" si="25"/>
        <v>2090.4</v>
      </c>
      <c r="AA47" s="538">
        <f t="shared" si="25"/>
        <v>2090.4</v>
      </c>
      <c r="AB47" s="538">
        <f t="shared" si="25"/>
        <v>2090.4</v>
      </c>
      <c r="AC47" s="538">
        <f t="shared" si="25"/>
        <v>2090.4</v>
      </c>
      <c r="AD47" s="538">
        <f t="shared" si="25"/>
        <v>2090.4</v>
      </c>
      <c r="AE47" s="538">
        <f t="shared" si="25"/>
        <v>2090.4</v>
      </c>
      <c r="AF47" s="538">
        <f t="shared" si="25"/>
        <v>2090.4</v>
      </c>
      <c r="AG47" s="538">
        <f t="shared" si="25"/>
        <v>2090.4</v>
      </c>
      <c r="AH47" s="538">
        <f t="shared" si="25"/>
        <v>2090.4</v>
      </c>
      <c r="AI47" s="538">
        <f t="shared" si="25"/>
        <v>2090.4</v>
      </c>
    </row>
    <row r="48" spans="1:35" x14ac:dyDescent="0.2">
      <c r="A48" s="536" t="s">
        <v>91</v>
      </c>
      <c r="B48" s="536"/>
      <c r="C48" s="536"/>
      <c r="D48" s="536"/>
      <c r="E48" s="536"/>
      <c r="F48" s="538">
        <v>7000</v>
      </c>
      <c r="G48" s="538">
        <v>7000</v>
      </c>
      <c r="H48" s="538">
        <v>7000</v>
      </c>
      <c r="I48" s="538">
        <v>7000</v>
      </c>
      <c r="J48" s="538">
        <v>7000</v>
      </c>
      <c r="K48" s="538">
        <v>7000</v>
      </c>
      <c r="L48" s="538">
        <v>7000</v>
      </c>
      <c r="M48" s="538">
        <v>7000</v>
      </c>
      <c r="N48" s="538">
        <v>7000</v>
      </c>
      <c r="O48" s="538">
        <v>7000</v>
      </c>
      <c r="P48" s="538">
        <v>7000</v>
      </c>
      <c r="Q48" s="538">
        <v>7000</v>
      </c>
      <c r="R48" s="538">
        <v>7000</v>
      </c>
      <c r="S48" s="538">
        <v>7000</v>
      </c>
      <c r="T48" s="538">
        <v>7000</v>
      </c>
      <c r="U48" s="538">
        <v>7000</v>
      </c>
      <c r="V48" s="538">
        <v>7000</v>
      </c>
      <c r="W48" s="538">
        <v>7000</v>
      </c>
      <c r="X48" s="538">
        <v>7000</v>
      </c>
      <c r="Y48" s="538">
        <v>7000</v>
      </c>
      <c r="Z48" s="538">
        <v>7000</v>
      </c>
      <c r="AA48" s="538">
        <v>7000</v>
      </c>
      <c r="AB48" s="538">
        <v>7000</v>
      </c>
      <c r="AC48" s="538">
        <v>7000</v>
      </c>
      <c r="AD48" s="538">
        <v>7000</v>
      </c>
      <c r="AE48" s="538">
        <v>7000</v>
      </c>
      <c r="AF48" s="538">
        <v>7000</v>
      </c>
      <c r="AG48" s="538">
        <v>7000</v>
      </c>
      <c r="AH48" s="538">
        <v>7000</v>
      </c>
      <c r="AI48" s="538">
        <v>7000</v>
      </c>
    </row>
    <row r="49" spans="1:36" x14ac:dyDescent="0.2">
      <c r="A49" s="536" t="s">
        <v>32</v>
      </c>
      <c r="B49" s="536"/>
      <c r="C49" s="536"/>
      <c r="D49" s="536"/>
      <c r="E49" s="536"/>
      <c r="F49" s="538">
        <v>1000</v>
      </c>
      <c r="G49" s="538">
        <v>1000</v>
      </c>
      <c r="H49" s="538">
        <v>1000</v>
      </c>
      <c r="I49" s="538">
        <v>1000</v>
      </c>
      <c r="J49" s="538">
        <v>1000</v>
      </c>
      <c r="K49" s="538">
        <v>1000</v>
      </c>
      <c r="L49" s="538">
        <v>1000</v>
      </c>
      <c r="M49" s="538">
        <v>1000</v>
      </c>
      <c r="N49" s="538">
        <v>1000</v>
      </c>
      <c r="O49" s="538">
        <v>1000</v>
      </c>
      <c r="P49" s="538">
        <v>1000</v>
      </c>
      <c r="Q49" s="538">
        <v>1000</v>
      </c>
      <c r="R49" s="538">
        <v>1000</v>
      </c>
      <c r="S49" s="538">
        <v>1000</v>
      </c>
      <c r="T49" s="538">
        <v>1000</v>
      </c>
      <c r="U49" s="538">
        <v>1000</v>
      </c>
      <c r="V49" s="538">
        <v>1000</v>
      </c>
      <c r="W49" s="538">
        <v>1000</v>
      </c>
      <c r="X49" s="538">
        <v>1000</v>
      </c>
      <c r="Y49" s="538">
        <v>1000</v>
      </c>
      <c r="Z49" s="538">
        <v>1000</v>
      </c>
      <c r="AA49" s="538">
        <v>1000</v>
      </c>
      <c r="AB49" s="538">
        <v>1000</v>
      </c>
      <c r="AC49" s="538">
        <v>1000</v>
      </c>
      <c r="AD49" s="538">
        <v>1000</v>
      </c>
      <c r="AE49" s="538">
        <v>1000</v>
      </c>
      <c r="AF49" s="538">
        <v>1000</v>
      </c>
      <c r="AG49" s="538">
        <v>1000</v>
      </c>
      <c r="AH49" s="538">
        <v>1000</v>
      </c>
      <c r="AI49" s="538">
        <v>1000</v>
      </c>
    </row>
    <row r="50" spans="1:36" hidden="1" x14ac:dyDescent="0.2">
      <c r="A50" s="531"/>
      <c r="B50" s="536"/>
      <c r="C50" s="536"/>
      <c r="D50" s="536"/>
      <c r="E50" s="536"/>
      <c r="F50" s="538">
        <v>0</v>
      </c>
      <c r="G50" s="538">
        <v>0</v>
      </c>
      <c r="H50" s="538">
        <v>0</v>
      </c>
      <c r="I50" s="538">
        <v>0</v>
      </c>
      <c r="J50" s="538">
        <v>0</v>
      </c>
      <c r="K50" s="538">
        <v>0</v>
      </c>
      <c r="L50" s="538">
        <v>0</v>
      </c>
      <c r="M50" s="538">
        <v>0</v>
      </c>
      <c r="N50" s="538">
        <v>0</v>
      </c>
      <c r="O50" s="538">
        <v>0</v>
      </c>
      <c r="P50" s="538">
        <v>0</v>
      </c>
      <c r="Q50" s="538">
        <v>0</v>
      </c>
      <c r="R50" s="538">
        <v>0</v>
      </c>
      <c r="S50" s="538">
        <v>0</v>
      </c>
      <c r="T50" s="538">
        <v>0</v>
      </c>
      <c r="U50" s="538">
        <v>0</v>
      </c>
      <c r="V50" s="538">
        <v>0</v>
      </c>
      <c r="W50" s="538">
        <v>0</v>
      </c>
      <c r="X50" s="538">
        <v>0</v>
      </c>
      <c r="Y50" s="538">
        <v>0</v>
      </c>
      <c r="Z50" s="538">
        <v>0</v>
      </c>
      <c r="AA50" s="538">
        <v>0</v>
      </c>
      <c r="AB50" s="538">
        <v>0</v>
      </c>
      <c r="AC50" s="538">
        <v>0</v>
      </c>
      <c r="AD50" s="538">
        <v>0</v>
      </c>
      <c r="AE50" s="538">
        <v>0</v>
      </c>
      <c r="AF50" s="538">
        <v>0</v>
      </c>
      <c r="AG50" s="538">
        <v>0</v>
      </c>
      <c r="AH50" s="538">
        <v>0</v>
      </c>
      <c r="AI50" s="538">
        <v>0</v>
      </c>
    </row>
    <row r="51" spans="1:36" x14ac:dyDescent="0.2">
      <c r="A51" s="536" t="s">
        <v>33</v>
      </c>
      <c r="B51" s="536"/>
      <c r="C51" s="536" t="s">
        <v>34</v>
      </c>
      <c r="D51" s="539"/>
      <c r="E51" s="536"/>
      <c r="F51" s="538">
        <f>'Параметры проекта'!$B$26</f>
        <v>18000</v>
      </c>
      <c r="G51" s="538">
        <f>'Параметры проекта'!$B$26</f>
        <v>18000</v>
      </c>
      <c r="H51" s="538">
        <f>'Параметры проекта'!$B$26</f>
        <v>18000</v>
      </c>
      <c r="I51" s="538">
        <f>'Параметры проекта'!$B$26</f>
        <v>18000</v>
      </c>
      <c r="J51" s="538">
        <f>'Параметры проекта'!$B$26</f>
        <v>18000</v>
      </c>
      <c r="K51" s="538">
        <f>'Параметры проекта'!$B$26</f>
        <v>18000</v>
      </c>
      <c r="L51" s="538">
        <f>'Параметры проекта'!$B$26</f>
        <v>18000</v>
      </c>
      <c r="M51" s="538">
        <f>'Параметры проекта'!$B$26</f>
        <v>18000</v>
      </c>
      <c r="N51" s="538">
        <f>'Параметры проекта'!$B$26</f>
        <v>18000</v>
      </c>
      <c r="O51" s="538">
        <f>'Параметры проекта'!$B$26</f>
        <v>18000</v>
      </c>
      <c r="P51" s="538">
        <f>'Параметры проекта'!$B$26</f>
        <v>18000</v>
      </c>
      <c r="Q51" s="538">
        <f>'Параметры проекта'!$B$26</f>
        <v>18000</v>
      </c>
      <c r="R51" s="538">
        <f>'Параметры проекта'!$B$26</f>
        <v>18000</v>
      </c>
      <c r="S51" s="538">
        <f>'Параметры проекта'!$B$26</f>
        <v>18000</v>
      </c>
      <c r="T51" s="538">
        <f>'Параметры проекта'!$B$26</f>
        <v>18000</v>
      </c>
      <c r="U51" s="538">
        <f>'Параметры проекта'!$B$26</f>
        <v>18000</v>
      </c>
      <c r="V51" s="538">
        <f>'Параметры проекта'!$B$26</f>
        <v>18000</v>
      </c>
      <c r="W51" s="538">
        <f>'Параметры проекта'!$B$26</f>
        <v>18000</v>
      </c>
      <c r="X51" s="538">
        <f>'Параметры проекта'!$B$26</f>
        <v>18000</v>
      </c>
      <c r="Y51" s="538">
        <f>'Параметры проекта'!$B$26</f>
        <v>18000</v>
      </c>
      <c r="Z51" s="538">
        <f>'Параметры проекта'!$B$26</f>
        <v>18000</v>
      </c>
      <c r="AA51" s="538">
        <f>'Параметры проекта'!$B$26</f>
        <v>18000</v>
      </c>
      <c r="AB51" s="538">
        <f>'Параметры проекта'!$B$26</f>
        <v>18000</v>
      </c>
      <c r="AC51" s="538">
        <f>'Параметры проекта'!$B$26</f>
        <v>18000</v>
      </c>
      <c r="AD51" s="538">
        <f>'Параметры проекта'!$B$26</f>
        <v>18000</v>
      </c>
      <c r="AE51" s="538">
        <f>'Параметры проекта'!$B$26</f>
        <v>18000</v>
      </c>
      <c r="AF51" s="538">
        <f>'Параметры проекта'!$B$26</f>
        <v>18000</v>
      </c>
      <c r="AG51" s="538">
        <f>'Параметры проекта'!$B$26</f>
        <v>18000</v>
      </c>
      <c r="AH51" s="538">
        <f>'Параметры проекта'!$B$26</f>
        <v>18000</v>
      </c>
      <c r="AI51" s="538">
        <f>'Параметры проекта'!$B$26</f>
        <v>18000</v>
      </c>
    </row>
    <row r="52" spans="1:36" hidden="1" x14ac:dyDescent="0.2">
      <c r="A52" s="536"/>
      <c r="B52" s="536"/>
      <c r="C52" s="536"/>
      <c r="D52" s="536"/>
      <c r="E52" s="536"/>
      <c r="F52" s="538">
        <v>0</v>
      </c>
      <c r="G52" s="538">
        <v>0</v>
      </c>
      <c r="H52" s="538"/>
      <c r="I52" s="538"/>
      <c r="J52" s="538"/>
      <c r="K52" s="538"/>
      <c r="L52" s="538"/>
      <c r="M52" s="538"/>
      <c r="N52" s="538"/>
      <c r="O52" s="538"/>
      <c r="P52" s="538"/>
      <c r="Q52" s="538"/>
      <c r="R52" s="538"/>
      <c r="S52" s="538"/>
      <c r="T52" s="538"/>
      <c r="U52" s="538"/>
      <c r="V52" s="538"/>
      <c r="W52" s="538"/>
      <c r="X52" s="538"/>
      <c r="Y52" s="538"/>
      <c r="Z52" s="538"/>
      <c r="AA52" s="538"/>
      <c r="AB52" s="538"/>
      <c r="AC52" s="538"/>
      <c r="AD52" s="538"/>
      <c r="AE52" s="538"/>
      <c r="AF52" s="538"/>
      <c r="AG52" s="538"/>
      <c r="AH52" s="538"/>
      <c r="AI52" s="538"/>
    </row>
    <row r="53" spans="1:36" hidden="1" x14ac:dyDescent="0.2">
      <c r="A53" s="531" t="s">
        <v>35</v>
      </c>
      <c r="B53" s="536"/>
      <c r="C53" s="536"/>
      <c r="D53" s="536"/>
      <c r="E53" s="536"/>
      <c r="F53" s="538">
        <v>0</v>
      </c>
      <c r="G53" s="538">
        <v>0</v>
      </c>
      <c r="H53" s="538">
        <v>0</v>
      </c>
      <c r="I53" s="538">
        <v>0</v>
      </c>
      <c r="J53" s="538">
        <v>0</v>
      </c>
      <c r="K53" s="538">
        <v>0</v>
      </c>
      <c r="L53" s="538">
        <v>0</v>
      </c>
      <c r="M53" s="538">
        <v>0</v>
      </c>
      <c r="N53" s="538">
        <v>0</v>
      </c>
      <c r="O53" s="538">
        <v>0</v>
      </c>
      <c r="P53" s="538">
        <v>0</v>
      </c>
      <c r="Q53" s="538">
        <v>0</v>
      </c>
      <c r="R53" s="538">
        <v>0</v>
      </c>
      <c r="S53" s="538">
        <v>0</v>
      </c>
      <c r="T53" s="538">
        <v>0</v>
      </c>
      <c r="U53" s="538">
        <v>0</v>
      </c>
      <c r="V53" s="538">
        <v>0</v>
      </c>
      <c r="W53" s="538">
        <v>0</v>
      </c>
      <c r="X53" s="538">
        <v>0</v>
      </c>
      <c r="Y53" s="538">
        <v>0</v>
      </c>
      <c r="Z53" s="538">
        <v>0</v>
      </c>
      <c r="AA53" s="538">
        <v>0</v>
      </c>
      <c r="AB53" s="538">
        <v>0</v>
      </c>
      <c r="AC53" s="538">
        <v>0</v>
      </c>
      <c r="AD53" s="538">
        <v>0</v>
      </c>
      <c r="AE53" s="538">
        <v>0</v>
      </c>
      <c r="AF53" s="538">
        <v>0</v>
      </c>
      <c r="AG53" s="538">
        <v>0</v>
      </c>
      <c r="AH53" s="538">
        <v>0</v>
      </c>
      <c r="AI53" s="538">
        <v>0</v>
      </c>
      <c r="AJ53" s="538"/>
    </row>
    <row r="54" spans="1:36" hidden="1" x14ac:dyDescent="0.2">
      <c r="A54" s="536"/>
      <c r="B54" s="536"/>
      <c r="C54" s="536"/>
      <c r="D54" s="536"/>
      <c r="E54" s="536"/>
      <c r="F54" s="536"/>
      <c r="G54" s="536"/>
      <c r="H54" s="536"/>
      <c r="I54" s="536"/>
      <c r="J54" s="536"/>
      <c r="K54" s="536"/>
      <c r="L54" s="536"/>
      <c r="M54" s="536"/>
      <c r="N54" s="536"/>
      <c r="O54" s="536"/>
      <c r="P54" s="536"/>
      <c r="Q54" s="536"/>
      <c r="R54" s="536"/>
      <c r="S54" s="536"/>
      <c r="T54" s="536"/>
      <c r="U54" s="536"/>
      <c r="V54" s="536"/>
      <c r="W54" s="536"/>
      <c r="X54" s="536"/>
      <c r="Y54" s="536"/>
      <c r="Z54" s="536"/>
      <c r="AA54" s="536"/>
      <c r="AB54" s="536"/>
      <c r="AC54" s="536"/>
      <c r="AD54" s="536"/>
      <c r="AE54" s="536"/>
      <c r="AF54" s="536"/>
      <c r="AG54" s="536"/>
      <c r="AH54" s="536"/>
      <c r="AI54" s="536"/>
    </row>
    <row r="55" spans="1:36" x14ac:dyDescent="0.2">
      <c r="A55" s="536" t="s">
        <v>53</v>
      </c>
      <c r="B55" s="536"/>
      <c r="C55" s="536"/>
      <c r="D55" s="539"/>
      <c r="E55" s="536">
        <v>0</v>
      </c>
      <c r="F55" s="538">
        <f>'Параметры проекта'!$B$40</f>
        <v>50000</v>
      </c>
      <c r="G55" s="538">
        <f>'Параметры проекта'!$B$40</f>
        <v>50000</v>
      </c>
      <c r="H55" s="538">
        <f>'Параметры проекта'!$B$40</f>
        <v>50000</v>
      </c>
      <c r="I55" s="538">
        <f>'Параметры проекта'!$B$40</f>
        <v>50000</v>
      </c>
      <c r="J55" s="538">
        <f>'Параметры проекта'!$B$40</f>
        <v>50000</v>
      </c>
      <c r="K55" s="538">
        <f>'Параметры проекта'!$B$40</f>
        <v>50000</v>
      </c>
      <c r="L55" s="538">
        <f>'Параметры проекта'!$B$40</f>
        <v>50000</v>
      </c>
      <c r="M55" s="538">
        <f>'Параметры проекта'!$B$40</f>
        <v>50000</v>
      </c>
      <c r="N55" s="538">
        <f>'Параметры проекта'!$B$40</f>
        <v>50000</v>
      </c>
      <c r="O55" s="538">
        <f>'Параметры проекта'!$B$40</f>
        <v>50000</v>
      </c>
      <c r="P55" s="538">
        <f>'Параметры проекта'!$B$40</f>
        <v>50000</v>
      </c>
      <c r="Q55" s="538">
        <f>'Параметры проекта'!$B$40</f>
        <v>50000</v>
      </c>
      <c r="R55" s="538">
        <f>'Параметры проекта'!$B$40</f>
        <v>50000</v>
      </c>
      <c r="S55" s="538">
        <f>'Параметры проекта'!$B$40</f>
        <v>50000</v>
      </c>
      <c r="T55" s="538">
        <f>'Параметры проекта'!$B$40</f>
        <v>50000</v>
      </c>
      <c r="U55" s="538">
        <f>'Параметры проекта'!$B$40</f>
        <v>50000</v>
      </c>
      <c r="V55" s="538">
        <f>'Параметры проекта'!$B$40</f>
        <v>50000</v>
      </c>
      <c r="W55" s="538">
        <f>'Параметры проекта'!$B$40</f>
        <v>50000</v>
      </c>
      <c r="X55" s="538">
        <f>'Параметры проекта'!$B$40</f>
        <v>50000</v>
      </c>
      <c r="Y55" s="538">
        <f>'Параметры проекта'!$B$40</f>
        <v>50000</v>
      </c>
      <c r="Z55" s="538">
        <f>'Параметры проекта'!$B$40</f>
        <v>50000</v>
      </c>
      <c r="AA55" s="538">
        <f>'Параметры проекта'!$B$40</f>
        <v>50000</v>
      </c>
      <c r="AB55" s="538">
        <f>'Параметры проекта'!$B$40</f>
        <v>50000</v>
      </c>
      <c r="AC55" s="538">
        <f>'Параметры проекта'!$B$40</f>
        <v>50000</v>
      </c>
      <c r="AD55" s="538">
        <f>'Параметры проекта'!$B$40</f>
        <v>50000</v>
      </c>
      <c r="AE55" s="538">
        <f>'Параметры проекта'!$B$40</f>
        <v>50000</v>
      </c>
      <c r="AF55" s="538">
        <f>'Параметры проекта'!$B$40</f>
        <v>50000</v>
      </c>
      <c r="AG55" s="538">
        <f>'Параметры проекта'!$B$40</f>
        <v>50000</v>
      </c>
      <c r="AH55" s="538">
        <f>'Параметры проекта'!$B$40</f>
        <v>50000</v>
      </c>
      <c r="AI55" s="538">
        <f>'Параметры проекта'!$B$40</f>
        <v>50000</v>
      </c>
    </row>
    <row r="56" spans="1:36" hidden="1" x14ac:dyDescent="0.2">
      <c r="A56" s="536"/>
      <c r="B56" s="536"/>
      <c r="C56" s="536"/>
      <c r="D56" s="536"/>
      <c r="E56" s="536"/>
      <c r="F56" s="536"/>
      <c r="G56" s="536"/>
      <c r="H56" s="536"/>
      <c r="I56" s="536"/>
      <c r="J56" s="536"/>
      <c r="K56" s="536"/>
      <c r="L56" s="536"/>
      <c r="M56" s="536"/>
      <c r="N56" s="536"/>
      <c r="O56" s="536"/>
      <c r="P56" s="536"/>
      <c r="Q56" s="536"/>
      <c r="R56" s="536"/>
      <c r="S56" s="536"/>
      <c r="T56" s="536"/>
      <c r="U56" s="536"/>
      <c r="V56" s="536"/>
      <c r="W56" s="536"/>
      <c r="X56" s="536"/>
      <c r="Y56" s="536"/>
      <c r="Z56" s="536"/>
      <c r="AA56" s="536"/>
      <c r="AB56" s="536"/>
      <c r="AC56" s="536"/>
      <c r="AD56" s="536"/>
      <c r="AE56" s="536"/>
      <c r="AF56" s="536"/>
      <c r="AG56" s="536"/>
      <c r="AH56" s="536"/>
      <c r="AI56" s="536"/>
    </row>
    <row r="57" spans="1:36" x14ac:dyDescent="0.2">
      <c r="A57" s="536" t="s">
        <v>37</v>
      </c>
      <c r="B57" s="536"/>
      <c r="C57" s="536"/>
      <c r="D57" s="536"/>
      <c r="E57" s="538">
        <f>E19-E24-E51-E53-E55</f>
        <v>0</v>
      </c>
      <c r="F57" s="538">
        <f>F19-F24-F51-F53-F55</f>
        <v>171003.29618616679</v>
      </c>
      <c r="G57" s="538">
        <f>G19-G24-G51-G53-G55</f>
        <v>171003.29618616679</v>
      </c>
      <c r="H57" s="538">
        <f>H19-H24-H51-H53-H55</f>
        <v>171003.29618616679</v>
      </c>
      <c r="I57" s="538">
        <f t="shared" ref="I57:AI57" si="26">I19-I24-I51-I53-I55</f>
        <v>171003.29618616679</v>
      </c>
      <c r="J57" s="538">
        <f>J19-J24-J51-J53-J55</f>
        <v>171003.29618616679</v>
      </c>
      <c r="K57" s="538">
        <f>K19-K24-K51-K53-K55</f>
        <v>171003.29618616679</v>
      </c>
      <c r="L57" s="538">
        <f>L19-L24-L51-L53-L55</f>
        <v>171003.29618616679</v>
      </c>
      <c r="M57" s="538">
        <f>M19-M24-M51-M53-M55</f>
        <v>171003.29618616679</v>
      </c>
      <c r="N57" s="538">
        <f t="shared" si="26"/>
        <v>171003.29618616679</v>
      </c>
      <c r="O57" s="538">
        <f t="shared" si="26"/>
        <v>171003.29618616679</v>
      </c>
      <c r="P57" s="538">
        <f t="shared" si="26"/>
        <v>171003.29618616679</v>
      </c>
      <c r="Q57" s="538">
        <f>Q19-Q24-Q51-Q53-Q55</f>
        <v>171003.29618616679</v>
      </c>
      <c r="R57" s="538">
        <f t="shared" si="26"/>
        <v>171003.29618616679</v>
      </c>
      <c r="S57" s="538">
        <f t="shared" si="26"/>
        <v>171003.29618616679</v>
      </c>
      <c r="T57" s="538">
        <f t="shared" si="26"/>
        <v>171003.29618616679</v>
      </c>
      <c r="U57" s="538">
        <f t="shared" si="26"/>
        <v>171003.29618616679</v>
      </c>
      <c r="V57" s="538">
        <f t="shared" si="26"/>
        <v>171003.29618616679</v>
      </c>
      <c r="W57" s="538">
        <f t="shared" si="26"/>
        <v>171003.29618616679</v>
      </c>
      <c r="X57" s="538">
        <f t="shared" si="26"/>
        <v>171003.29618616679</v>
      </c>
      <c r="Y57" s="538">
        <f t="shared" si="26"/>
        <v>171003.29618616679</v>
      </c>
      <c r="Z57" s="538">
        <f t="shared" si="26"/>
        <v>171003.29618616679</v>
      </c>
      <c r="AA57" s="538">
        <f t="shared" si="26"/>
        <v>171003.29618616679</v>
      </c>
      <c r="AB57" s="538">
        <f t="shared" si="26"/>
        <v>171003.29618616679</v>
      </c>
      <c r="AC57" s="538">
        <f t="shared" si="26"/>
        <v>171003.29618616679</v>
      </c>
      <c r="AD57" s="538">
        <f t="shared" si="26"/>
        <v>171003.29618616679</v>
      </c>
      <c r="AE57" s="538">
        <f t="shared" si="26"/>
        <v>171003.29618616679</v>
      </c>
      <c r="AF57" s="538">
        <f t="shared" si="26"/>
        <v>171003.29618616679</v>
      </c>
      <c r="AG57" s="538">
        <f t="shared" si="26"/>
        <v>171003.29618616679</v>
      </c>
      <c r="AH57" s="538">
        <f t="shared" si="26"/>
        <v>171003.29618616679</v>
      </c>
      <c r="AI57" s="538">
        <f t="shared" si="26"/>
        <v>171003.29618616679</v>
      </c>
    </row>
    <row r="58" spans="1:36" x14ac:dyDescent="0.2">
      <c r="A58" s="536" t="s">
        <v>38</v>
      </c>
      <c r="B58" s="536"/>
      <c r="C58" s="536"/>
      <c r="D58" s="536"/>
      <c r="E58" s="538">
        <f t="shared" ref="E58:L58" si="27">E57+E27</f>
        <v>0</v>
      </c>
      <c r="F58" s="538">
        <f>F57+F27</f>
        <v>171003.29618616679</v>
      </c>
      <c r="G58" s="538">
        <f t="shared" si="27"/>
        <v>171003.29618616679</v>
      </c>
      <c r="H58" s="538">
        <f t="shared" si="27"/>
        <v>171003.29618616679</v>
      </c>
      <c r="I58" s="538">
        <f t="shared" si="27"/>
        <v>171003.29618616679</v>
      </c>
      <c r="J58" s="538">
        <f>J57+J27</f>
        <v>171003.29618616679</v>
      </c>
      <c r="K58" s="538">
        <f>K57+K27</f>
        <v>171003.29618616679</v>
      </c>
      <c r="L58" s="538">
        <f t="shared" si="27"/>
        <v>171003.29618616679</v>
      </c>
      <c r="M58" s="538">
        <f>M57+M27</f>
        <v>171003.29618616679</v>
      </c>
      <c r="N58" s="538">
        <f t="shared" ref="N58:AI58" si="28">N57+N27</f>
        <v>171003.29618616679</v>
      </c>
      <c r="O58" s="538">
        <f t="shared" si="28"/>
        <v>171003.29618616679</v>
      </c>
      <c r="P58" s="538">
        <f t="shared" si="28"/>
        <v>171003.29618616679</v>
      </c>
      <c r="Q58" s="538">
        <f t="shared" si="28"/>
        <v>171003.29618616679</v>
      </c>
      <c r="R58" s="538">
        <f t="shared" si="28"/>
        <v>171003.29618616679</v>
      </c>
      <c r="S58" s="538">
        <f>S57+S27</f>
        <v>171003.29618616679</v>
      </c>
      <c r="T58" s="538">
        <f t="shared" si="28"/>
        <v>171003.29618616679</v>
      </c>
      <c r="U58" s="538">
        <f t="shared" si="28"/>
        <v>171003.29618616679</v>
      </c>
      <c r="V58" s="538">
        <f t="shared" si="28"/>
        <v>171003.29618616679</v>
      </c>
      <c r="W58" s="538">
        <f t="shared" si="28"/>
        <v>171003.29618616679</v>
      </c>
      <c r="X58" s="538">
        <f t="shared" si="28"/>
        <v>171003.29618616679</v>
      </c>
      <c r="Y58" s="538">
        <f t="shared" si="28"/>
        <v>171003.29618616679</v>
      </c>
      <c r="Z58" s="538">
        <f t="shared" si="28"/>
        <v>171003.29618616679</v>
      </c>
      <c r="AA58" s="538">
        <f t="shared" si="28"/>
        <v>171003.29618616679</v>
      </c>
      <c r="AB58" s="538">
        <f t="shared" si="28"/>
        <v>171003.29618616679</v>
      </c>
      <c r="AC58" s="538">
        <f t="shared" si="28"/>
        <v>171003.29618616679</v>
      </c>
      <c r="AD58" s="538">
        <f t="shared" si="28"/>
        <v>171003.29618616679</v>
      </c>
      <c r="AE58" s="538">
        <f t="shared" si="28"/>
        <v>171003.29618616679</v>
      </c>
      <c r="AF58" s="538">
        <f t="shared" si="28"/>
        <v>171003.29618616679</v>
      </c>
      <c r="AG58" s="538">
        <f t="shared" si="28"/>
        <v>171003.29618616679</v>
      </c>
      <c r="AH58" s="538">
        <f t="shared" si="28"/>
        <v>171003.29618616679</v>
      </c>
      <c r="AI58" s="538">
        <f t="shared" si="28"/>
        <v>171003.29618616679</v>
      </c>
    </row>
    <row r="59" spans="1:36" x14ac:dyDescent="0.2">
      <c r="A59" s="536" t="s">
        <v>48</v>
      </c>
      <c r="B59" s="536"/>
      <c r="C59" s="536"/>
      <c r="D59" s="536"/>
      <c r="E59" s="538">
        <f>IF(E58&lt;0,0,E58*0.5)</f>
        <v>0</v>
      </c>
      <c r="F59" s="538">
        <v>0</v>
      </c>
      <c r="G59" s="538">
        <v>0</v>
      </c>
      <c r="H59" s="538">
        <v>0</v>
      </c>
      <c r="I59" s="538">
        <v>0</v>
      </c>
      <c r="J59" s="538">
        <v>0</v>
      </c>
      <c r="K59" s="538">
        <v>0</v>
      </c>
      <c r="L59" s="538">
        <v>0</v>
      </c>
      <c r="M59" s="538">
        <v>0</v>
      </c>
      <c r="N59" s="538">
        <v>0</v>
      </c>
      <c r="O59" s="538">
        <v>0</v>
      </c>
      <c r="P59" s="538">
        <v>0</v>
      </c>
      <c r="Q59" s="538">
        <v>0</v>
      </c>
      <c r="R59" s="538">
        <v>0</v>
      </c>
      <c r="S59" s="538">
        <v>0</v>
      </c>
      <c r="T59" s="538">
        <v>0</v>
      </c>
      <c r="U59" s="538">
        <v>0</v>
      </c>
      <c r="V59" s="538">
        <v>0</v>
      </c>
      <c r="W59" s="538">
        <v>0</v>
      </c>
      <c r="X59" s="538">
        <v>0</v>
      </c>
      <c r="Y59" s="538">
        <v>0</v>
      </c>
      <c r="Z59" s="538">
        <v>0</v>
      </c>
      <c r="AA59" s="538">
        <v>0</v>
      </c>
      <c r="AB59" s="538">
        <v>0</v>
      </c>
      <c r="AC59" s="538">
        <v>0</v>
      </c>
      <c r="AD59" s="538">
        <v>0</v>
      </c>
      <c r="AE59" s="538">
        <v>0</v>
      </c>
      <c r="AF59" s="538">
        <v>0</v>
      </c>
      <c r="AG59" s="538">
        <v>0</v>
      </c>
      <c r="AH59" s="538">
        <v>0</v>
      </c>
      <c r="AI59" s="538">
        <f t="shared" ref="AI59" si="29">IF(AI58&lt;0,0,AI58*0.5)</f>
        <v>85501.648093083393</v>
      </c>
    </row>
    <row r="60" spans="1:36" ht="26.25" customHeight="1" x14ac:dyDescent="0.2">
      <c r="A60" s="545" t="s">
        <v>50</v>
      </c>
      <c r="B60" s="536"/>
      <c r="C60" s="536"/>
      <c r="D60" s="536"/>
      <c r="E60" s="538">
        <f t="shared" ref="E60:S60" si="30">SUM(E6:E6)*-1+E58-E59</f>
        <v>0</v>
      </c>
      <c r="F60" s="538">
        <f t="shared" si="30"/>
        <v>171003.29618616679</v>
      </c>
      <c r="G60" s="538">
        <f t="shared" si="30"/>
        <v>171003.29618616679</v>
      </c>
      <c r="H60" s="538">
        <f t="shared" si="30"/>
        <v>171003.29618616679</v>
      </c>
      <c r="I60" s="538">
        <f t="shared" si="30"/>
        <v>171003.29618616679</v>
      </c>
      <c r="J60" s="538">
        <f t="shared" si="30"/>
        <v>171003.29618616679</v>
      </c>
      <c r="K60" s="538">
        <f t="shared" si="30"/>
        <v>171003.29618616679</v>
      </c>
      <c r="L60" s="538">
        <f t="shared" si="30"/>
        <v>171003.29618616679</v>
      </c>
      <c r="M60" s="538">
        <f t="shared" si="30"/>
        <v>171003.29618616679</v>
      </c>
      <c r="N60" s="538">
        <f>SUM(N6:N6)*-1+N58-N59</f>
        <v>171003.29618616679</v>
      </c>
      <c r="O60" s="538">
        <f t="shared" si="30"/>
        <v>171003.29618616679</v>
      </c>
      <c r="P60" s="538">
        <f t="shared" si="30"/>
        <v>171003.29618616679</v>
      </c>
      <c r="Q60" s="538">
        <f t="shared" si="30"/>
        <v>171003.29618616679</v>
      </c>
      <c r="R60" s="538">
        <f t="shared" si="30"/>
        <v>171003.29618616679</v>
      </c>
      <c r="S60" s="538">
        <f t="shared" si="30"/>
        <v>171003.29618616679</v>
      </c>
      <c r="T60" s="538">
        <f>SUM(T6:T6)*-1+T58-T59</f>
        <v>171003.29618616679</v>
      </c>
      <c r="U60" s="538">
        <f t="shared" ref="U60:AI60" si="31">SUM(U6:U6)*-1+U58-U59</f>
        <v>171003.29618616679</v>
      </c>
      <c r="V60" s="538">
        <f t="shared" si="31"/>
        <v>171003.29618616679</v>
      </c>
      <c r="W60" s="538">
        <f t="shared" si="31"/>
        <v>171003.29618616679</v>
      </c>
      <c r="X60" s="538">
        <f t="shared" si="31"/>
        <v>171003.29618616679</v>
      </c>
      <c r="Y60" s="538">
        <f t="shared" si="31"/>
        <v>171003.29618616679</v>
      </c>
      <c r="Z60" s="538">
        <f t="shared" si="31"/>
        <v>171003.29618616679</v>
      </c>
      <c r="AA60" s="538">
        <f t="shared" si="31"/>
        <v>171003.29618616679</v>
      </c>
      <c r="AB60" s="538">
        <f t="shared" si="31"/>
        <v>171003.29618616679</v>
      </c>
      <c r="AC60" s="538">
        <f t="shared" si="31"/>
        <v>171003.29618616679</v>
      </c>
      <c r="AD60" s="538">
        <f t="shared" si="31"/>
        <v>171003.29618616679</v>
      </c>
      <c r="AE60" s="538">
        <f t="shared" si="31"/>
        <v>171003.29618616679</v>
      </c>
      <c r="AF60" s="538">
        <f t="shared" si="31"/>
        <v>171003.29618616679</v>
      </c>
      <c r="AG60" s="538">
        <f t="shared" si="31"/>
        <v>171003.29618616679</v>
      </c>
      <c r="AH60" s="538">
        <f t="shared" si="31"/>
        <v>171003.29618616679</v>
      </c>
      <c r="AI60" s="538">
        <f t="shared" si="31"/>
        <v>85501.648093083393</v>
      </c>
    </row>
    <row r="61" spans="1:36" s="435" customFormat="1" x14ac:dyDescent="0.2">
      <c r="A61" s="538" t="s">
        <v>39</v>
      </c>
      <c r="B61" s="538"/>
      <c r="C61" s="538"/>
      <c r="D61" s="538"/>
      <c r="E61" s="538">
        <f>SUM($E60:E60)</f>
        <v>0</v>
      </c>
      <c r="F61" s="538">
        <f>SUM($E60:F60)</f>
        <v>171003.29618616679</v>
      </c>
      <c r="G61" s="538">
        <f>SUM($E60:G60)</f>
        <v>342006.59237233357</v>
      </c>
      <c r="H61" s="538">
        <f>SUM($E60:H60)</f>
        <v>513009.88855850033</v>
      </c>
      <c r="I61" s="538">
        <f>SUM($E60:I60)</f>
        <v>684013.18474466715</v>
      </c>
      <c r="J61" s="538">
        <f>SUM($E60:J60)</f>
        <v>855016.48093083396</v>
      </c>
      <c r="K61" s="538">
        <f>SUM($E60:K60)</f>
        <v>1026019.7771170008</v>
      </c>
      <c r="L61" s="538">
        <f>SUM($E60:L60)</f>
        <v>1197023.0733031675</v>
      </c>
      <c r="M61" s="538">
        <f>SUM($E60:M60)</f>
        <v>1368026.3694893343</v>
      </c>
      <c r="N61" s="538">
        <f>SUM($E60:N60)</f>
        <v>1539029.6656755011</v>
      </c>
      <c r="O61" s="538">
        <f>SUM($E60:O60)</f>
        <v>1710032.9618616679</v>
      </c>
      <c r="P61" s="538">
        <f>SUM($E60:P60)</f>
        <v>1881036.2580478347</v>
      </c>
      <c r="Q61" s="538">
        <f>SUM($E60:Q60)</f>
        <v>2052039.5542340016</v>
      </c>
      <c r="R61" s="538">
        <f>SUM($E60:R60)</f>
        <v>2223042.8504201681</v>
      </c>
      <c r="S61" s="538">
        <f>SUM($E60:S60)</f>
        <v>2394046.146606335</v>
      </c>
      <c r="T61" s="538">
        <f>SUM($E60:T60)</f>
        <v>2565049.4427925018</v>
      </c>
      <c r="U61" s="538">
        <f>SUM($E60:U60)</f>
        <v>2736052.7389786686</v>
      </c>
      <c r="V61" s="538">
        <f>SUM($E60:V60)</f>
        <v>2907056.0351648354</v>
      </c>
      <c r="W61" s="538">
        <f>SUM($E60:W60)</f>
        <v>3078059.3313510022</v>
      </c>
      <c r="X61" s="538">
        <f>SUM($E60:X60)</f>
        <v>3249062.627537169</v>
      </c>
      <c r="Y61" s="538">
        <f>SUM($E60:Y60)</f>
        <v>3420065.9237233358</v>
      </c>
      <c r="Z61" s="538">
        <f>SUM($E60:Z60)</f>
        <v>3591069.2199095027</v>
      </c>
      <c r="AA61" s="538">
        <f>SUM($E60:AA60)</f>
        <v>3762072.5160956695</v>
      </c>
      <c r="AB61" s="538">
        <f>SUM($E60:AB60)</f>
        <v>3933075.8122818363</v>
      </c>
      <c r="AC61" s="538">
        <f>SUM($E60:AC60)</f>
        <v>4104079.1084680031</v>
      </c>
      <c r="AD61" s="538">
        <f>SUM($E60:AD60)</f>
        <v>4275082.4046541695</v>
      </c>
      <c r="AE61" s="538">
        <f>SUM($E60:AE60)</f>
        <v>4446085.7008403363</v>
      </c>
      <c r="AF61" s="538">
        <f>SUM($E60:AF60)</f>
        <v>4617088.9970265031</v>
      </c>
      <c r="AG61" s="538">
        <f>SUM($E60:AG60)</f>
        <v>4788092.2932126699</v>
      </c>
      <c r="AH61" s="538">
        <f>SUM($E60:AH60)</f>
        <v>4959095.5893988367</v>
      </c>
      <c r="AI61" s="538">
        <f>SUM($E60:AI60)</f>
        <v>5044597.2374919197</v>
      </c>
    </row>
    <row r="62" spans="1:36" x14ac:dyDescent="0.2">
      <c r="A62" s="536" t="s">
        <v>40</v>
      </c>
      <c r="B62" s="536"/>
      <c r="C62" s="536"/>
      <c r="D62" s="536"/>
      <c r="E62" s="546">
        <f>R61/R60*-1+12</f>
        <v>-1</v>
      </c>
      <c r="F62" s="536" t="s">
        <v>41</v>
      </c>
      <c r="G62" s="526"/>
      <c r="H62" s="535"/>
      <c r="I62" s="535"/>
      <c r="J62" s="535"/>
      <c r="K62" s="535"/>
      <c r="L62" s="535"/>
      <c r="M62" s="535"/>
      <c r="N62" s="535"/>
      <c r="O62" s="535"/>
      <c r="P62" s="535"/>
      <c r="Q62" s="535"/>
      <c r="R62" s="535"/>
      <c r="S62" s="535"/>
      <c r="T62" s="535"/>
      <c r="U62" s="535"/>
    </row>
    <row r="63" spans="1:36" ht="0.75" customHeight="1" x14ac:dyDescent="0.2">
      <c r="A63" s="536" t="s">
        <v>42</v>
      </c>
      <c r="B63" s="536"/>
      <c r="C63" s="536"/>
      <c r="D63" s="536"/>
      <c r="E63" s="546" t="e">
        <f>((Y60*12)/(E6+F6)*100)</f>
        <v>#DIV/0!</v>
      </c>
      <c r="F63" s="536" t="s">
        <v>0</v>
      </c>
      <c r="G63" s="535"/>
      <c r="H63" s="536"/>
      <c r="I63" s="536"/>
      <c r="J63" s="535"/>
      <c r="K63" s="535"/>
      <c r="L63" s="535"/>
      <c r="M63" s="535"/>
      <c r="N63" s="535"/>
      <c r="O63" s="535"/>
      <c r="P63" s="535"/>
      <c r="Q63" s="535"/>
      <c r="R63" s="535"/>
      <c r="S63" s="535"/>
      <c r="T63" s="535"/>
      <c r="U63" s="535"/>
    </row>
    <row r="64" spans="1:36" s="547" customFormat="1" ht="12" x14ac:dyDescent="0.2">
      <c r="F64" s="548" t="s">
        <v>92</v>
      </c>
      <c r="G64" s="547" t="s">
        <v>88</v>
      </c>
      <c r="H64" s="547" t="s">
        <v>87</v>
      </c>
    </row>
    <row r="65" spans="5:8" s="551" customFormat="1" ht="11.25" hidden="1" customHeight="1" x14ac:dyDescent="0.2">
      <c r="E65" s="549" t="s">
        <v>84</v>
      </c>
      <c r="F65" s="550">
        <v>1800</v>
      </c>
      <c r="G65" s="550">
        <v>0</v>
      </c>
      <c r="H65" s="550">
        <f>F65*30*G65</f>
        <v>0</v>
      </c>
    </row>
    <row r="66" spans="5:8" s="551" customFormat="1" ht="12" hidden="1" x14ac:dyDescent="0.2">
      <c r="E66" s="549" t="s">
        <v>85</v>
      </c>
      <c r="F66" s="550">
        <v>1800</v>
      </c>
      <c r="G66" s="550">
        <v>0</v>
      </c>
      <c r="H66" s="550">
        <f t="shared" ref="H66" si="32">F66*30*G66</f>
        <v>0</v>
      </c>
    </row>
    <row r="67" spans="5:8" s="551" customFormat="1" ht="12" x14ac:dyDescent="0.2">
      <c r="E67" s="549" t="s">
        <v>86</v>
      </c>
      <c r="F67" s="550">
        <f>'Параметры проекта'!B25</f>
        <v>23000</v>
      </c>
      <c r="G67" s="550">
        <v>2</v>
      </c>
      <c r="H67" s="550">
        <f>F67*G67</f>
        <v>46000</v>
      </c>
    </row>
    <row r="68" spans="5:8" s="551" customFormat="1" ht="12" x14ac:dyDescent="0.2">
      <c r="E68" s="549"/>
      <c r="F68" s="550"/>
      <c r="H68" s="550">
        <f>SUM(H65:H67)</f>
        <v>46000</v>
      </c>
    </row>
    <row r="69" spans="5:8" s="551" customFormat="1" ht="12" x14ac:dyDescent="0.2">
      <c r="F69" s="550"/>
      <c r="G69" s="552" t="s">
        <v>90</v>
      </c>
      <c r="H69" s="551" t="s">
        <v>87</v>
      </c>
    </row>
    <row r="70" spans="5:8" s="551" customFormat="1" ht="12" x14ac:dyDescent="0.2">
      <c r="F70" s="550" t="s">
        <v>89</v>
      </c>
      <c r="G70" s="550">
        <v>12000</v>
      </c>
      <c r="H70" s="550">
        <f>G70*(G67+G66+G65)*30.2%</f>
        <v>7248</v>
      </c>
    </row>
    <row r="71" spans="5:8" s="551" customFormat="1" ht="12" x14ac:dyDescent="0.2">
      <c r="F71" s="550"/>
    </row>
    <row r="72" spans="5:8" s="551" customFormat="1" ht="12" x14ac:dyDescent="0.2">
      <c r="F72" s="550"/>
    </row>
    <row r="73" spans="5:8" s="551" customFormat="1" ht="12" x14ac:dyDescent="0.2">
      <c r="F73" s="550"/>
    </row>
    <row r="74" spans="5:8" s="551" customFormat="1" ht="12" x14ac:dyDescent="0.2">
      <c r="F74" s="550"/>
    </row>
    <row r="75" spans="5:8" s="551" customFormat="1" ht="12" x14ac:dyDescent="0.2">
      <c r="F75" s="550"/>
    </row>
    <row r="76" spans="5:8" s="551" customFormat="1" ht="12" x14ac:dyDescent="0.2">
      <c r="F76" s="550"/>
    </row>
    <row r="77" spans="5:8" s="551" customFormat="1" ht="12" x14ac:dyDescent="0.2">
      <c r="F77" s="550"/>
    </row>
    <row r="78" spans="5:8" s="551" customFormat="1" ht="12" x14ac:dyDescent="0.2">
      <c r="F78" s="550"/>
    </row>
    <row r="79" spans="5:8" s="551" customFormat="1" ht="12" x14ac:dyDescent="0.2">
      <c r="F79" s="550"/>
    </row>
    <row r="80" spans="5:8" s="551" customFormat="1" ht="12" x14ac:dyDescent="0.2">
      <c r="F80" s="550"/>
    </row>
    <row r="81" spans="6:6" s="551" customFormat="1" ht="12" x14ac:dyDescent="0.2">
      <c r="F81" s="550"/>
    </row>
    <row r="82" spans="6:6" s="551" customFormat="1" ht="12" x14ac:dyDescent="0.2">
      <c r="F82" s="550"/>
    </row>
    <row r="83" spans="6:6" s="551" customFormat="1" ht="12" x14ac:dyDescent="0.2">
      <c r="F83" s="550"/>
    </row>
    <row r="84" spans="6:6" s="551" customFormat="1" ht="12" x14ac:dyDescent="0.2">
      <c r="F84" s="550"/>
    </row>
    <row r="85" spans="6:6" s="551" customFormat="1" ht="12" x14ac:dyDescent="0.2">
      <c r="F85" s="550"/>
    </row>
    <row r="86" spans="6:6" s="551" customFormat="1" ht="12" x14ac:dyDescent="0.2">
      <c r="F86" s="550"/>
    </row>
    <row r="87" spans="6:6" s="551" customFormat="1" ht="12" x14ac:dyDescent="0.2">
      <c r="F87" s="550"/>
    </row>
    <row r="88" spans="6:6" s="551" customFormat="1" ht="12" x14ac:dyDescent="0.2">
      <c r="F88" s="550"/>
    </row>
    <row r="89" spans="6:6" s="551" customFormat="1" ht="12" x14ac:dyDescent="0.2">
      <c r="F89" s="550"/>
    </row>
    <row r="90" spans="6:6" s="551" customFormat="1" ht="12" x14ac:dyDescent="0.2">
      <c r="F90" s="550"/>
    </row>
    <row r="91" spans="6:6" s="551" customFormat="1" ht="12" x14ac:dyDescent="0.2">
      <c r="F91" s="550"/>
    </row>
    <row r="92" spans="6:6" s="551" customFormat="1" ht="12" x14ac:dyDescent="0.2">
      <c r="F92" s="550"/>
    </row>
    <row r="93" spans="6:6" s="551" customFormat="1" ht="12" x14ac:dyDescent="0.2">
      <c r="F93" s="550"/>
    </row>
    <row r="94" spans="6:6" s="551" customFormat="1" ht="12" x14ac:dyDescent="0.2">
      <c r="F94" s="550"/>
    </row>
    <row r="95" spans="6:6" s="551" customFormat="1" ht="12" x14ac:dyDescent="0.2">
      <c r="F95" s="550"/>
    </row>
    <row r="96" spans="6:6" s="551" customFormat="1" ht="12" x14ac:dyDescent="0.2">
      <c r="F96" s="550"/>
    </row>
    <row r="97" spans="6:6" s="551" customFormat="1" ht="12" x14ac:dyDescent="0.2">
      <c r="F97" s="550"/>
    </row>
    <row r="98" spans="6:6" s="551" customFormat="1" ht="12" x14ac:dyDescent="0.2">
      <c r="F98" s="550"/>
    </row>
    <row r="99" spans="6:6" s="551" customFormat="1" ht="12" x14ac:dyDescent="0.2">
      <c r="F99" s="550"/>
    </row>
    <row r="100" spans="6:6" s="551" customFormat="1" ht="12" x14ac:dyDescent="0.2">
      <c r="F100" s="550"/>
    </row>
    <row r="101" spans="6:6" s="551" customFormat="1" ht="12" x14ac:dyDescent="0.2">
      <c r="F101" s="550"/>
    </row>
    <row r="102" spans="6:6" s="551" customFormat="1" ht="12" x14ac:dyDescent="0.2">
      <c r="F102" s="550"/>
    </row>
    <row r="103" spans="6:6" s="551" customFormat="1" ht="12" x14ac:dyDescent="0.2">
      <c r="F103" s="550"/>
    </row>
    <row r="104" spans="6:6" s="551" customFormat="1" ht="12" x14ac:dyDescent="0.2">
      <c r="F104" s="550"/>
    </row>
    <row r="105" spans="6:6" s="551" customFormat="1" ht="12" x14ac:dyDescent="0.2">
      <c r="F105" s="550"/>
    </row>
    <row r="106" spans="6:6" s="551" customFormat="1" ht="12" x14ac:dyDescent="0.2">
      <c r="F106" s="550"/>
    </row>
    <row r="107" spans="6:6" s="551" customFormat="1" ht="12" x14ac:dyDescent="0.2">
      <c r="F107" s="550"/>
    </row>
    <row r="108" spans="6:6" s="551" customFormat="1" ht="12" x14ac:dyDescent="0.2">
      <c r="F108" s="550"/>
    </row>
    <row r="109" spans="6:6" s="551" customFormat="1" ht="12" x14ac:dyDescent="0.2">
      <c r="F109" s="550"/>
    </row>
    <row r="110" spans="6:6" s="551" customFormat="1" ht="12" x14ac:dyDescent="0.2">
      <c r="F110" s="550"/>
    </row>
    <row r="111" spans="6:6" s="551" customFormat="1" ht="12" x14ac:dyDescent="0.2">
      <c r="F111" s="550"/>
    </row>
    <row r="112" spans="6:6" s="551" customFormat="1" ht="12" x14ac:dyDescent="0.2">
      <c r="F112" s="550"/>
    </row>
    <row r="113" spans="6:6" s="551" customFormat="1" ht="12" x14ac:dyDescent="0.2">
      <c r="F113" s="550"/>
    </row>
    <row r="114" spans="6:6" s="551" customFormat="1" ht="12" x14ac:dyDescent="0.2">
      <c r="F114" s="550"/>
    </row>
    <row r="115" spans="6:6" s="551" customFormat="1" ht="12" x14ac:dyDescent="0.2">
      <c r="F115" s="550"/>
    </row>
    <row r="116" spans="6:6" s="551" customFormat="1" ht="12" x14ac:dyDescent="0.2">
      <c r="F116" s="550"/>
    </row>
    <row r="117" spans="6:6" s="551" customFormat="1" ht="12" x14ac:dyDescent="0.2">
      <c r="F117" s="550"/>
    </row>
    <row r="118" spans="6:6" s="551" customFormat="1" ht="12" x14ac:dyDescent="0.2">
      <c r="F118" s="550"/>
    </row>
    <row r="119" spans="6:6" s="551" customFormat="1" ht="12" x14ac:dyDescent="0.2">
      <c r="F119" s="550"/>
    </row>
    <row r="120" spans="6:6" s="551" customFormat="1" ht="12" x14ac:dyDescent="0.2">
      <c r="F120" s="550"/>
    </row>
    <row r="121" spans="6:6" s="551" customFormat="1" ht="12" x14ac:dyDescent="0.2">
      <c r="F121" s="550"/>
    </row>
    <row r="122" spans="6:6" s="551" customFormat="1" ht="12" x14ac:dyDescent="0.2">
      <c r="F122" s="550"/>
    </row>
    <row r="123" spans="6:6" s="551" customFormat="1" ht="12" x14ac:dyDescent="0.2">
      <c r="F123" s="550"/>
    </row>
    <row r="124" spans="6:6" s="551" customFormat="1" ht="12" x14ac:dyDescent="0.2">
      <c r="F124" s="550"/>
    </row>
    <row r="125" spans="6:6" s="551" customFormat="1" ht="12" x14ac:dyDescent="0.2">
      <c r="F125" s="550"/>
    </row>
    <row r="126" spans="6:6" s="551" customFormat="1" ht="12" x14ac:dyDescent="0.2">
      <c r="F126" s="550"/>
    </row>
    <row r="127" spans="6:6" s="551" customFormat="1" ht="12" x14ac:dyDescent="0.2">
      <c r="F127" s="550"/>
    </row>
    <row r="128" spans="6:6" s="551" customFormat="1" ht="12" x14ac:dyDescent="0.2">
      <c r="F128" s="550"/>
    </row>
    <row r="129" spans="6:6" s="551" customFormat="1" ht="12" x14ac:dyDescent="0.2">
      <c r="F129" s="550"/>
    </row>
    <row r="130" spans="6:6" s="551" customFormat="1" ht="12" x14ac:dyDescent="0.2">
      <c r="F130" s="550"/>
    </row>
    <row r="131" spans="6:6" s="551" customFormat="1" ht="12" x14ac:dyDescent="0.2">
      <c r="F131" s="550"/>
    </row>
    <row r="132" spans="6:6" s="551" customFormat="1" ht="12" x14ac:dyDescent="0.2">
      <c r="F132" s="550"/>
    </row>
    <row r="133" spans="6:6" s="551" customFormat="1" ht="12" x14ac:dyDescent="0.2">
      <c r="F133" s="550"/>
    </row>
    <row r="134" spans="6:6" s="551" customFormat="1" ht="12" x14ac:dyDescent="0.2">
      <c r="F134" s="550"/>
    </row>
    <row r="135" spans="6:6" s="551" customFormat="1" ht="12" x14ac:dyDescent="0.2">
      <c r="F135" s="550"/>
    </row>
    <row r="136" spans="6:6" s="551" customFormat="1" ht="12" x14ac:dyDescent="0.2">
      <c r="F136" s="550"/>
    </row>
    <row r="137" spans="6:6" s="551" customFormat="1" ht="12" x14ac:dyDescent="0.2">
      <c r="F137" s="550"/>
    </row>
    <row r="138" spans="6:6" s="551" customFormat="1" ht="12" x14ac:dyDescent="0.2">
      <c r="F138" s="550"/>
    </row>
    <row r="139" spans="6:6" s="551" customFormat="1" ht="12" x14ac:dyDescent="0.2">
      <c r="F139" s="550"/>
    </row>
    <row r="140" spans="6:6" s="551" customFormat="1" ht="12" x14ac:dyDescent="0.2">
      <c r="F140" s="550"/>
    </row>
    <row r="141" spans="6:6" s="551" customFormat="1" ht="12" x14ac:dyDescent="0.2">
      <c r="F141" s="550"/>
    </row>
    <row r="142" spans="6:6" s="551" customFormat="1" ht="12" x14ac:dyDescent="0.2">
      <c r="F142" s="550"/>
    </row>
    <row r="143" spans="6:6" s="551" customFormat="1" ht="12" x14ac:dyDescent="0.2">
      <c r="F143" s="550"/>
    </row>
    <row r="144" spans="6:6" s="551" customFormat="1" ht="12" x14ac:dyDescent="0.2">
      <c r="F144" s="550"/>
    </row>
    <row r="145" spans="6:6" s="551" customFormat="1" ht="12" x14ac:dyDescent="0.2">
      <c r="F145" s="550"/>
    </row>
    <row r="146" spans="6:6" s="551" customFormat="1" ht="12" x14ac:dyDescent="0.2">
      <c r="F146" s="550"/>
    </row>
    <row r="147" spans="6:6" s="551" customFormat="1" ht="12" x14ac:dyDescent="0.2">
      <c r="F147" s="550"/>
    </row>
    <row r="148" spans="6:6" s="551" customFormat="1" ht="12" x14ac:dyDescent="0.2">
      <c r="F148" s="550"/>
    </row>
    <row r="149" spans="6:6" s="551" customFormat="1" ht="12" x14ac:dyDescent="0.2">
      <c r="F149" s="550"/>
    </row>
    <row r="150" spans="6:6" s="551" customFormat="1" ht="12" x14ac:dyDescent="0.2">
      <c r="F150" s="550"/>
    </row>
    <row r="151" spans="6:6" s="551" customFormat="1" ht="12" x14ac:dyDescent="0.2">
      <c r="F151" s="550"/>
    </row>
    <row r="152" spans="6:6" s="551" customFormat="1" ht="12" x14ac:dyDescent="0.2">
      <c r="F152" s="550"/>
    </row>
    <row r="153" spans="6:6" s="551" customFormat="1" ht="12" x14ac:dyDescent="0.2">
      <c r="F153" s="550"/>
    </row>
    <row r="154" spans="6:6" s="551" customFormat="1" ht="12" x14ac:dyDescent="0.2">
      <c r="F154" s="550"/>
    </row>
    <row r="155" spans="6:6" s="551" customFormat="1" ht="12" x14ac:dyDescent="0.2">
      <c r="F155" s="550"/>
    </row>
    <row r="156" spans="6:6" s="551" customFormat="1" ht="12" x14ac:dyDescent="0.2">
      <c r="F156" s="550"/>
    </row>
    <row r="157" spans="6:6" s="551" customFormat="1" ht="12" x14ac:dyDescent="0.2">
      <c r="F157" s="550"/>
    </row>
    <row r="158" spans="6:6" s="551" customFormat="1" ht="12" x14ac:dyDescent="0.2">
      <c r="F158" s="550"/>
    </row>
    <row r="159" spans="6:6" s="551" customFormat="1" ht="12" x14ac:dyDescent="0.2">
      <c r="F159" s="550"/>
    </row>
    <row r="160" spans="6:6" s="551" customFormat="1" ht="12" x14ac:dyDescent="0.2">
      <c r="F160" s="550"/>
    </row>
    <row r="161" spans="6:6" s="551" customFormat="1" ht="12" x14ac:dyDescent="0.2">
      <c r="F161" s="550"/>
    </row>
    <row r="162" spans="6:6" s="551" customFormat="1" ht="12" x14ac:dyDescent="0.2">
      <c r="F162" s="550"/>
    </row>
    <row r="163" spans="6:6" s="551" customFormat="1" ht="12" x14ac:dyDescent="0.2">
      <c r="F163" s="550"/>
    </row>
    <row r="164" spans="6:6" s="551" customFormat="1" ht="12" x14ac:dyDescent="0.2">
      <c r="F164" s="550"/>
    </row>
    <row r="165" spans="6:6" s="551" customFormat="1" ht="12" x14ac:dyDescent="0.2">
      <c r="F165" s="550"/>
    </row>
    <row r="166" spans="6:6" s="551" customFormat="1" ht="12" x14ac:dyDescent="0.2">
      <c r="F166" s="550"/>
    </row>
    <row r="167" spans="6:6" s="551" customFormat="1" ht="12" x14ac:dyDescent="0.2">
      <c r="F167" s="550"/>
    </row>
    <row r="168" spans="6:6" s="551" customFormat="1" ht="12" x14ac:dyDescent="0.2">
      <c r="F168" s="550"/>
    </row>
    <row r="169" spans="6:6" s="551" customFormat="1" ht="12" x14ac:dyDescent="0.2">
      <c r="F169" s="550"/>
    </row>
    <row r="170" spans="6:6" s="551" customFormat="1" ht="12" x14ac:dyDescent="0.2">
      <c r="F170" s="550"/>
    </row>
    <row r="171" spans="6:6" s="551" customFormat="1" ht="12" x14ac:dyDescent="0.2">
      <c r="F171" s="550"/>
    </row>
    <row r="172" spans="6:6" s="551" customFormat="1" ht="12" x14ac:dyDescent="0.2">
      <c r="F172" s="550"/>
    </row>
    <row r="173" spans="6:6" s="551" customFormat="1" ht="12" x14ac:dyDescent="0.2"/>
    <row r="174" spans="6:6" s="551" customFormat="1" ht="12" x14ac:dyDescent="0.2"/>
    <row r="175" spans="6:6" s="551" customFormat="1" ht="12" x14ac:dyDescent="0.2"/>
    <row r="176" spans="6:6" s="551" customFormat="1" ht="12" x14ac:dyDescent="0.2"/>
    <row r="177" s="551" customFormat="1" ht="12" x14ac:dyDescent="0.2"/>
    <row r="178" s="551" customFormat="1" ht="12" x14ac:dyDescent="0.2"/>
    <row r="179" s="551" customFormat="1" ht="12" x14ac:dyDescent="0.2"/>
    <row r="180" s="551" customFormat="1" ht="12" x14ac:dyDescent="0.2"/>
    <row r="181" s="551" customFormat="1" ht="12" x14ac:dyDescent="0.2"/>
    <row r="182" s="551" customFormat="1" ht="12" x14ac:dyDescent="0.2"/>
  </sheetData>
  <sheetProtection password="CC5E" sheet="1" objects="1" scenarios="1" selectLockedCells="1" selectUnlockedCells="1"/>
  <mergeCells count="1">
    <mergeCell ref="A1:E1"/>
  </mergeCells>
  <conditionalFormatting sqref="E61:AI61">
    <cfRule type="cellIs" dxfId="0" priority="1" operator="greaterThan">
      <formula>0</formula>
    </cfRule>
  </conditionalFormatting>
  <pageMargins left="0.15748031496062992" right="0.15748031496062992" top="0.21" bottom="0.31" header="0.2" footer="0.23"/>
  <pageSetup paperSize="9" scale="30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"/>
  <sheetViews>
    <sheetView workbookViewId="0">
      <selection sqref="A1:XFD1048576"/>
    </sheetView>
  </sheetViews>
  <sheetFormatPr defaultRowHeight="12.75" x14ac:dyDescent="0.2"/>
  <cols>
    <col min="1" max="1" width="39.7109375" style="151" customWidth="1"/>
    <col min="2" max="2" width="9.28515625" style="151" customWidth="1"/>
    <col min="3" max="3" width="9.85546875" style="151" customWidth="1"/>
    <col min="4" max="5" width="9.140625" style="151"/>
    <col min="6" max="6" width="9.140625" style="151" customWidth="1"/>
    <col min="7" max="34" width="9.140625" style="151" hidden="1" customWidth="1"/>
    <col min="35" max="16384" width="9.140625" style="151"/>
  </cols>
  <sheetData>
    <row r="1" spans="1:37" ht="45" customHeight="1" x14ac:dyDescent="0.25">
      <c r="A1" s="493" t="str">
        <f>цех!B78</f>
        <v>График инвестиций мес</v>
      </c>
      <c r="B1" s="493">
        <v>-2</v>
      </c>
      <c r="C1" s="493">
        <v>-1</v>
      </c>
      <c r="D1" s="494">
        <f>цех!E78</f>
        <v>1</v>
      </c>
      <c r="E1" s="494">
        <f>цех!F78</f>
        <v>2</v>
      </c>
      <c r="F1" s="494">
        <f>цех!G78</f>
        <v>3</v>
      </c>
      <c r="G1" s="494">
        <f>цех!H78</f>
        <v>4</v>
      </c>
      <c r="H1" s="494">
        <f>цех!I78</f>
        <v>5</v>
      </c>
      <c r="I1" s="494">
        <f>цех!J78</f>
        <v>6</v>
      </c>
      <c r="J1" s="494">
        <f>цех!K78</f>
        <v>7</v>
      </c>
      <c r="K1" s="494">
        <f>цех!L78</f>
        <v>8</v>
      </c>
      <c r="L1" s="494">
        <f>цех!M78</f>
        <v>9</v>
      </c>
      <c r="M1" s="494">
        <f>цех!N78</f>
        <v>10</v>
      </c>
      <c r="N1" s="494">
        <f>цех!O78</f>
        <v>11</v>
      </c>
      <c r="O1" s="494">
        <f>цех!P78</f>
        <v>12</v>
      </c>
      <c r="P1" s="494">
        <f>цех!Q78</f>
        <v>13</v>
      </c>
      <c r="Q1" s="494">
        <f>цех!R78</f>
        <v>14</v>
      </c>
      <c r="R1" s="494">
        <f>цех!S78</f>
        <v>15</v>
      </c>
      <c r="S1" s="494">
        <f>цех!T78</f>
        <v>16</v>
      </c>
      <c r="T1" s="494">
        <f>цех!U78</f>
        <v>17</v>
      </c>
      <c r="U1" s="494">
        <f>цех!V78</f>
        <v>18</v>
      </c>
      <c r="V1" s="494">
        <f>цех!W78</f>
        <v>19</v>
      </c>
      <c r="W1" s="494">
        <f>цех!X78</f>
        <v>20</v>
      </c>
      <c r="X1" s="494">
        <f>цех!Y78</f>
        <v>21</v>
      </c>
      <c r="Y1" s="494">
        <f>цех!Z78</f>
        <v>22</v>
      </c>
      <c r="Z1" s="494">
        <f>цех!AA78</f>
        <v>23</v>
      </c>
      <c r="AA1" s="494">
        <f>цех!AB78</f>
        <v>24</v>
      </c>
      <c r="AB1" s="494">
        <f>цех!AC78</f>
        <v>25</v>
      </c>
      <c r="AC1" s="494">
        <f>цех!AD78</f>
        <v>26</v>
      </c>
      <c r="AD1" s="494">
        <f>цех!AE78</f>
        <v>27</v>
      </c>
      <c r="AE1" s="494">
        <f>цех!AF78</f>
        <v>28</v>
      </c>
      <c r="AF1" s="494">
        <f>цех!AG78</f>
        <v>29</v>
      </c>
      <c r="AG1" s="494">
        <f>цех!AH78</f>
        <v>30</v>
      </c>
      <c r="AH1" s="494">
        <f>цех!AI78</f>
        <v>31</v>
      </c>
      <c r="AI1" s="494"/>
      <c r="AJ1" s="494"/>
      <c r="AK1" s="494"/>
    </row>
    <row r="2" spans="1:37" x14ac:dyDescent="0.2">
      <c r="A2" s="495" t="str">
        <f>цех!B79</f>
        <v>Инвестиции цех и точка продаж</v>
      </c>
      <c r="B2" s="496">
        <f>цех!C79</f>
        <v>2300000</v>
      </c>
      <c r="C2" s="496">
        <f>цех!D79</f>
        <v>1150000</v>
      </c>
      <c r="D2" s="496">
        <f>цех!E79</f>
        <v>1150000</v>
      </c>
      <c r="E2" s="496">
        <f>цех!F79</f>
        <v>0</v>
      </c>
      <c r="F2" s="496">
        <f>цех!G79</f>
        <v>0</v>
      </c>
      <c r="G2" s="496">
        <f>цех!H79</f>
        <v>0</v>
      </c>
      <c r="H2" s="496">
        <f>цех!I79</f>
        <v>0</v>
      </c>
      <c r="I2" s="496">
        <f>цех!J79</f>
        <v>0</v>
      </c>
      <c r="J2" s="496">
        <f>цех!K79</f>
        <v>0</v>
      </c>
      <c r="K2" s="496">
        <f>цех!L79</f>
        <v>0</v>
      </c>
      <c r="L2" s="496">
        <f>цех!M79</f>
        <v>0</v>
      </c>
      <c r="M2" s="496">
        <f>цех!N79</f>
        <v>0</v>
      </c>
      <c r="N2" s="496">
        <f>цех!O79</f>
        <v>0</v>
      </c>
      <c r="O2" s="496">
        <f>цех!P79</f>
        <v>0</v>
      </c>
      <c r="P2" s="496">
        <f>цех!Q79</f>
        <v>0</v>
      </c>
      <c r="Q2" s="496">
        <f>цех!R79</f>
        <v>0</v>
      </c>
      <c r="R2" s="496">
        <f>цех!S79</f>
        <v>0</v>
      </c>
      <c r="S2" s="496">
        <f>цех!T79</f>
        <v>0</v>
      </c>
      <c r="T2" s="496">
        <f>цех!U79</f>
        <v>0</v>
      </c>
      <c r="U2" s="496">
        <f>цех!V79</f>
        <v>0</v>
      </c>
      <c r="V2" s="496">
        <f>цех!W79</f>
        <v>0</v>
      </c>
      <c r="W2" s="496">
        <f>цех!X79</f>
        <v>0</v>
      </c>
      <c r="X2" s="496">
        <f>цех!Y79</f>
        <v>0</v>
      </c>
      <c r="Y2" s="496">
        <f>цех!Z79</f>
        <v>0</v>
      </c>
      <c r="Z2" s="496">
        <f>цех!AA79</f>
        <v>0</v>
      </c>
      <c r="AA2" s="496">
        <f>цех!AB79</f>
        <v>0</v>
      </c>
      <c r="AB2" s="496">
        <f>цех!AC79</f>
        <v>0</v>
      </c>
      <c r="AC2" s="496">
        <f>цех!AD79</f>
        <v>0</v>
      </c>
      <c r="AD2" s="496">
        <f>цех!AE79</f>
        <v>0</v>
      </c>
      <c r="AE2" s="496">
        <f>цех!AF79</f>
        <v>0</v>
      </c>
      <c r="AF2" s="496">
        <f>цех!AG79</f>
        <v>0</v>
      </c>
      <c r="AG2" s="496">
        <f>цех!AH79</f>
        <v>0</v>
      </c>
      <c r="AH2" s="496">
        <f>цех!AI79</f>
        <v>0</v>
      </c>
      <c r="AI2" s="494"/>
      <c r="AJ2" s="494"/>
      <c r="AK2" s="494"/>
    </row>
    <row r="3" spans="1:37" x14ac:dyDescent="0.2">
      <c r="A3" s="495" t="str">
        <f>цех!B80</f>
        <v>Ларек 1</v>
      </c>
      <c r="B3" s="495"/>
      <c r="C3" s="495"/>
      <c r="D3" s="496">
        <f>цех!E80</f>
        <v>850000</v>
      </c>
      <c r="E3" s="496">
        <f>цех!F80</f>
        <v>0</v>
      </c>
      <c r="F3" s="496">
        <f>цех!G80</f>
        <v>0</v>
      </c>
      <c r="G3" s="496">
        <f>цех!H80</f>
        <v>0</v>
      </c>
      <c r="H3" s="496">
        <f>цех!I80</f>
        <v>0</v>
      </c>
      <c r="I3" s="496">
        <f>цех!J80</f>
        <v>0</v>
      </c>
      <c r="J3" s="496">
        <f>цех!K80</f>
        <v>0</v>
      </c>
      <c r="K3" s="496">
        <f>цех!L80</f>
        <v>0</v>
      </c>
      <c r="L3" s="496">
        <f>цех!M80</f>
        <v>0</v>
      </c>
      <c r="M3" s="496">
        <f>цех!N80</f>
        <v>0</v>
      </c>
      <c r="N3" s="496">
        <f>цех!O80</f>
        <v>0</v>
      </c>
      <c r="O3" s="496">
        <f>цех!P80</f>
        <v>0</v>
      </c>
      <c r="P3" s="496">
        <f>цех!Q80</f>
        <v>0</v>
      </c>
      <c r="Q3" s="496">
        <f>цех!R80</f>
        <v>0</v>
      </c>
      <c r="R3" s="496">
        <f>цех!S80</f>
        <v>0</v>
      </c>
      <c r="S3" s="496">
        <f>цех!T80</f>
        <v>0</v>
      </c>
      <c r="T3" s="496">
        <f>цех!U80</f>
        <v>0</v>
      </c>
      <c r="U3" s="496">
        <f>цех!V80</f>
        <v>0</v>
      </c>
      <c r="V3" s="496">
        <f>цех!W80</f>
        <v>0</v>
      </c>
      <c r="W3" s="496">
        <f>цех!X80</f>
        <v>0</v>
      </c>
      <c r="X3" s="496">
        <f>цех!Y80</f>
        <v>0</v>
      </c>
      <c r="Y3" s="496">
        <f>цех!Z80</f>
        <v>0</v>
      </c>
      <c r="Z3" s="496">
        <f>цех!AA80</f>
        <v>0</v>
      </c>
      <c r="AA3" s="496">
        <f>цех!AB80</f>
        <v>0</v>
      </c>
      <c r="AB3" s="496">
        <f>цех!AC80</f>
        <v>0</v>
      </c>
      <c r="AC3" s="496">
        <f>цех!AD80</f>
        <v>0</v>
      </c>
      <c r="AD3" s="496">
        <f>цех!AE80</f>
        <v>0</v>
      </c>
      <c r="AE3" s="496">
        <f>цех!AF80</f>
        <v>0</v>
      </c>
      <c r="AF3" s="496">
        <f>цех!AG80</f>
        <v>0</v>
      </c>
      <c r="AG3" s="496">
        <f>цех!AH80</f>
        <v>0</v>
      </c>
      <c r="AH3" s="496">
        <f>цех!AI80</f>
        <v>0</v>
      </c>
      <c r="AI3" s="494"/>
      <c r="AJ3" s="494"/>
      <c r="AK3" s="494"/>
    </row>
    <row r="4" spans="1:37" x14ac:dyDescent="0.2">
      <c r="A4" s="495" t="str">
        <f>цех!B81</f>
        <v>Ларек 2</v>
      </c>
      <c r="B4" s="495"/>
      <c r="C4" s="495"/>
      <c r="D4" s="496">
        <f>цех!E81</f>
        <v>0</v>
      </c>
      <c r="E4" s="496">
        <f>цех!F81</f>
        <v>850000</v>
      </c>
      <c r="F4" s="496">
        <f>цех!G81</f>
        <v>0</v>
      </c>
      <c r="G4" s="496">
        <f>цех!H81</f>
        <v>0</v>
      </c>
      <c r="H4" s="496">
        <f>цех!I81</f>
        <v>0</v>
      </c>
      <c r="I4" s="496">
        <f>цех!J81</f>
        <v>0</v>
      </c>
      <c r="J4" s="496">
        <f>цех!K81</f>
        <v>0</v>
      </c>
      <c r="K4" s="496">
        <f>цех!L81</f>
        <v>0</v>
      </c>
      <c r="L4" s="496">
        <f>цех!M81</f>
        <v>0</v>
      </c>
      <c r="M4" s="496">
        <f>цех!N81</f>
        <v>0</v>
      </c>
      <c r="N4" s="496">
        <f>цех!O81</f>
        <v>0</v>
      </c>
      <c r="O4" s="496">
        <f>цех!P81</f>
        <v>0</v>
      </c>
      <c r="P4" s="496">
        <f>цех!Q81</f>
        <v>0</v>
      </c>
      <c r="Q4" s="496">
        <f>цех!R81</f>
        <v>0</v>
      </c>
      <c r="R4" s="496">
        <f>цех!S81</f>
        <v>0</v>
      </c>
      <c r="S4" s="496">
        <f>цех!T81</f>
        <v>0</v>
      </c>
      <c r="T4" s="496">
        <f>цех!U81</f>
        <v>0</v>
      </c>
      <c r="U4" s="496">
        <f>цех!V81</f>
        <v>0</v>
      </c>
      <c r="V4" s="496">
        <f>цех!W81</f>
        <v>0</v>
      </c>
      <c r="W4" s="496">
        <f>цех!X81</f>
        <v>0</v>
      </c>
      <c r="X4" s="496">
        <f>цех!Y81</f>
        <v>0</v>
      </c>
      <c r="Y4" s="496">
        <f>цех!Z81</f>
        <v>0</v>
      </c>
      <c r="Z4" s="496">
        <f>цех!AA81</f>
        <v>0</v>
      </c>
      <c r="AA4" s="496">
        <f>цех!AB81</f>
        <v>0</v>
      </c>
      <c r="AB4" s="496">
        <f>цех!AC81</f>
        <v>0</v>
      </c>
      <c r="AC4" s="496">
        <f>цех!AD81</f>
        <v>0</v>
      </c>
      <c r="AD4" s="496">
        <f>цех!AE81</f>
        <v>0</v>
      </c>
      <c r="AE4" s="496">
        <f>цех!AF81</f>
        <v>0</v>
      </c>
      <c r="AF4" s="496">
        <f>цех!AG81</f>
        <v>0</v>
      </c>
      <c r="AG4" s="496">
        <f>цех!AH81</f>
        <v>0</v>
      </c>
      <c r="AH4" s="496">
        <f>цех!AI81</f>
        <v>0</v>
      </c>
      <c r="AI4" s="494"/>
      <c r="AJ4" s="494"/>
      <c r="AK4" s="494"/>
    </row>
    <row r="5" spans="1:37" x14ac:dyDescent="0.2">
      <c r="A5" s="495" t="str">
        <f>цех!B82</f>
        <v>Ларек 3</v>
      </c>
      <c r="B5" s="495"/>
      <c r="C5" s="495"/>
      <c r="D5" s="496">
        <f>цех!E82</f>
        <v>0</v>
      </c>
      <c r="E5" s="496">
        <f>цех!F82</f>
        <v>0</v>
      </c>
      <c r="F5" s="496">
        <f>цех!G82</f>
        <v>850000</v>
      </c>
      <c r="G5" s="496">
        <f>цех!H82</f>
        <v>0</v>
      </c>
      <c r="H5" s="496">
        <f>цех!I82</f>
        <v>0</v>
      </c>
      <c r="I5" s="496">
        <f>цех!J82</f>
        <v>0</v>
      </c>
      <c r="J5" s="496">
        <f>цех!K82</f>
        <v>0</v>
      </c>
      <c r="K5" s="496">
        <f>цех!L82</f>
        <v>0</v>
      </c>
      <c r="L5" s="496">
        <f>цех!M82</f>
        <v>0</v>
      </c>
      <c r="M5" s="496">
        <f>цех!N82</f>
        <v>0</v>
      </c>
      <c r="N5" s="496">
        <f>цех!O82</f>
        <v>0</v>
      </c>
      <c r="O5" s="496">
        <f>цех!P82</f>
        <v>0</v>
      </c>
      <c r="P5" s="496">
        <f>цех!Q82</f>
        <v>0</v>
      </c>
      <c r="Q5" s="496">
        <f>цех!R82</f>
        <v>0</v>
      </c>
      <c r="R5" s="496">
        <f>цех!S82</f>
        <v>0</v>
      </c>
      <c r="S5" s="496">
        <f>цех!T82</f>
        <v>0</v>
      </c>
      <c r="T5" s="496">
        <f>цех!U82</f>
        <v>0</v>
      </c>
      <c r="U5" s="496">
        <f>цех!V82</f>
        <v>0</v>
      </c>
      <c r="V5" s="496">
        <f>цех!W82</f>
        <v>0</v>
      </c>
      <c r="W5" s="496">
        <f>цех!X82</f>
        <v>0</v>
      </c>
      <c r="X5" s="496">
        <f>цех!Y82</f>
        <v>0</v>
      </c>
      <c r="Y5" s="496">
        <f>цех!Z82</f>
        <v>0</v>
      </c>
      <c r="Z5" s="496">
        <f>цех!AA82</f>
        <v>0</v>
      </c>
      <c r="AA5" s="496">
        <f>цех!AB82</f>
        <v>0</v>
      </c>
      <c r="AB5" s="496">
        <f>цех!AC82</f>
        <v>0</v>
      </c>
      <c r="AC5" s="496">
        <f>цех!AD82</f>
        <v>0</v>
      </c>
      <c r="AD5" s="496">
        <f>цех!AE82</f>
        <v>0</v>
      </c>
      <c r="AE5" s="496">
        <f>цех!AF82</f>
        <v>0</v>
      </c>
      <c r="AF5" s="496">
        <f>цех!AG82</f>
        <v>0</v>
      </c>
      <c r="AG5" s="496">
        <f>цех!AH82</f>
        <v>0</v>
      </c>
      <c r="AH5" s="496">
        <f>цех!AI82</f>
        <v>0</v>
      </c>
      <c r="AI5" s="494"/>
      <c r="AJ5" s="494"/>
      <c r="AK5" s="494"/>
    </row>
    <row r="6" spans="1:37" hidden="1" x14ac:dyDescent="0.2">
      <c r="A6" s="495" t="str">
        <f>цех!B83</f>
        <v>Ларек 4</v>
      </c>
      <c r="B6" s="495"/>
      <c r="C6" s="495"/>
      <c r="D6" s="496">
        <f>цех!E83</f>
        <v>0</v>
      </c>
      <c r="E6" s="496">
        <f>цех!F83</f>
        <v>0</v>
      </c>
      <c r="F6" s="496">
        <f>цех!G83</f>
        <v>0</v>
      </c>
      <c r="G6" s="496">
        <f>цех!H83</f>
        <v>0</v>
      </c>
      <c r="H6" s="496">
        <f>цех!I83</f>
        <v>0</v>
      </c>
      <c r="I6" s="496">
        <f>цех!J83</f>
        <v>0</v>
      </c>
      <c r="J6" s="496">
        <f>цех!K83</f>
        <v>0</v>
      </c>
      <c r="K6" s="496">
        <f>цех!L83</f>
        <v>0</v>
      </c>
      <c r="L6" s="496">
        <f>цех!M83</f>
        <v>0</v>
      </c>
      <c r="M6" s="496">
        <f>цех!N83</f>
        <v>0</v>
      </c>
      <c r="N6" s="496">
        <f>цех!O83</f>
        <v>0</v>
      </c>
      <c r="O6" s="496">
        <f>цех!P83</f>
        <v>0</v>
      </c>
      <c r="P6" s="496">
        <f>цех!Q83</f>
        <v>0</v>
      </c>
      <c r="Q6" s="496">
        <f>цех!R83</f>
        <v>0</v>
      </c>
      <c r="R6" s="496">
        <f>цех!S83</f>
        <v>0</v>
      </c>
      <c r="S6" s="496">
        <f>цех!T83</f>
        <v>0</v>
      </c>
      <c r="T6" s="496">
        <f>цех!U83</f>
        <v>0</v>
      </c>
      <c r="U6" s="496">
        <f>цех!V83</f>
        <v>0</v>
      </c>
      <c r="V6" s="496">
        <f>цех!W83</f>
        <v>0</v>
      </c>
      <c r="W6" s="496">
        <f>цех!X83</f>
        <v>0</v>
      </c>
      <c r="X6" s="496">
        <f>цех!Y83</f>
        <v>0</v>
      </c>
      <c r="Y6" s="496">
        <f>цех!Z83</f>
        <v>0</v>
      </c>
      <c r="Z6" s="496">
        <f>цех!AA83</f>
        <v>0</v>
      </c>
      <c r="AA6" s="496">
        <f>цех!AB83</f>
        <v>0</v>
      </c>
      <c r="AB6" s="496">
        <f>цех!AC83</f>
        <v>0</v>
      </c>
      <c r="AC6" s="496">
        <f>цех!AD83</f>
        <v>0</v>
      </c>
      <c r="AD6" s="496">
        <f>цех!AE83</f>
        <v>0</v>
      </c>
      <c r="AE6" s="496">
        <f>цех!AF83</f>
        <v>0</v>
      </c>
      <c r="AF6" s="496">
        <f>цех!AG83</f>
        <v>0</v>
      </c>
      <c r="AG6" s="496">
        <f>цех!AH83</f>
        <v>0</v>
      </c>
      <c r="AH6" s="496">
        <f>цех!AI83</f>
        <v>0</v>
      </c>
      <c r="AI6" s="494"/>
      <c r="AJ6" s="494"/>
      <c r="AK6" s="494"/>
    </row>
    <row r="7" spans="1:37" hidden="1" x14ac:dyDescent="0.2">
      <c r="A7" s="495">
        <f>цех!B84</f>
        <v>0</v>
      </c>
      <c r="B7" s="495"/>
      <c r="C7" s="495"/>
      <c r="D7" s="496">
        <f>цех!E84</f>
        <v>0</v>
      </c>
      <c r="E7" s="496">
        <f>цех!F84</f>
        <v>0</v>
      </c>
      <c r="F7" s="496">
        <f>цех!G84</f>
        <v>0</v>
      </c>
      <c r="G7" s="496">
        <f>цех!H84</f>
        <v>0</v>
      </c>
      <c r="H7" s="496">
        <f>цех!I84</f>
        <v>0</v>
      </c>
      <c r="I7" s="496">
        <f>цех!J84</f>
        <v>0</v>
      </c>
      <c r="J7" s="496">
        <f>цех!K84</f>
        <v>0</v>
      </c>
      <c r="K7" s="496">
        <f>цех!L84</f>
        <v>0</v>
      </c>
      <c r="L7" s="496">
        <f>цех!M84</f>
        <v>0</v>
      </c>
      <c r="M7" s="496">
        <f>цех!N84</f>
        <v>0</v>
      </c>
      <c r="N7" s="496">
        <f>цех!O84</f>
        <v>0</v>
      </c>
      <c r="O7" s="496">
        <f>цех!P84</f>
        <v>0</v>
      </c>
      <c r="P7" s="496">
        <f>цех!Q84</f>
        <v>0</v>
      </c>
      <c r="Q7" s="496">
        <f>цех!R84</f>
        <v>0</v>
      </c>
      <c r="R7" s="496">
        <f>цех!S84</f>
        <v>0</v>
      </c>
      <c r="S7" s="496">
        <f>цех!T84</f>
        <v>0</v>
      </c>
      <c r="T7" s="496">
        <f>цех!U84</f>
        <v>0</v>
      </c>
      <c r="U7" s="496">
        <f>цех!V84</f>
        <v>0</v>
      </c>
      <c r="V7" s="496">
        <f>цех!W84</f>
        <v>0</v>
      </c>
      <c r="W7" s="496">
        <f>цех!X84</f>
        <v>0</v>
      </c>
      <c r="X7" s="496">
        <f>цех!Y84</f>
        <v>0</v>
      </c>
      <c r="Y7" s="496">
        <f>цех!Z84</f>
        <v>0</v>
      </c>
      <c r="Z7" s="496">
        <f>цех!AA84</f>
        <v>0</v>
      </c>
      <c r="AA7" s="496">
        <f>цех!AB84</f>
        <v>0</v>
      </c>
      <c r="AB7" s="496">
        <f>цех!AC84</f>
        <v>0</v>
      </c>
      <c r="AC7" s="496">
        <f>цех!AD84</f>
        <v>0</v>
      </c>
      <c r="AD7" s="496">
        <f>цех!AE84</f>
        <v>0</v>
      </c>
      <c r="AE7" s="496">
        <f>цех!AF84</f>
        <v>0</v>
      </c>
      <c r="AF7" s="496">
        <f>цех!AG84</f>
        <v>0</v>
      </c>
      <c r="AG7" s="496">
        <f>цех!AH84</f>
        <v>0</v>
      </c>
      <c r="AH7" s="496">
        <f>цех!AI84</f>
        <v>0</v>
      </c>
      <c r="AI7" s="494"/>
      <c r="AJ7" s="494"/>
      <c r="AK7" s="494"/>
    </row>
    <row r="8" spans="1:37" x14ac:dyDescent="0.2">
      <c r="A8" s="495" t="str">
        <f>цех!B85</f>
        <v>Стартап</v>
      </c>
      <c r="B8" s="497">
        <f>цех!C85</f>
        <v>0</v>
      </c>
      <c r="C8" s="495"/>
      <c r="D8" s="496">
        <f>цех!E85</f>
        <v>0</v>
      </c>
      <c r="E8" s="496">
        <f>цех!F85</f>
        <v>0</v>
      </c>
      <c r="F8" s="496">
        <f>цех!G85</f>
        <v>0</v>
      </c>
      <c r="G8" s="496">
        <f>цех!H85</f>
        <v>0</v>
      </c>
      <c r="H8" s="496">
        <f>цех!I85</f>
        <v>0</v>
      </c>
      <c r="I8" s="496">
        <f>цех!J85</f>
        <v>0</v>
      </c>
      <c r="J8" s="496">
        <f>цех!K85</f>
        <v>0</v>
      </c>
      <c r="K8" s="496">
        <f>цех!L85</f>
        <v>0</v>
      </c>
      <c r="L8" s="496">
        <f>цех!M85</f>
        <v>0</v>
      </c>
      <c r="M8" s="496">
        <f>цех!N85</f>
        <v>0</v>
      </c>
      <c r="N8" s="496">
        <f>цех!O85</f>
        <v>0</v>
      </c>
      <c r="O8" s="496">
        <f>цех!P85</f>
        <v>0</v>
      </c>
      <c r="P8" s="496">
        <f>цех!Q85</f>
        <v>0</v>
      </c>
      <c r="Q8" s="496">
        <f>цех!R85</f>
        <v>0</v>
      </c>
      <c r="R8" s="496">
        <f>цех!S85</f>
        <v>0</v>
      </c>
      <c r="S8" s="496">
        <f>цех!T85</f>
        <v>0</v>
      </c>
      <c r="T8" s="496">
        <f>цех!U85</f>
        <v>0</v>
      </c>
      <c r="U8" s="496">
        <f>цех!V85</f>
        <v>0</v>
      </c>
      <c r="V8" s="496">
        <f>цех!W85</f>
        <v>0</v>
      </c>
      <c r="W8" s="496">
        <f>цех!X85</f>
        <v>0</v>
      </c>
      <c r="X8" s="496">
        <f>цех!Y85</f>
        <v>0</v>
      </c>
      <c r="Y8" s="496">
        <f>цех!Z85</f>
        <v>0</v>
      </c>
      <c r="Z8" s="496">
        <f>цех!AA85</f>
        <v>0</v>
      </c>
      <c r="AA8" s="496">
        <f>цех!AB85</f>
        <v>0</v>
      </c>
      <c r="AB8" s="496">
        <f>цех!AC85</f>
        <v>0</v>
      </c>
      <c r="AC8" s="496">
        <f>цех!AD85</f>
        <v>0</v>
      </c>
      <c r="AD8" s="496">
        <f>цех!AE85</f>
        <v>0</v>
      </c>
      <c r="AE8" s="496">
        <f>цех!AF85</f>
        <v>0</v>
      </c>
      <c r="AF8" s="496">
        <f>цех!AG85</f>
        <v>0</v>
      </c>
      <c r="AG8" s="496">
        <f>цех!AH85</f>
        <v>0</v>
      </c>
      <c r="AH8" s="496">
        <f>цех!AI85</f>
        <v>0</v>
      </c>
      <c r="AI8" s="494"/>
      <c r="AJ8" s="494"/>
      <c r="AK8" s="494"/>
    </row>
    <row r="9" spans="1:37" x14ac:dyDescent="0.2">
      <c r="A9" s="495" t="str">
        <f>цех!B86</f>
        <v>Орг. Техника</v>
      </c>
      <c r="B9" s="495"/>
      <c r="C9" s="495"/>
      <c r="D9" s="496">
        <f>цех!E86</f>
        <v>0</v>
      </c>
      <c r="E9" s="496">
        <f>цех!F86</f>
        <v>0</v>
      </c>
      <c r="F9" s="496">
        <f>цех!G86</f>
        <v>0</v>
      </c>
      <c r="G9" s="496">
        <f>цех!H86</f>
        <v>0</v>
      </c>
      <c r="H9" s="496">
        <f>цех!I86</f>
        <v>0</v>
      </c>
      <c r="I9" s="496">
        <f>цех!J86</f>
        <v>0</v>
      </c>
      <c r="J9" s="496">
        <f>цех!K86</f>
        <v>0</v>
      </c>
      <c r="K9" s="496">
        <f>цех!L86</f>
        <v>0</v>
      </c>
      <c r="L9" s="496">
        <f>цех!M86</f>
        <v>0</v>
      </c>
      <c r="M9" s="496">
        <f>цех!N86</f>
        <v>0</v>
      </c>
      <c r="N9" s="496">
        <f>цех!O86</f>
        <v>0</v>
      </c>
      <c r="O9" s="496">
        <f>цех!P86</f>
        <v>0</v>
      </c>
      <c r="P9" s="496">
        <f>цех!Q86</f>
        <v>0</v>
      </c>
      <c r="Q9" s="496">
        <f>цех!R86</f>
        <v>0</v>
      </c>
      <c r="R9" s="496">
        <f>цех!S86</f>
        <v>0</v>
      </c>
      <c r="S9" s="496">
        <f>цех!T86</f>
        <v>0</v>
      </c>
      <c r="T9" s="496">
        <f>цех!U86</f>
        <v>0</v>
      </c>
      <c r="U9" s="496">
        <f>цех!V86</f>
        <v>0</v>
      </c>
      <c r="V9" s="496">
        <f>цех!W86</f>
        <v>0</v>
      </c>
      <c r="W9" s="496">
        <f>цех!X86</f>
        <v>0</v>
      </c>
      <c r="X9" s="496">
        <f>цех!Y86</f>
        <v>0</v>
      </c>
      <c r="Y9" s="496">
        <f>цех!Z86</f>
        <v>0</v>
      </c>
      <c r="Z9" s="496">
        <f>цех!AA86</f>
        <v>0</v>
      </c>
      <c r="AA9" s="496">
        <f>цех!AB86</f>
        <v>0</v>
      </c>
      <c r="AB9" s="496">
        <f>цех!AC86</f>
        <v>0</v>
      </c>
      <c r="AC9" s="496">
        <f>цех!AD86</f>
        <v>0</v>
      </c>
      <c r="AD9" s="496">
        <f>цех!AE86</f>
        <v>0</v>
      </c>
      <c r="AE9" s="496">
        <f>цех!AF86</f>
        <v>0</v>
      </c>
      <c r="AF9" s="496">
        <f>цех!AG86</f>
        <v>0</v>
      </c>
      <c r="AG9" s="496">
        <f>цех!AH86</f>
        <v>0</v>
      </c>
      <c r="AH9" s="496">
        <f>цех!AI86</f>
        <v>0</v>
      </c>
      <c r="AI9" s="494"/>
      <c r="AJ9" s="494"/>
      <c r="AK9" s="494"/>
    </row>
    <row r="10" spans="1:37" x14ac:dyDescent="0.2">
      <c r="A10" s="495" t="str">
        <f>цех!B87</f>
        <v>Резерв ФОТ</v>
      </c>
      <c r="B10" s="495"/>
      <c r="C10" s="495"/>
      <c r="D10" s="496">
        <f>цех!E87</f>
        <v>0</v>
      </c>
      <c r="E10" s="496">
        <f>цех!F87</f>
        <v>0</v>
      </c>
      <c r="F10" s="496">
        <f>цех!G87</f>
        <v>0</v>
      </c>
      <c r="G10" s="496">
        <f>цех!H87</f>
        <v>0</v>
      </c>
      <c r="H10" s="496">
        <f>цех!I87</f>
        <v>0</v>
      </c>
      <c r="I10" s="496">
        <f>цех!J87</f>
        <v>0</v>
      </c>
      <c r="J10" s="496">
        <f>цех!K87</f>
        <v>0</v>
      </c>
      <c r="K10" s="496">
        <f>цех!L87</f>
        <v>0</v>
      </c>
      <c r="L10" s="496">
        <f>цех!M87</f>
        <v>0</v>
      </c>
      <c r="M10" s="496">
        <f>цех!N87</f>
        <v>0</v>
      </c>
      <c r="N10" s="496">
        <f>цех!O87</f>
        <v>0</v>
      </c>
      <c r="O10" s="496">
        <f>цех!P87</f>
        <v>0</v>
      </c>
      <c r="P10" s="496">
        <f>цех!Q87</f>
        <v>0</v>
      </c>
      <c r="Q10" s="496">
        <f>цех!R87</f>
        <v>0</v>
      </c>
      <c r="R10" s="496">
        <f>цех!S87</f>
        <v>0</v>
      </c>
      <c r="S10" s="496">
        <f>цех!T87</f>
        <v>0</v>
      </c>
      <c r="T10" s="496">
        <f>цех!U87</f>
        <v>0</v>
      </c>
      <c r="U10" s="496">
        <f>цех!V87</f>
        <v>0</v>
      </c>
      <c r="V10" s="496">
        <f>цех!W87</f>
        <v>0</v>
      </c>
      <c r="W10" s="496">
        <f>цех!X87</f>
        <v>0</v>
      </c>
      <c r="X10" s="496">
        <f>цех!Y87</f>
        <v>0</v>
      </c>
      <c r="Y10" s="496">
        <f>цех!Z87</f>
        <v>0</v>
      </c>
      <c r="Z10" s="496">
        <f>цех!AA87</f>
        <v>0</v>
      </c>
      <c r="AA10" s="496">
        <f>цех!AB87</f>
        <v>0</v>
      </c>
      <c r="AB10" s="496">
        <f>цех!AC87</f>
        <v>0</v>
      </c>
      <c r="AC10" s="496">
        <f>цех!AD87</f>
        <v>0</v>
      </c>
      <c r="AD10" s="496">
        <f>цех!AE87</f>
        <v>0</v>
      </c>
      <c r="AE10" s="496">
        <f>цех!AF87</f>
        <v>0</v>
      </c>
      <c r="AF10" s="496">
        <f>цех!AG87</f>
        <v>0</v>
      </c>
      <c r="AG10" s="496">
        <f>цех!AH87</f>
        <v>0</v>
      </c>
      <c r="AH10" s="496">
        <f>цех!AI87</f>
        <v>0</v>
      </c>
      <c r="AI10" s="494"/>
      <c r="AJ10" s="494"/>
      <c r="AK10" s="494"/>
    </row>
    <row r="11" spans="1:37" x14ac:dyDescent="0.2">
      <c r="A11" s="495" t="str">
        <f>цех!B88</f>
        <v xml:space="preserve">Офис </v>
      </c>
      <c r="B11" s="495"/>
      <c r="C11" s="495"/>
      <c r="D11" s="496">
        <f>цех!E88</f>
        <v>0</v>
      </c>
      <c r="E11" s="496">
        <f>цех!F88</f>
        <v>0</v>
      </c>
      <c r="F11" s="496">
        <f>цех!G88</f>
        <v>0</v>
      </c>
      <c r="G11" s="496">
        <f>цех!H88</f>
        <v>0</v>
      </c>
      <c r="H11" s="496">
        <f>цех!I88</f>
        <v>0</v>
      </c>
      <c r="I11" s="496">
        <f>цех!J88</f>
        <v>0</v>
      </c>
      <c r="J11" s="496">
        <f>цех!K88</f>
        <v>0</v>
      </c>
      <c r="K11" s="496">
        <f>цех!L88</f>
        <v>0</v>
      </c>
      <c r="L11" s="496">
        <f>цех!M88</f>
        <v>0</v>
      </c>
      <c r="M11" s="496">
        <f>цех!N88</f>
        <v>0</v>
      </c>
      <c r="N11" s="496">
        <f>цех!O88</f>
        <v>0</v>
      </c>
      <c r="O11" s="496">
        <f>цех!P88</f>
        <v>0</v>
      </c>
      <c r="P11" s="496">
        <f>цех!Q88</f>
        <v>0</v>
      </c>
      <c r="Q11" s="496">
        <f>цех!R88</f>
        <v>0</v>
      </c>
      <c r="R11" s="496">
        <f>цех!S88</f>
        <v>0</v>
      </c>
      <c r="S11" s="496">
        <f>цех!T88</f>
        <v>0</v>
      </c>
      <c r="T11" s="496">
        <f>цех!U88</f>
        <v>0</v>
      </c>
      <c r="U11" s="496">
        <f>цех!V88</f>
        <v>0</v>
      </c>
      <c r="V11" s="496">
        <f>цех!W88</f>
        <v>0</v>
      </c>
      <c r="W11" s="496">
        <f>цех!X88</f>
        <v>0</v>
      </c>
      <c r="X11" s="496">
        <f>цех!Y88</f>
        <v>0</v>
      </c>
      <c r="Y11" s="496">
        <f>цех!Z88</f>
        <v>0</v>
      </c>
      <c r="Z11" s="496">
        <f>цех!AA88</f>
        <v>0</v>
      </c>
      <c r="AA11" s="496">
        <f>цех!AB88</f>
        <v>0</v>
      </c>
      <c r="AB11" s="496">
        <f>цех!AC88</f>
        <v>0</v>
      </c>
      <c r="AC11" s="496">
        <f>цех!AD88</f>
        <v>0</v>
      </c>
      <c r="AD11" s="496">
        <f>цех!AE88</f>
        <v>0</v>
      </c>
      <c r="AE11" s="496">
        <f>цех!AF88</f>
        <v>0</v>
      </c>
      <c r="AF11" s="496">
        <f>цех!AG88</f>
        <v>0</v>
      </c>
      <c r="AG11" s="496">
        <f>цех!AH88</f>
        <v>0</v>
      </c>
      <c r="AH11" s="496">
        <f>цех!AI88</f>
        <v>0</v>
      </c>
      <c r="AI11" s="494"/>
      <c r="AJ11" s="494"/>
      <c r="AK11" s="494"/>
    </row>
    <row r="12" spans="1:37" x14ac:dyDescent="0.2">
      <c r="A12" s="495" t="str">
        <f>цех!B89</f>
        <v>Итого</v>
      </c>
      <c r="B12" s="498">
        <f>цех!C89</f>
        <v>2300000</v>
      </c>
      <c r="C12" s="498">
        <f>цех!D89</f>
        <v>1150000</v>
      </c>
      <c r="D12" s="498">
        <f>цех!E89</f>
        <v>2000000</v>
      </c>
      <c r="E12" s="498">
        <f>цех!F89</f>
        <v>850000</v>
      </c>
      <c r="F12" s="498">
        <f>цех!G89</f>
        <v>850000</v>
      </c>
      <c r="G12" s="498">
        <f>цех!H89</f>
        <v>0</v>
      </c>
      <c r="H12" s="498">
        <f>цех!I89</f>
        <v>0</v>
      </c>
      <c r="I12" s="498">
        <f>цех!J89</f>
        <v>0</v>
      </c>
      <c r="J12" s="498">
        <f>цех!K89</f>
        <v>0</v>
      </c>
      <c r="K12" s="498">
        <f>цех!L89</f>
        <v>0</v>
      </c>
      <c r="L12" s="498">
        <f>цех!M89</f>
        <v>0</v>
      </c>
      <c r="M12" s="498">
        <f>цех!N89</f>
        <v>0</v>
      </c>
      <c r="N12" s="498">
        <f>цех!O89</f>
        <v>0</v>
      </c>
      <c r="O12" s="498">
        <f>цех!P89</f>
        <v>0</v>
      </c>
      <c r="P12" s="498">
        <f>цех!Q89</f>
        <v>0</v>
      </c>
      <c r="Q12" s="498">
        <f>цех!R89</f>
        <v>0</v>
      </c>
      <c r="R12" s="498">
        <f>цех!S89</f>
        <v>0</v>
      </c>
      <c r="S12" s="498">
        <f>цех!T89</f>
        <v>0</v>
      </c>
      <c r="T12" s="498">
        <f>цех!U89</f>
        <v>0</v>
      </c>
      <c r="U12" s="498">
        <f>цех!V89</f>
        <v>0</v>
      </c>
      <c r="V12" s="498">
        <f>цех!W89</f>
        <v>0</v>
      </c>
      <c r="W12" s="498">
        <f>цех!X89</f>
        <v>0</v>
      </c>
      <c r="X12" s="498">
        <f>цех!Y89</f>
        <v>0</v>
      </c>
      <c r="Y12" s="498">
        <f>цех!Z89</f>
        <v>0</v>
      </c>
      <c r="Z12" s="498">
        <f>цех!AA89</f>
        <v>0</v>
      </c>
      <c r="AA12" s="498">
        <f>цех!AB89</f>
        <v>0</v>
      </c>
      <c r="AB12" s="498">
        <f>цех!AC89</f>
        <v>0</v>
      </c>
      <c r="AC12" s="498">
        <f>цех!AD89</f>
        <v>0</v>
      </c>
      <c r="AD12" s="498">
        <f>цех!AE89</f>
        <v>0</v>
      </c>
      <c r="AE12" s="498">
        <f>цех!AF89</f>
        <v>0</v>
      </c>
      <c r="AF12" s="498">
        <f>цех!AG89</f>
        <v>0</v>
      </c>
      <c r="AG12" s="498">
        <f>цех!AH89</f>
        <v>0</v>
      </c>
      <c r="AH12" s="498">
        <f>цех!AI89</f>
        <v>0</v>
      </c>
      <c r="AI12" s="498">
        <f>SUM(B12:AH12)</f>
        <v>7150000</v>
      </c>
      <c r="AJ12" s="494"/>
      <c r="AK12" s="494"/>
    </row>
    <row r="13" spans="1:37" hidden="1" x14ac:dyDescent="0.2">
      <c r="A13" s="499">
        <f>цех!D90</f>
        <v>3450000</v>
      </c>
      <c r="B13" s="499"/>
      <c r="C13" s="499"/>
      <c r="D13" s="498">
        <f>цех!E90</f>
        <v>5450000</v>
      </c>
      <c r="E13" s="498">
        <f>цех!F90</f>
        <v>6300000</v>
      </c>
      <c r="F13" s="498">
        <f>цех!G90</f>
        <v>7150000</v>
      </c>
      <c r="G13" s="498">
        <f>цех!H90</f>
        <v>7150000</v>
      </c>
      <c r="H13" s="498">
        <f>цех!I90</f>
        <v>7150000</v>
      </c>
      <c r="I13" s="498">
        <f>цех!J90</f>
        <v>7150000</v>
      </c>
      <c r="J13" s="498">
        <f>цех!K90</f>
        <v>7150000</v>
      </c>
      <c r="K13" s="498">
        <f>цех!L90</f>
        <v>7150000</v>
      </c>
      <c r="L13" s="498">
        <f>цех!M90</f>
        <v>7150000</v>
      </c>
      <c r="M13" s="498">
        <f>цех!N90</f>
        <v>7150000</v>
      </c>
      <c r="N13" s="498">
        <f>цех!O90</f>
        <v>7150000</v>
      </c>
      <c r="O13" s="498">
        <f>цех!P90</f>
        <v>7150000</v>
      </c>
      <c r="P13" s="498">
        <f>цех!Q90</f>
        <v>7150000</v>
      </c>
      <c r="Q13" s="498">
        <f>цех!R90</f>
        <v>7150000</v>
      </c>
      <c r="R13" s="498">
        <f>цех!S90</f>
        <v>7150000</v>
      </c>
      <c r="S13" s="498">
        <f>цех!T90</f>
        <v>7150000</v>
      </c>
      <c r="T13" s="498">
        <f>цех!U90</f>
        <v>7150000</v>
      </c>
      <c r="U13" s="498">
        <f>цех!V90</f>
        <v>7150000</v>
      </c>
      <c r="V13" s="498">
        <f>цех!W90</f>
        <v>7150000</v>
      </c>
      <c r="W13" s="498">
        <f>цех!X90</f>
        <v>7150000</v>
      </c>
      <c r="X13" s="498">
        <f>цех!Y90</f>
        <v>7150000</v>
      </c>
      <c r="Y13" s="498">
        <f>цех!Z90</f>
        <v>7150000</v>
      </c>
      <c r="Z13" s="498">
        <f>цех!AA90</f>
        <v>7150000</v>
      </c>
      <c r="AA13" s="498">
        <f>цех!AB90</f>
        <v>7150000</v>
      </c>
      <c r="AB13" s="498">
        <f>цех!AC90</f>
        <v>7150000</v>
      </c>
      <c r="AC13" s="498">
        <f>цех!AD90</f>
        <v>7150000</v>
      </c>
      <c r="AD13" s="498">
        <f>цех!AE90</f>
        <v>7150000</v>
      </c>
      <c r="AE13" s="498">
        <f>цех!AF90</f>
        <v>7150000</v>
      </c>
      <c r="AF13" s="498">
        <f>цех!AG90</f>
        <v>7150000</v>
      </c>
      <c r="AG13" s="498">
        <f>цех!AH90</f>
        <v>7150000</v>
      </c>
      <c r="AH13" s="498">
        <f>цех!AI90</f>
        <v>7150000</v>
      </c>
      <c r="AI13" s="500"/>
      <c r="AJ13" s="494"/>
      <c r="AK13" s="494"/>
    </row>
    <row r="14" spans="1:37" x14ac:dyDescent="0.2">
      <c r="A14" s="494"/>
      <c r="B14" s="494"/>
      <c r="C14" s="494"/>
      <c r="D14" s="494"/>
      <c r="E14" s="494"/>
      <c r="F14" s="494"/>
      <c r="G14" s="494"/>
      <c r="H14" s="494"/>
      <c r="I14" s="494"/>
      <c r="J14" s="494"/>
      <c r="K14" s="494"/>
      <c r="L14" s="494"/>
      <c r="M14" s="494"/>
      <c r="N14" s="494"/>
      <c r="O14" s="494"/>
      <c r="P14" s="494"/>
      <c r="Q14" s="494"/>
      <c r="R14" s="494"/>
      <c r="S14" s="494"/>
      <c r="T14" s="494"/>
      <c r="U14" s="494"/>
      <c r="V14" s="494"/>
      <c r="W14" s="494"/>
      <c r="X14" s="494"/>
      <c r="Y14" s="494"/>
      <c r="Z14" s="494"/>
      <c r="AA14" s="494"/>
      <c r="AB14" s="494"/>
      <c r="AC14" s="494"/>
      <c r="AD14" s="494"/>
      <c r="AE14" s="494"/>
      <c r="AF14" s="494"/>
      <c r="AG14" s="494"/>
      <c r="AH14" s="494"/>
      <c r="AI14" s="500"/>
      <c r="AJ14" s="494"/>
      <c r="AK14" s="494"/>
    </row>
    <row r="15" spans="1:37" ht="15.75" x14ac:dyDescent="0.25">
      <c r="A15" s="493" t="s">
        <v>116</v>
      </c>
      <c r="B15" s="493"/>
      <c r="C15" s="493"/>
      <c r="D15" s="494"/>
      <c r="E15" s="494"/>
      <c r="F15" s="494"/>
      <c r="G15" s="494"/>
      <c r="H15" s="494"/>
      <c r="I15" s="494"/>
      <c r="J15" s="494"/>
      <c r="K15" s="494"/>
      <c r="L15" s="494"/>
      <c r="M15" s="494"/>
      <c r="N15" s="494"/>
      <c r="O15" s="494"/>
      <c r="P15" s="494"/>
      <c r="Q15" s="494"/>
      <c r="R15" s="494"/>
      <c r="S15" s="494"/>
      <c r="T15" s="494"/>
      <c r="U15" s="494"/>
      <c r="V15" s="494"/>
      <c r="W15" s="494"/>
      <c r="X15" s="494"/>
      <c r="Y15" s="494"/>
      <c r="Z15" s="494"/>
      <c r="AA15" s="494"/>
      <c r="AB15" s="494"/>
      <c r="AC15" s="494"/>
      <c r="AD15" s="494"/>
      <c r="AE15" s="494"/>
      <c r="AF15" s="494"/>
      <c r="AG15" s="494"/>
      <c r="AH15" s="494"/>
      <c r="AI15" s="500"/>
      <c r="AJ15" s="494"/>
      <c r="AK15" s="494"/>
    </row>
    <row r="16" spans="1:37" x14ac:dyDescent="0.2">
      <c r="A16" s="499" t="s">
        <v>115</v>
      </c>
      <c r="B16" s="498">
        <f>цех!C105</f>
        <v>0</v>
      </c>
      <c r="C16" s="498">
        <f>цех!D105</f>
        <v>0</v>
      </c>
      <c r="D16" s="498">
        <f>цех!E105</f>
        <v>0</v>
      </c>
      <c r="E16" s="498">
        <f>цех!F105</f>
        <v>155325.75121551391</v>
      </c>
      <c r="F16" s="498">
        <f>IF(F5=0,0,цех!G105)</f>
        <v>192060.93849928895</v>
      </c>
      <c r="G16" s="498"/>
      <c r="H16" s="498"/>
      <c r="I16" s="500"/>
      <c r="J16" s="500"/>
      <c r="K16" s="500"/>
      <c r="L16" s="500"/>
      <c r="M16" s="500"/>
      <c r="N16" s="500"/>
      <c r="O16" s="500"/>
      <c r="P16" s="500"/>
      <c r="Q16" s="500"/>
      <c r="R16" s="500"/>
      <c r="S16" s="500"/>
      <c r="T16" s="500"/>
      <c r="U16" s="500"/>
      <c r="V16" s="500"/>
      <c r="W16" s="500"/>
      <c r="X16" s="500"/>
      <c r="Y16" s="500"/>
      <c r="Z16" s="500"/>
      <c r="AA16" s="500"/>
      <c r="AB16" s="500"/>
      <c r="AC16" s="500"/>
      <c r="AD16" s="500"/>
      <c r="AE16" s="500"/>
      <c r="AF16" s="500"/>
      <c r="AG16" s="500"/>
      <c r="AH16" s="500"/>
      <c r="AI16" s="498">
        <f>SUM(B16:AH16)</f>
        <v>347386.68971480289</v>
      </c>
      <c r="AJ16" s="494"/>
      <c r="AK16" s="494"/>
    </row>
    <row r="17" spans="1:37" ht="25.5" x14ac:dyDescent="0.2">
      <c r="A17" s="501" t="s">
        <v>117</v>
      </c>
      <c r="B17" s="498">
        <f t="shared" ref="B17:C17" si="0">B12-B16</f>
        <v>2300000</v>
      </c>
      <c r="C17" s="498">
        <f t="shared" si="0"/>
        <v>1150000</v>
      </c>
      <c r="D17" s="498">
        <f>D12-D16</f>
        <v>2000000</v>
      </c>
      <c r="E17" s="498">
        <f>E12-E16</f>
        <v>694674.24878448609</v>
      </c>
      <c r="F17" s="498">
        <f>F12-F16</f>
        <v>657939.06150071102</v>
      </c>
      <c r="G17" s="498"/>
      <c r="H17" s="498"/>
      <c r="I17" s="500"/>
      <c r="J17" s="500"/>
      <c r="K17" s="500"/>
      <c r="L17" s="500"/>
      <c r="M17" s="500"/>
      <c r="N17" s="500"/>
      <c r="O17" s="500"/>
      <c r="P17" s="500"/>
      <c r="Q17" s="500"/>
      <c r="R17" s="500"/>
      <c r="S17" s="500"/>
      <c r="T17" s="500"/>
      <c r="U17" s="500"/>
      <c r="V17" s="500"/>
      <c r="W17" s="500"/>
      <c r="X17" s="500"/>
      <c r="Y17" s="500"/>
      <c r="Z17" s="500"/>
      <c r="AA17" s="500"/>
      <c r="AB17" s="500"/>
      <c r="AC17" s="500"/>
      <c r="AD17" s="500"/>
      <c r="AE17" s="500"/>
      <c r="AF17" s="500"/>
      <c r="AG17" s="500"/>
      <c r="AH17" s="500"/>
      <c r="AI17" s="498">
        <f>SUM(B17:AH17)</f>
        <v>6802613.3102851976</v>
      </c>
      <c r="AJ17" s="494"/>
      <c r="AK17" s="494"/>
    </row>
    <row r="20" spans="1:37" x14ac:dyDescent="0.2">
      <c r="I20" s="151">
        <f>476351</f>
        <v>476351</v>
      </c>
    </row>
  </sheetData>
  <sheetProtection password="CC5E" sheet="1" objects="1" scenarios="1" selectLockedCells="1" selectUnlockedCell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4:N49"/>
  <sheetViews>
    <sheetView topLeftCell="B1" workbookViewId="0">
      <selection activeCell="H43" sqref="H43"/>
    </sheetView>
  </sheetViews>
  <sheetFormatPr defaultRowHeight="15" x14ac:dyDescent="0.25"/>
  <cols>
    <col min="1" max="1" width="9.140625" style="481"/>
    <col min="2" max="2" width="1.42578125" style="481" customWidth="1"/>
    <col min="3" max="3" width="24.140625" style="481" customWidth="1"/>
    <col min="4" max="4" width="16" style="480" customWidth="1"/>
    <col min="5" max="5" width="16.5703125" style="481" customWidth="1"/>
    <col min="6" max="6" width="15.5703125" style="481" customWidth="1"/>
    <col min="7" max="7" width="15.28515625" style="480" customWidth="1"/>
    <col min="8" max="8" width="15.42578125" style="481" customWidth="1"/>
    <col min="9" max="9" width="22.7109375" style="481" customWidth="1"/>
    <col min="10" max="10" width="15.140625" style="481" customWidth="1"/>
    <col min="11" max="11" width="9.140625" style="481"/>
    <col min="12" max="13" width="13.28515625" style="481" customWidth="1"/>
    <col min="14" max="16384" width="9.140625" style="481"/>
  </cols>
  <sheetData>
    <row r="4" spans="3:11" ht="30" x14ac:dyDescent="0.25">
      <c r="D4" s="480">
        <f>'Параметры проекта'!G11</f>
        <v>6802613.3102851976</v>
      </c>
      <c r="E4" s="483" t="s">
        <v>230</v>
      </c>
      <c r="F4" s="484" t="s">
        <v>226</v>
      </c>
      <c r="G4" s="484" t="s">
        <v>150</v>
      </c>
      <c r="H4" s="484" t="s">
        <v>226</v>
      </c>
      <c r="J4" s="485" t="s">
        <v>227</v>
      </c>
    </row>
    <row r="5" spans="3:11" x14ac:dyDescent="0.25">
      <c r="C5" s="481">
        <v>1</v>
      </c>
      <c r="D5" s="480">
        <f>'Параметры проекта'!G13</f>
        <v>513435.83507347549</v>
      </c>
      <c r="E5" s="482">
        <f>'Параметры проекта'!$B$46+'Параметры проекта'!$B$47</f>
        <v>0.55000000000000004</v>
      </c>
      <c r="F5" s="482">
        <f>'Параметры проекта'!$B$44</f>
        <v>0.45</v>
      </c>
      <c r="G5" s="480">
        <f>E5*D5</f>
        <v>282389.70929041156</v>
      </c>
      <c r="H5" s="480">
        <f>F5*D5</f>
        <v>231046.12578306397</v>
      </c>
      <c r="J5" s="481" t="s">
        <v>228</v>
      </c>
      <c r="K5" s="486">
        <f>H5*12/D4</f>
        <v>0.40757182319988866</v>
      </c>
    </row>
    <row r="6" spans="3:11" x14ac:dyDescent="0.25">
      <c r="C6" s="481">
        <v>2</v>
      </c>
      <c r="D6" s="480">
        <f>D5</f>
        <v>513435.83507347549</v>
      </c>
      <c r="E6" s="482">
        <f>'Параметры проекта'!$B$46+'Параметры проекта'!$B$47</f>
        <v>0.55000000000000004</v>
      </c>
      <c r="F6" s="482">
        <f>'Параметры проекта'!$B$44</f>
        <v>0.45</v>
      </c>
      <c r="G6" s="480">
        <f t="shared" ref="G6:G40" si="0">E6*D6</f>
        <v>282389.70929041156</v>
      </c>
      <c r="H6" s="480">
        <f t="shared" ref="H6:H40" si="1">F6*D6</f>
        <v>231046.12578306397</v>
      </c>
      <c r="J6" s="481" t="s">
        <v>229</v>
      </c>
      <c r="K6" s="486">
        <f>H23*12/D4</f>
        <v>0.40757182319988866</v>
      </c>
    </row>
    <row r="7" spans="3:11" x14ac:dyDescent="0.25">
      <c r="C7" s="481">
        <v>3</v>
      </c>
      <c r="D7" s="480">
        <f t="shared" ref="D7:D40" si="2">D6</f>
        <v>513435.83507347549</v>
      </c>
      <c r="E7" s="482">
        <f>'Параметры проекта'!$B$46+'Параметры проекта'!$B$47</f>
        <v>0.55000000000000004</v>
      </c>
      <c r="F7" s="482">
        <f>'Параметры проекта'!$B$44</f>
        <v>0.45</v>
      </c>
      <c r="G7" s="480">
        <f t="shared" si="0"/>
        <v>282389.70929041156</v>
      </c>
      <c r="H7" s="480">
        <f t="shared" si="1"/>
        <v>231046.12578306397</v>
      </c>
    </row>
    <row r="8" spans="3:11" x14ac:dyDescent="0.25">
      <c r="C8" s="481">
        <v>4</v>
      </c>
      <c r="D8" s="480">
        <f t="shared" si="2"/>
        <v>513435.83507347549</v>
      </c>
      <c r="E8" s="482">
        <f>'Параметры проекта'!$B$46+'Параметры проекта'!$B$47</f>
        <v>0.55000000000000004</v>
      </c>
      <c r="F8" s="482">
        <f>'Параметры проекта'!$B$44</f>
        <v>0.45</v>
      </c>
      <c r="G8" s="480">
        <f t="shared" si="0"/>
        <v>282389.70929041156</v>
      </c>
      <c r="H8" s="480">
        <f t="shared" si="1"/>
        <v>231046.12578306397</v>
      </c>
    </row>
    <row r="9" spans="3:11" x14ac:dyDescent="0.25">
      <c r="C9" s="481">
        <v>5</v>
      </c>
      <c r="D9" s="480">
        <f t="shared" si="2"/>
        <v>513435.83507347549</v>
      </c>
      <c r="E9" s="482">
        <f>'Параметры проекта'!$B$46+'Параметры проекта'!$B$47</f>
        <v>0.55000000000000004</v>
      </c>
      <c r="F9" s="482">
        <f>'Параметры проекта'!$B$44</f>
        <v>0.45</v>
      </c>
      <c r="G9" s="480">
        <f t="shared" si="0"/>
        <v>282389.70929041156</v>
      </c>
      <c r="H9" s="480">
        <f t="shared" si="1"/>
        <v>231046.12578306397</v>
      </c>
    </row>
    <row r="10" spans="3:11" x14ac:dyDescent="0.25">
      <c r="C10" s="481">
        <v>6</v>
      </c>
      <c r="D10" s="480">
        <f t="shared" si="2"/>
        <v>513435.83507347549</v>
      </c>
      <c r="E10" s="482">
        <f>'Параметры проекта'!$B$46+'Параметры проекта'!$B$47</f>
        <v>0.55000000000000004</v>
      </c>
      <c r="F10" s="482">
        <f>'Параметры проекта'!$B$44</f>
        <v>0.45</v>
      </c>
      <c r="G10" s="480">
        <f t="shared" si="0"/>
        <v>282389.70929041156</v>
      </c>
      <c r="H10" s="480">
        <f t="shared" si="1"/>
        <v>231046.12578306397</v>
      </c>
    </row>
    <row r="11" spans="3:11" x14ac:dyDescent="0.25">
      <c r="C11" s="481">
        <v>7</v>
      </c>
      <c r="D11" s="480">
        <f t="shared" si="2"/>
        <v>513435.83507347549</v>
      </c>
      <c r="E11" s="482">
        <f>'Параметры проекта'!$B$46+'Параметры проекта'!$B$47</f>
        <v>0.55000000000000004</v>
      </c>
      <c r="F11" s="482">
        <f>'Параметры проекта'!$B$44</f>
        <v>0.45</v>
      </c>
      <c r="G11" s="480">
        <f t="shared" si="0"/>
        <v>282389.70929041156</v>
      </c>
      <c r="H11" s="480">
        <f t="shared" si="1"/>
        <v>231046.12578306397</v>
      </c>
    </row>
    <row r="12" spans="3:11" x14ac:dyDescent="0.25">
      <c r="C12" s="481">
        <v>8</v>
      </c>
      <c r="D12" s="480">
        <f t="shared" si="2"/>
        <v>513435.83507347549</v>
      </c>
      <c r="E12" s="482">
        <f>'Параметры проекта'!$B$46+'Параметры проекта'!$B$47</f>
        <v>0.55000000000000004</v>
      </c>
      <c r="F12" s="482">
        <f>'Параметры проекта'!$B$44</f>
        <v>0.45</v>
      </c>
      <c r="G12" s="480">
        <f t="shared" si="0"/>
        <v>282389.70929041156</v>
      </c>
      <c r="H12" s="480">
        <f t="shared" si="1"/>
        <v>231046.12578306397</v>
      </c>
    </row>
    <row r="13" spans="3:11" x14ac:dyDescent="0.25">
      <c r="C13" s="481">
        <v>9</v>
      </c>
      <c r="D13" s="480">
        <f t="shared" si="2"/>
        <v>513435.83507347549</v>
      </c>
      <c r="E13" s="482">
        <f>'Параметры проекта'!$B$46+'Параметры проекта'!$B$47</f>
        <v>0.55000000000000004</v>
      </c>
      <c r="F13" s="482">
        <f>'Параметры проекта'!$B$44</f>
        <v>0.45</v>
      </c>
      <c r="G13" s="480">
        <f t="shared" si="0"/>
        <v>282389.70929041156</v>
      </c>
      <c r="H13" s="480">
        <f t="shared" si="1"/>
        <v>231046.12578306397</v>
      </c>
    </row>
    <row r="14" spans="3:11" x14ac:dyDescent="0.25">
      <c r="C14" s="481">
        <v>10</v>
      </c>
      <c r="D14" s="480">
        <f t="shared" si="2"/>
        <v>513435.83507347549</v>
      </c>
      <c r="E14" s="482">
        <f>'Параметры проекта'!$B$46+'Параметры проекта'!$B$47</f>
        <v>0.55000000000000004</v>
      </c>
      <c r="F14" s="482">
        <f>'Параметры проекта'!$B$44</f>
        <v>0.45</v>
      </c>
      <c r="G14" s="480">
        <f t="shared" si="0"/>
        <v>282389.70929041156</v>
      </c>
      <c r="H14" s="480">
        <f t="shared" si="1"/>
        <v>231046.12578306397</v>
      </c>
    </row>
    <row r="15" spans="3:11" x14ac:dyDescent="0.25">
      <c r="C15" s="481">
        <v>11</v>
      </c>
      <c r="D15" s="480">
        <f t="shared" si="2"/>
        <v>513435.83507347549</v>
      </c>
      <c r="E15" s="482">
        <f>'Параметры проекта'!$B$46+'Параметры проекта'!$B$47</f>
        <v>0.55000000000000004</v>
      </c>
      <c r="F15" s="482">
        <f>'Параметры проекта'!$B$44</f>
        <v>0.45</v>
      </c>
      <c r="G15" s="480">
        <f t="shared" si="0"/>
        <v>282389.70929041156</v>
      </c>
      <c r="H15" s="480">
        <f t="shared" si="1"/>
        <v>231046.12578306397</v>
      </c>
    </row>
    <row r="16" spans="3:11" x14ac:dyDescent="0.25">
      <c r="C16" s="481">
        <v>12</v>
      </c>
      <c r="D16" s="480">
        <f t="shared" si="2"/>
        <v>513435.83507347549</v>
      </c>
      <c r="E16" s="482">
        <f>'Параметры проекта'!$B$46+'Параметры проекта'!$B$47</f>
        <v>0.55000000000000004</v>
      </c>
      <c r="F16" s="482">
        <f>'Параметры проекта'!$B$44</f>
        <v>0.45</v>
      </c>
      <c r="G16" s="480">
        <f t="shared" si="0"/>
        <v>282389.70929041156</v>
      </c>
      <c r="H16" s="480">
        <f t="shared" si="1"/>
        <v>231046.12578306397</v>
      </c>
    </row>
    <row r="17" spans="3:8" x14ac:dyDescent="0.25">
      <c r="C17" s="481">
        <v>13</v>
      </c>
      <c r="D17" s="480">
        <f t="shared" si="2"/>
        <v>513435.83507347549</v>
      </c>
      <c r="E17" s="482">
        <f>'Параметры проекта'!$B$46+'Параметры проекта'!$B$47</f>
        <v>0.55000000000000004</v>
      </c>
      <c r="F17" s="482">
        <f>'Параметры проекта'!$B$44</f>
        <v>0.45</v>
      </c>
      <c r="G17" s="480">
        <f t="shared" si="0"/>
        <v>282389.70929041156</v>
      </c>
      <c r="H17" s="480">
        <f t="shared" si="1"/>
        <v>231046.12578306397</v>
      </c>
    </row>
    <row r="18" spans="3:8" x14ac:dyDescent="0.25">
      <c r="C18" s="481">
        <v>14</v>
      </c>
      <c r="D18" s="480">
        <f t="shared" si="2"/>
        <v>513435.83507347549</v>
      </c>
      <c r="E18" s="482">
        <f>'Параметры проекта'!$B$46+'Параметры проекта'!$B$47</f>
        <v>0.55000000000000004</v>
      </c>
      <c r="F18" s="482">
        <f>'Параметры проекта'!$B$44</f>
        <v>0.45</v>
      </c>
      <c r="G18" s="480">
        <f t="shared" si="0"/>
        <v>282389.70929041156</v>
      </c>
      <c r="H18" s="480">
        <f t="shared" si="1"/>
        <v>231046.12578306397</v>
      </c>
    </row>
    <row r="19" spans="3:8" x14ac:dyDescent="0.25">
      <c r="C19" s="481">
        <v>15</v>
      </c>
      <c r="D19" s="480">
        <f t="shared" si="2"/>
        <v>513435.83507347549</v>
      </c>
      <c r="E19" s="482">
        <f>'Параметры проекта'!$B$46+'Параметры проекта'!$B$47</f>
        <v>0.55000000000000004</v>
      </c>
      <c r="F19" s="482">
        <f>'Параметры проекта'!$B$44</f>
        <v>0.45</v>
      </c>
      <c r="G19" s="480">
        <f t="shared" si="0"/>
        <v>282389.70929041156</v>
      </c>
      <c r="H19" s="480">
        <f t="shared" si="1"/>
        <v>231046.12578306397</v>
      </c>
    </row>
    <row r="20" spans="3:8" x14ac:dyDescent="0.25">
      <c r="C20" s="481">
        <v>16</v>
      </c>
      <c r="D20" s="480">
        <f t="shared" si="2"/>
        <v>513435.83507347549</v>
      </c>
      <c r="E20" s="482">
        <f>'Параметры проекта'!$B$46+'Параметры проекта'!$B$47</f>
        <v>0.55000000000000004</v>
      </c>
      <c r="F20" s="482">
        <f>'Параметры проекта'!$B$44</f>
        <v>0.45</v>
      </c>
      <c r="G20" s="480">
        <f t="shared" si="0"/>
        <v>282389.70929041156</v>
      </c>
      <c r="H20" s="480">
        <f t="shared" si="1"/>
        <v>231046.12578306397</v>
      </c>
    </row>
    <row r="21" spans="3:8" x14ac:dyDescent="0.25">
      <c r="C21" s="481">
        <v>17</v>
      </c>
      <c r="D21" s="480">
        <f t="shared" si="2"/>
        <v>513435.83507347549</v>
      </c>
      <c r="E21" s="482">
        <f>'Параметры проекта'!$B$46+'Параметры проекта'!$B$47</f>
        <v>0.55000000000000004</v>
      </c>
      <c r="F21" s="482">
        <f>'Параметры проекта'!$B$44</f>
        <v>0.45</v>
      </c>
      <c r="G21" s="480">
        <f t="shared" si="0"/>
        <v>282389.70929041156</v>
      </c>
      <c r="H21" s="480">
        <f t="shared" si="1"/>
        <v>231046.12578306397</v>
      </c>
    </row>
    <row r="22" spans="3:8" x14ac:dyDescent="0.25">
      <c r="C22" s="481">
        <v>18</v>
      </c>
      <c r="D22" s="480">
        <f t="shared" si="2"/>
        <v>513435.83507347549</v>
      </c>
      <c r="E22" s="482">
        <f>'Параметры проекта'!$B$46+'Параметры проекта'!$B$47</f>
        <v>0.55000000000000004</v>
      </c>
      <c r="F22" s="482">
        <f>'Параметры проекта'!$B$44</f>
        <v>0.45</v>
      </c>
      <c r="G22" s="480">
        <f t="shared" si="0"/>
        <v>282389.70929041156</v>
      </c>
      <c r="H22" s="480">
        <f t="shared" si="1"/>
        <v>231046.12578306397</v>
      </c>
    </row>
    <row r="23" spans="3:8" x14ac:dyDescent="0.25">
      <c r="C23" s="481">
        <v>19</v>
      </c>
      <c r="D23" s="480">
        <f t="shared" si="2"/>
        <v>513435.83507347549</v>
      </c>
      <c r="E23" s="482">
        <f>'Параметры проекта'!$B$46+'Параметры проекта'!$B$47</f>
        <v>0.55000000000000004</v>
      </c>
      <c r="F23" s="482">
        <f>'Параметры проекта'!$B$44</f>
        <v>0.45</v>
      </c>
      <c r="G23" s="480">
        <f t="shared" si="0"/>
        <v>282389.70929041156</v>
      </c>
      <c r="H23" s="480">
        <f t="shared" si="1"/>
        <v>231046.12578306397</v>
      </c>
    </row>
    <row r="24" spans="3:8" x14ac:dyDescent="0.25">
      <c r="C24" s="481">
        <v>20</v>
      </c>
      <c r="D24" s="480">
        <f t="shared" si="2"/>
        <v>513435.83507347549</v>
      </c>
      <c r="E24" s="482">
        <f>'Параметры проекта'!$B$46+'Параметры проекта'!$B$47</f>
        <v>0.55000000000000004</v>
      </c>
      <c r="F24" s="482">
        <f>'Параметры проекта'!$B$44</f>
        <v>0.45</v>
      </c>
      <c r="G24" s="480">
        <f t="shared" si="0"/>
        <v>282389.70929041156</v>
      </c>
      <c r="H24" s="480">
        <f t="shared" si="1"/>
        <v>231046.12578306397</v>
      </c>
    </row>
    <row r="25" spans="3:8" x14ac:dyDescent="0.25">
      <c r="C25" s="481">
        <v>21</v>
      </c>
      <c r="D25" s="480">
        <f t="shared" si="2"/>
        <v>513435.83507347549</v>
      </c>
      <c r="E25" s="482">
        <f>'Параметры проекта'!$B$46+'Параметры проекта'!$B$47</f>
        <v>0.55000000000000004</v>
      </c>
      <c r="F25" s="482">
        <f>'Параметры проекта'!$B$44</f>
        <v>0.45</v>
      </c>
      <c r="G25" s="480">
        <f>E25*D25</f>
        <v>282389.70929041156</v>
      </c>
      <c r="H25" s="480">
        <f t="shared" si="1"/>
        <v>231046.12578306397</v>
      </c>
    </row>
    <row r="26" spans="3:8" x14ac:dyDescent="0.25">
      <c r="C26" s="481">
        <v>22</v>
      </c>
      <c r="D26" s="480">
        <f t="shared" si="2"/>
        <v>513435.83507347549</v>
      </c>
      <c r="E26" s="482">
        <f>'Параметры проекта'!$B$46+'Параметры проекта'!$B$47</f>
        <v>0.55000000000000004</v>
      </c>
      <c r="F26" s="482">
        <f>'Параметры проекта'!$B$44</f>
        <v>0.45</v>
      </c>
      <c r="G26" s="480">
        <f t="shared" si="0"/>
        <v>282389.70929041156</v>
      </c>
      <c r="H26" s="480">
        <f t="shared" si="1"/>
        <v>231046.12578306397</v>
      </c>
    </row>
    <row r="27" spans="3:8" x14ac:dyDescent="0.25">
      <c r="C27" s="481">
        <v>23</v>
      </c>
      <c r="D27" s="480">
        <f t="shared" si="2"/>
        <v>513435.83507347549</v>
      </c>
      <c r="E27" s="482">
        <f>'Параметры проекта'!$B$46+'Параметры проекта'!$B$47</f>
        <v>0.55000000000000004</v>
      </c>
      <c r="F27" s="482">
        <f>'Параметры проекта'!$B$44</f>
        <v>0.45</v>
      </c>
      <c r="G27" s="480">
        <f t="shared" si="0"/>
        <v>282389.70929041156</v>
      </c>
      <c r="H27" s="480">
        <f t="shared" si="1"/>
        <v>231046.12578306397</v>
      </c>
    </row>
    <row r="28" spans="3:8" x14ac:dyDescent="0.25">
      <c r="C28" s="481">
        <v>24</v>
      </c>
      <c r="D28" s="480">
        <f t="shared" si="2"/>
        <v>513435.83507347549</v>
      </c>
      <c r="E28" s="482">
        <f>'Параметры проекта'!$B$46+'Параметры проекта'!$B$47</f>
        <v>0.55000000000000004</v>
      </c>
      <c r="F28" s="482">
        <f>'Параметры проекта'!$B$44</f>
        <v>0.45</v>
      </c>
      <c r="G28" s="480">
        <f t="shared" si="0"/>
        <v>282389.70929041156</v>
      </c>
      <c r="H28" s="480">
        <f t="shared" si="1"/>
        <v>231046.12578306397</v>
      </c>
    </row>
    <row r="29" spans="3:8" x14ac:dyDescent="0.25">
      <c r="C29" s="481">
        <v>25</v>
      </c>
      <c r="D29" s="480">
        <f t="shared" si="2"/>
        <v>513435.83507347549</v>
      </c>
      <c r="E29" s="482">
        <f>'Параметры проекта'!$B$46+'Параметры проекта'!$B$47</f>
        <v>0.55000000000000004</v>
      </c>
      <c r="F29" s="482">
        <f>'Параметры проекта'!$B$44</f>
        <v>0.45</v>
      </c>
      <c r="G29" s="480">
        <f t="shared" si="0"/>
        <v>282389.70929041156</v>
      </c>
      <c r="H29" s="480">
        <f t="shared" si="1"/>
        <v>231046.12578306397</v>
      </c>
    </row>
    <row r="30" spans="3:8" x14ac:dyDescent="0.25">
      <c r="C30" s="481">
        <v>26</v>
      </c>
      <c r="D30" s="480">
        <f t="shared" si="2"/>
        <v>513435.83507347549</v>
      </c>
      <c r="E30" s="482">
        <f>'Параметры проекта'!$B$46+'Параметры проекта'!$B$47</f>
        <v>0.55000000000000004</v>
      </c>
      <c r="F30" s="482">
        <f>'Параметры проекта'!$B$44</f>
        <v>0.45</v>
      </c>
      <c r="G30" s="480">
        <f t="shared" si="0"/>
        <v>282389.70929041156</v>
      </c>
      <c r="H30" s="480">
        <f t="shared" si="1"/>
        <v>231046.12578306397</v>
      </c>
    </row>
    <row r="31" spans="3:8" x14ac:dyDescent="0.25">
      <c r="C31" s="481">
        <v>27</v>
      </c>
      <c r="D31" s="480">
        <f t="shared" si="2"/>
        <v>513435.83507347549</v>
      </c>
      <c r="E31" s="482">
        <f>'Параметры проекта'!$B$46+'Параметры проекта'!$B$47</f>
        <v>0.55000000000000004</v>
      </c>
      <c r="F31" s="482">
        <f>'Параметры проекта'!$B$44</f>
        <v>0.45</v>
      </c>
      <c r="G31" s="480">
        <f t="shared" si="0"/>
        <v>282389.70929041156</v>
      </c>
      <c r="H31" s="480">
        <f t="shared" si="1"/>
        <v>231046.12578306397</v>
      </c>
    </row>
    <row r="32" spans="3:8" x14ac:dyDescent="0.25">
      <c r="C32" s="481">
        <v>28</v>
      </c>
      <c r="D32" s="480">
        <f t="shared" si="2"/>
        <v>513435.83507347549</v>
      </c>
      <c r="E32" s="482">
        <f>'Параметры проекта'!$B$46+'Параметры проекта'!$B$47</f>
        <v>0.55000000000000004</v>
      </c>
      <c r="F32" s="482">
        <f>'Параметры проекта'!$B$44</f>
        <v>0.45</v>
      </c>
      <c r="G32" s="480">
        <f t="shared" si="0"/>
        <v>282389.70929041156</v>
      </c>
      <c r="H32" s="480">
        <f t="shared" si="1"/>
        <v>231046.12578306397</v>
      </c>
    </row>
    <row r="33" spans="3:14" x14ac:dyDescent="0.25">
      <c r="C33" s="481">
        <v>29</v>
      </c>
      <c r="D33" s="480">
        <f t="shared" si="2"/>
        <v>513435.83507347549</v>
      </c>
      <c r="E33" s="482">
        <f>'Параметры проекта'!$B$46+'Параметры проекта'!$B$47</f>
        <v>0.55000000000000004</v>
      </c>
      <c r="F33" s="482">
        <f>'Параметры проекта'!$B$44</f>
        <v>0.45</v>
      </c>
      <c r="G33" s="480">
        <f t="shared" si="0"/>
        <v>282389.70929041156</v>
      </c>
      <c r="H33" s="480">
        <f t="shared" si="1"/>
        <v>231046.12578306397</v>
      </c>
    </row>
    <row r="34" spans="3:14" x14ac:dyDescent="0.25">
      <c r="C34" s="481">
        <v>30</v>
      </c>
      <c r="D34" s="480">
        <f t="shared" si="2"/>
        <v>513435.83507347549</v>
      </c>
      <c r="E34" s="482">
        <f>'Параметры проекта'!$B$46+'Параметры проекта'!$B$47</f>
        <v>0.55000000000000004</v>
      </c>
      <c r="F34" s="482">
        <f>'Параметры проекта'!$B$44</f>
        <v>0.45</v>
      </c>
      <c r="G34" s="480">
        <f t="shared" si="0"/>
        <v>282389.70929041156</v>
      </c>
      <c r="H34" s="480">
        <f t="shared" si="1"/>
        <v>231046.12578306397</v>
      </c>
    </row>
    <row r="35" spans="3:14" x14ac:dyDescent="0.25">
      <c r="C35" s="481">
        <v>31</v>
      </c>
      <c r="D35" s="480">
        <f t="shared" si="2"/>
        <v>513435.83507347549</v>
      </c>
      <c r="E35" s="482">
        <f>'Параметры проекта'!$B$46+'Параметры проекта'!$B$47</f>
        <v>0.55000000000000004</v>
      </c>
      <c r="F35" s="482">
        <f>'Параметры проекта'!$B$44</f>
        <v>0.45</v>
      </c>
      <c r="G35" s="480">
        <f t="shared" si="0"/>
        <v>282389.70929041156</v>
      </c>
      <c r="H35" s="480">
        <f t="shared" si="1"/>
        <v>231046.12578306397</v>
      </c>
    </row>
    <row r="36" spans="3:14" x14ac:dyDescent="0.25">
      <c r="C36" s="481">
        <v>32</v>
      </c>
      <c r="D36" s="480">
        <f t="shared" si="2"/>
        <v>513435.83507347549</v>
      </c>
      <c r="E36" s="482">
        <f>'Параметры проекта'!$B$46+'Параметры проекта'!$B$47</f>
        <v>0.55000000000000004</v>
      </c>
      <c r="F36" s="482">
        <f>'Параметры проекта'!$B$44</f>
        <v>0.45</v>
      </c>
      <c r="G36" s="480">
        <f t="shared" si="0"/>
        <v>282389.70929041156</v>
      </c>
      <c r="H36" s="480">
        <f t="shared" si="1"/>
        <v>231046.12578306397</v>
      </c>
    </row>
    <row r="37" spans="3:14" x14ac:dyDescent="0.25">
      <c r="C37" s="481">
        <v>33</v>
      </c>
      <c r="D37" s="480">
        <f t="shared" si="2"/>
        <v>513435.83507347549</v>
      </c>
      <c r="E37" s="482">
        <f>'Параметры проекта'!$B$46+'Параметры проекта'!$B$47</f>
        <v>0.55000000000000004</v>
      </c>
      <c r="F37" s="482">
        <f>'Параметры проекта'!$B$44</f>
        <v>0.45</v>
      </c>
      <c r="G37" s="480">
        <f t="shared" si="0"/>
        <v>282389.70929041156</v>
      </c>
      <c r="H37" s="480">
        <f t="shared" si="1"/>
        <v>231046.12578306397</v>
      </c>
    </row>
    <row r="38" spans="3:14" x14ac:dyDescent="0.25">
      <c r="C38" s="481">
        <v>34</v>
      </c>
      <c r="D38" s="480">
        <f t="shared" si="2"/>
        <v>513435.83507347549</v>
      </c>
      <c r="E38" s="482">
        <f>'Параметры проекта'!$B$46+'Параметры проекта'!$B$47</f>
        <v>0.55000000000000004</v>
      </c>
      <c r="F38" s="482">
        <f>'Параметры проекта'!$B$44</f>
        <v>0.45</v>
      </c>
      <c r="G38" s="480">
        <f t="shared" si="0"/>
        <v>282389.70929041156</v>
      </c>
      <c r="H38" s="480">
        <f t="shared" si="1"/>
        <v>231046.12578306397</v>
      </c>
      <c r="L38" s="480"/>
    </row>
    <row r="39" spans="3:14" x14ac:dyDescent="0.25">
      <c r="C39" s="481">
        <v>35</v>
      </c>
      <c r="D39" s="480">
        <f t="shared" si="2"/>
        <v>513435.83507347549</v>
      </c>
      <c r="E39" s="482">
        <f>'Параметры проекта'!$B$46+'Параметры проекта'!$B$47</f>
        <v>0.55000000000000004</v>
      </c>
      <c r="F39" s="482">
        <f>'Параметры проекта'!$B$44</f>
        <v>0.45</v>
      </c>
      <c r="G39" s="480">
        <f t="shared" si="0"/>
        <v>282389.70929041156</v>
      </c>
      <c r="H39" s="480">
        <f t="shared" si="1"/>
        <v>231046.12578306397</v>
      </c>
      <c r="J39" s="480"/>
    </row>
    <row r="40" spans="3:14" x14ac:dyDescent="0.25">
      <c r="C40" s="481">
        <v>36</v>
      </c>
      <c r="D40" s="480">
        <f t="shared" si="2"/>
        <v>513435.83507347549</v>
      </c>
      <c r="E40" s="482">
        <f>'Параметры проекта'!$B$46+'Параметры проекта'!$B$47</f>
        <v>0.55000000000000004</v>
      </c>
      <c r="F40" s="482">
        <f>'Параметры проекта'!$B$44</f>
        <v>0.45</v>
      </c>
      <c r="G40" s="480">
        <f t="shared" si="0"/>
        <v>282389.70929041156</v>
      </c>
      <c r="H40" s="480">
        <f t="shared" si="1"/>
        <v>231046.12578306397</v>
      </c>
      <c r="J40" s="480"/>
      <c r="L40" s="480"/>
      <c r="M40" s="480"/>
      <c r="N40" s="482"/>
    </row>
    <row r="41" spans="3:14" x14ac:dyDescent="0.25">
      <c r="C41" s="487" t="s">
        <v>231</v>
      </c>
    </row>
    <row r="43" spans="3:14" ht="45" x14ac:dyDescent="0.25">
      <c r="C43" s="488" t="s">
        <v>237</v>
      </c>
      <c r="D43" s="480">
        <v>24</v>
      </c>
    </row>
    <row r="44" spans="3:14" x14ac:dyDescent="0.25">
      <c r="C44" s="488" t="s">
        <v>232</v>
      </c>
      <c r="D44" s="490">
        <f>D43*D5</f>
        <v>12322460.041763412</v>
      </c>
      <c r="E44" s="491"/>
      <c r="F44" s="491"/>
    </row>
    <row r="45" spans="3:14" ht="30" x14ac:dyDescent="0.25">
      <c r="C45" s="488" t="s">
        <v>233</v>
      </c>
      <c r="D45" s="492">
        <f>D44*F40</f>
        <v>5545107.0187935354</v>
      </c>
      <c r="E45" s="492">
        <f>D44*7.5%</f>
        <v>924184.50313225586</v>
      </c>
      <c r="F45" s="492">
        <f>D44*(E40-7.5%)</f>
        <v>5853168.5198376207</v>
      </c>
    </row>
    <row r="46" spans="3:14" ht="45" x14ac:dyDescent="0.25">
      <c r="C46" s="488" t="s">
        <v>234</v>
      </c>
      <c r="D46" s="490">
        <f>SUM(H5:H40)+D45</f>
        <v>13862767.546983846</v>
      </c>
      <c r="E46" s="491"/>
      <c r="F46" s="491"/>
    </row>
    <row r="47" spans="3:14" ht="74.25" customHeight="1" x14ac:dyDescent="0.25">
      <c r="C47" s="488" t="s">
        <v>235</v>
      </c>
      <c r="D47" s="480">
        <f>D46-D4</f>
        <v>7060154.236698648</v>
      </c>
    </row>
    <row r="48" spans="3:14" ht="30" x14ac:dyDescent="0.25">
      <c r="C48" s="488" t="s">
        <v>236</v>
      </c>
      <c r="D48" s="489">
        <f>D47/D4/3</f>
        <v>0.34595303866648136</v>
      </c>
    </row>
    <row r="49" spans="3:3" x14ac:dyDescent="0.25">
      <c r="C49" s="488"/>
    </row>
  </sheetData>
  <sheetProtection password="CC5E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368"/>
  <sheetViews>
    <sheetView tabSelected="1" workbookViewId="0">
      <selection activeCell="F14" sqref="F14:G14"/>
    </sheetView>
  </sheetViews>
  <sheetFormatPr defaultRowHeight="12.75" x14ac:dyDescent="0.2"/>
  <cols>
    <col min="1" max="1" width="4" customWidth="1"/>
    <col min="2" max="2" width="3" customWidth="1"/>
    <col min="3" max="3" width="57" customWidth="1"/>
    <col min="4" max="4" width="11.7109375" customWidth="1"/>
    <col min="5" max="5" width="3.140625" style="148" customWidth="1"/>
    <col min="6" max="10" width="9.140625" style="148"/>
  </cols>
  <sheetData>
    <row r="5" spans="2:6" ht="13.5" customHeight="1" x14ac:dyDescent="0.2"/>
    <row r="6" spans="2:6" ht="16.5" customHeight="1" thickBot="1" x14ac:dyDescent="0.25">
      <c r="B6" s="462"/>
      <c r="C6" s="462"/>
      <c r="D6" s="462"/>
      <c r="E6" s="630"/>
    </row>
    <row r="7" spans="2:6" ht="20.25" customHeight="1" thickBot="1" x14ac:dyDescent="0.3">
      <c r="B7" s="464"/>
      <c r="C7" s="662" t="s">
        <v>304</v>
      </c>
      <c r="D7" s="663"/>
      <c r="E7" s="631"/>
    </row>
    <row r="8" spans="2:6" ht="16.5" customHeight="1" thickBot="1" x14ac:dyDescent="0.3">
      <c r="B8" s="464"/>
      <c r="C8" s="664" t="s">
        <v>275</v>
      </c>
      <c r="D8" s="664"/>
      <c r="E8" s="631"/>
    </row>
    <row r="9" spans="2:6" ht="16.5" customHeight="1" thickBot="1" x14ac:dyDescent="0.3">
      <c r="B9" s="464"/>
      <c r="C9" s="617" t="s">
        <v>329</v>
      </c>
      <c r="D9" s="618">
        <v>1000000</v>
      </c>
      <c r="E9" s="632" t="str">
        <f>IF(D9&gt;D36,"Ваши инвестиции не могут быть выше стоимости проекта",IF(D9&lt;1000000,"Минимальная сумма инвестиций не может быть меньше 1 млн руб",""))</f>
        <v/>
      </c>
    </row>
    <row r="10" spans="2:6" ht="16.5" customHeight="1" thickBot="1" x14ac:dyDescent="0.3">
      <c r="B10" s="464"/>
      <c r="C10" s="666" t="s">
        <v>328</v>
      </c>
      <c r="D10" s="666"/>
      <c r="E10" s="631"/>
    </row>
    <row r="11" spans="2:6" ht="12.75" customHeight="1" x14ac:dyDescent="0.25">
      <c r="B11" s="464"/>
      <c r="C11" s="445" t="s">
        <v>272</v>
      </c>
      <c r="D11" s="459" t="s">
        <v>273</v>
      </c>
      <c r="E11" s="632" t="str">
        <f>IF(D11="казань","","Кроме города Казань в данном калькуляторе можно использовать только города Республики Татарстан")</f>
        <v/>
      </c>
    </row>
    <row r="12" spans="2:6" ht="12.75" customHeight="1" x14ac:dyDescent="0.25">
      <c r="B12" s="464"/>
      <c r="C12" s="446" t="s">
        <v>327</v>
      </c>
      <c r="D12" s="460">
        <f>'Смета график'!C4</f>
        <v>4600000</v>
      </c>
      <c r="E12" s="633"/>
    </row>
    <row r="13" spans="2:6" ht="12.75" customHeight="1" x14ac:dyDescent="0.25">
      <c r="B13" s="464"/>
      <c r="C13" s="446" t="s">
        <v>333</v>
      </c>
      <c r="D13" s="460">
        <f>'Смета график'!C21</f>
        <v>850000</v>
      </c>
      <c r="E13" s="633"/>
    </row>
    <row r="14" spans="2:6" ht="12.75" customHeight="1" thickBot="1" x14ac:dyDescent="0.3">
      <c r="B14" s="464"/>
      <c r="C14" s="447" t="s">
        <v>274</v>
      </c>
      <c r="D14" s="461">
        <v>3</v>
      </c>
      <c r="E14" s="631"/>
      <c r="F14" s="634" t="str">
        <f>IF(D14&gt;3,"Модель не предусматривает рассчет более 3 отдельных точек продаж -выбирайте значение от 1 до 3","")</f>
        <v/>
      </c>
    </row>
    <row r="15" spans="2:6" ht="12.75" customHeight="1" thickBot="1" x14ac:dyDescent="0.3">
      <c r="B15" s="464"/>
      <c r="C15" s="665" t="s">
        <v>11</v>
      </c>
      <c r="D15" s="665"/>
      <c r="E15" s="631"/>
    </row>
    <row r="16" spans="2:6" ht="12.75" customHeight="1" x14ac:dyDescent="0.25">
      <c r="B16" s="464"/>
      <c r="C16" s="445" t="s">
        <v>276</v>
      </c>
      <c r="D16" s="456">
        <v>41000</v>
      </c>
      <c r="E16" s="632" t="str">
        <f>IF(D11="казань","","Для иногороднего куста выручка будет выше на 4,9% от введенной в ячейку")</f>
        <v/>
      </c>
    </row>
    <row r="17" spans="2:5" ht="12.75" customHeight="1" x14ac:dyDescent="0.25">
      <c r="B17" s="464"/>
      <c r="C17" s="446" t="s">
        <v>277</v>
      </c>
      <c r="D17" s="457">
        <v>20000</v>
      </c>
      <c r="E17" s="632"/>
    </row>
    <row r="18" spans="2:5" ht="12.75" customHeight="1" x14ac:dyDescent="0.25">
      <c r="B18" s="464"/>
      <c r="C18" s="446" t="s">
        <v>278</v>
      </c>
      <c r="D18" s="457">
        <v>100000</v>
      </c>
      <c r="E18" s="632" t="str">
        <f>IF(D11="казань","","Для иногороднего куста аренда цеха будет ниже на 20% от введенной в ячейку")</f>
        <v/>
      </c>
    </row>
    <row r="19" spans="2:5" ht="12.75" customHeight="1" x14ac:dyDescent="0.25">
      <c r="B19" s="464"/>
      <c r="C19" s="446" t="s">
        <v>279</v>
      </c>
      <c r="D19" s="457">
        <v>50000</v>
      </c>
      <c r="E19" s="632" t="str">
        <f>IF(D11="казань","","Для иногороднего куста аренда точки продаж будет ниже на 30% от введенной в ячейку")</f>
        <v/>
      </c>
    </row>
    <row r="20" spans="2:5" ht="12.75" customHeight="1" x14ac:dyDescent="0.25">
      <c r="B20" s="464"/>
      <c r="C20" s="446" t="s">
        <v>280</v>
      </c>
      <c r="D20" s="457">
        <v>50000</v>
      </c>
      <c r="E20" s="632"/>
    </row>
    <row r="21" spans="2:5" ht="12.75" customHeight="1" x14ac:dyDescent="0.25">
      <c r="B21" s="464"/>
      <c r="C21" s="446" t="s">
        <v>281</v>
      </c>
      <c r="D21" s="457">
        <v>25000</v>
      </c>
      <c r="E21" s="632"/>
    </row>
    <row r="22" spans="2:5" ht="12.75" customHeight="1" x14ac:dyDescent="0.25">
      <c r="B22" s="464"/>
      <c r="C22" s="446" t="s">
        <v>282</v>
      </c>
      <c r="D22" s="457">
        <v>20000</v>
      </c>
      <c r="E22" s="632"/>
    </row>
    <row r="23" spans="2:5" ht="12.75" customHeight="1" x14ac:dyDescent="0.25">
      <c r="B23" s="464"/>
      <c r="C23" s="446" t="s">
        <v>283</v>
      </c>
      <c r="D23" s="457">
        <v>23000</v>
      </c>
      <c r="E23" s="631"/>
    </row>
    <row r="24" spans="2:5" ht="12.75" customHeight="1" thickBot="1" x14ac:dyDescent="0.3">
      <c r="B24" s="464"/>
      <c r="C24" s="447" t="s">
        <v>284</v>
      </c>
      <c r="D24" s="458">
        <v>18000</v>
      </c>
      <c r="E24" s="631"/>
    </row>
    <row r="25" spans="2:5" ht="13.5" x14ac:dyDescent="0.25">
      <c r="B25" s="464"/>
      <c r="C25" s="465"/>
      <c r="D25" s="464"/>
      <c r="E25" s="631"/>
    </row>
    <row r="26" spans="2:5" ht="14.25" thickBot="1" x14ac:dyDescent="0.3">
      <c r="B26" s="466"/>
      <c r="C26" s="467"/>
      <c r="D26" s="466"/>
      <c r="E26" s="635"/>
    </row>
    <row r="27" spans="2:5" ht="18.75" customHeight="1" thickBot="1" x14ac:dyDescent="0.3">
      <c r="B27" s="466"/>
      <c r="C27" s="662" t="s">
        <v>285</v>
      </c>
      <c r="D27" s="663"/>
      <c r="E27" s="635"/>
    </row>
    <row r="28" spans="2:5" ht="12" customHeight="1" x14ac:dyDescent="0.25">
      <c r="B28" s="466"/>
      <c r="C28" s="445" t="s">
        <v>331</v>
      </c>
      <c r="D28" s="621">
        <f>'Параметры проекта'!B44</f>
        <v>0.45</v>
      </c>
      <c r="E28" s="635"/>
    </row>
    <row r="29" spans="2:5" ht="12" customHeight="1" x14ac:dyDescent="0.25">
      <c r="B29" s="466"/>
      <c r="C29" s="616" t="s">
        <v>332</v>
      </c>
      <c r="D29" s="622">
        <f>IF(D9&gt;D36,0,IF(D9&lt;1000000,0,D9*D28/D36))</f>
        <v>6.6151048056725989E-2</v>
      </c>
      <c r="E29" s="635"/>
    </row>
    <row r="30" spans="2:5" ht="12" customHeight="1" x14ac:dyDescent="0.25">
      <c r="B30" s="466"/>
      <c r="C30" s="448" t="s">
        <v>291</v>
      </c>
      <c r="D30" s="623">
        <f>'Параметры проекта'!G5</f>
        <v>34.442663395586962</v>
      </c>
      <c r="E30" s="636"/>
    </row>
    <row r="31" spans="2:5" ht="12" customHeight="1" x14ac:dyDescent="0.25">
      <c r="B31" s="466"/>
      <c r="C31" s="446" t="s">
        <v>289</v>
      </c>
      <c r="D31" s="624">
        <f>'Параметры проекта'!G6</f>
        <v>101000</v>
      </c>
      <c r="E31" s="636"/>
    </row>
    <row r="32" spans="2:5" ht="12" customHeight="1" x14ac:dyDescent="0.25">
      <c r="B32" s="466"/>
      <c r="C32" s="446" t="s">
        <v>290</v>
      </c>
      <c r="D32" s="624">
        <f>'Параметры проекта'!G7</f>
        <v>3030000</v>
      </c>
      <c r="E32" s="636"/>
    </row>
    <row r="33" spans="2:5" ht="12" customHeight="1" x14ac:dyDescent="0.25">
      <c r="B33" s="466"/>
      <c r="C33" s="446" t="s">
        <v>193</v>
      </c>
      <c r="D33" s="625">
        <f>'Параметры проекта'!G8</f>
        <v>2.7273929332255933</v>
      </c>
      <c r="E33" s="636"/>
    </row>
    <row r="34" spans="2:5" ht="12" customHeight="1" x14ac:dyDescent="0.25">
      <c r="B34" s="466"/>
      <c r="C34" s="446" t="s">
        <v>292</v>
      </c>
      <c r="D34" s="624">
        <f>'Параметры проекта'!G9</f>
        <v>1039537.7305263157</v>
      </c>
      <c r="E34" s="636"/>
    </row>
    <row r="35" spans="2:5" ht="12" customHeight="1" x14ac:dyDescent="0.25">
      <c r="B35" s="466"/>
      <c r="C35" s="446" t="s">
        <v>293</v>
      </c>
      <c r="D35" s="624">
        <f>'Параметры проекта'!G10</f>
        <v>1552973.5655997915</v>
      </c>
      <c r="E35" s="636"/>
    </row>
    <row r="36" spans="2:5" ht="12" customHeight="1" x14ac:dyDescent="0.25">
      <c r="B36" s="466"/>
      <c r="C36" s="446" t="s">
        <v>294</v>
      </c>
      <c r="D36" s="624">
        <f>'Параметры проекта'!G11</f>
        <v>6802613.3102851976</v>
      </c>
      <c r="E36" s="636"/>
    </row>
    <row r="37" spans="2:5" ht="12" customHeight="1" x14ac:dyDescent="0.25">
      <c r="B37" s="466"/>
      <c r="C37" s="446" t="s">
        <v>295</v>
      </c>
      <c r="D37" s="624">
        <f>'Параметры проекта'!G12</f>
        <v>347386.68971480289</v>
      </c>
      <c r="E37" s="636"/>
    </row>
    <row r="38" spans="2:5" ht="12" customHeight="1" x14ac:dyDescent="0.25">
      <c r="B38" s="466"/>
      <c r="C38" s="446" t="s">
        <v>296</v>
      </c>
      <c r="D38" s="624">
        <f>'Параметры проекта'!G13</f>
        <v>513435.83507347549</v>
      </c>
      <c r="E38" s="636"/>
    </row>
    <row r="39" spans="2:5" ht="12" customHeight="1" x14ac:dyDescent="0.25">
      <c r="B39" s="466"/>
      <c r="C39" s="446" t="s">
        <v>330</v>
      </c>
      <c r="D39" s="624">
        <f>'Параметры проекта'!G14</f>
        <v>231046.12578306397</v>
      </c>
      <c r="E39" s="636"/>
    </row>
    <row r="40" spans="2:5" ht="12" customHeight="1" x14ac:dyDescent="0.25">
      <c r="B40" s="466"/>
      <c r="C40" s="615" t="s">
        <v>336</v>
      </c>
      <c r="D40" s="626">
        <f>IF(D9&gt;D36,0,IF(D9&lt;1000000,0,D38*D29))</f>
        <v>33964.318599990715</v>
      </c>
      <c r="E40" s="636"/>
    </row>
    <row r="41" spans="2:5" ht="12" customHeight="1" x14ac:dyDescent="0.25">
      <c r="B41" s="466"/>
      <c r="C41" s="446" t="s">
        <v>297</v>
      </c>
      <c r="D41" s="624">
        <f>'Параметры проекта'!G16+'Параметры проекта'!G18</f>
        <v>282389.70929041156</v>
      </c>
      <c r="E41" s="636"/>
    </row>
    <row r="42" spans="2:5" ht="12" customHeight="1" x14ac:dyDescent="0.25">
      <c r="B42" s="466"/>
      <c r="C42" s="446" t="s">
        <v>298</v>
      </c>
      <c r="D42" s="624">
        <f>'Параметры проекта'!G19</f>
        <v>67607.918839627673</v>
      </c>
      <c r="E42" s="636"/>
    </row>
    <row r="43" spans="2:5" ht="12" customHeight="1" x14ac:dyDescent="0.25">
      <c r="B43" s="466"/>
      <c r="C43" s="446" t="s">
        <v>286</v>
      </c>
      <c r="D43" s="627">
        <f>'Параметры проекта'!G20</f>
        <v>8.3989473684210534</v>
      </c>
      <c r="E43" s="636"/>
    </row>
    <row r="44" spans="2:5" ht="12" customHeight="1" x14ac:dyDescent="0.25">
      <c r="B44" s="466"/>
      <c r="C44" s="446" t="s">
        <v>287</v>
      </c>
      <c r="D44" s="627">
        <f>'Параметры проекта'!G21</f>
        <v>5.3193333333333337</v>
      </c>
      <c r="E44" s="636"/>
    </row>
    <row r="45" spans="2:5" ht="12" customHeight="1" x14ac:dyDescent="0.25">
      <c r="B45" s="466"/>
      <c r="C45" s="446" t="s">
        <v>288</v>
      </c>
      <c r="D45" s="627">
        <f>'Параметры проекта'!G22</f>
        <v>8</v>
      </c>
      <c r="E45" s="636"/>
    </row>
    <row r="46" spans="2:5" ht="12" customHeight="1" thickBot="1" x14ac:dyDescent="0.3">
      <c r="B46" s="466"/>
      <c r="C46" s="447" t="s">
        <v>299</v>
      </c>
      <c r="D46" s="628">
        <f>'Параметры проекта'!G24</f>
        <v>16.945077065131205</v>
      </c>
      <c r="E46" s="636"/>
    </row>
    <row r="47" spans="2:5" ht="12" customHeight="1" x14ac:dyDescent="0.25">
      <c r="B47" s="466"/>
      <c r="C47" s="445" t="s">
        <v>303</v>
      </c>
      <c r="D47" s="629">
        <f>'Параметры проекта'!G26</f>
        <v>27.478455527220287</v>
      </c>
      <c r="E47" s="635"/>
    </row>
    <row r="48" spans="2:5" ht="12" customHeight="1" x14ac:dyDescent="0.25">
      <c r="B48" s="466"/>
      <c r="C48" s="446" t="s">
        <v>302</v>
      </c>
      <c r="D48" s="625">
        <f>'Параметры проекта'!G27</f>
        <v>35.010799948670332</v>
      </c>
      <c r="E48" s="635"/>
    </row>
    <row r="49" spans="2:5" ht="12" customHeight="1" x14ac:dyDescent="0.25">
      <c r="B49" s="466"/>
      <c r="C49" s="446" t="s">
        <v>301</v>
      </c>
      <c r="D49" s="625">
        <f>'Параметры проекта'!G28</f>
        <v>36.51726883296034</v>
      </c>
      <c r="E49" s="635"/>
    </row>
    <row r="50" spans="2:5" ht="12" customHeight="1" thickBot="1" x14ac:dyDescent="0.3">
      <c r="B50" s="466"/>
      <c r="C50" s="447" t="s">
        <v>300</v>
      </c>
      <c r="D50" s="628">
        <f>'Параметры проекта'!G23</f>
        <v>38.776972159395349</v>
      </c>
      <c r="E50" s="635"/>
    </row>
    <row r="51" spans="2:5" ht="13.5" x14ac:dyDescent="0.25">
      <c r="B51" s="466"/>
      <c r="C51" s="467"/>
      <c r="D51" s="466"/>
      <c r="E51" s="635"/>
    </row>
    <row r="52" spans="2:5" ht="13.5" x14ac:dyDescent="0.25">
      <c r="B52" s="427"/>
      <c r="C52" s="429"/>
      <c r="D52" s="427"/>
    </row>
    <row r="53" spans="2:5" ht="13.5" x14ac:dyDescent="0.25">
      <c r="B53" s="427"/>
      <c r="C53" s="429"/>
      <c r="D53" s="427"/>
    </row>
    <row r="54" spans="2:5" ht="13.5" x14ac:dyDescent="0.25">
      <c r="B54" s="427"/>
      <c r="C54" s="429"/>
      <c r="D54" s="427"/>
    </row>
    <row r="55" spans="2:5" ht="13.5" x14ac:dyDescent="0.25">
      <c r="B55" s="427"/>
      <c r="C55" s="429"/>
      <c r="D55" s="427"/>
    </row>
    <row r="56" spans="2:5" ht="13.5" x14ac:dyDescent="0.25">
      <c r="B56" s="427"/>
      <c r="C56" s="429"/>
      <c r="D56" s="427"/>
    </row>
    <row r="57" spans="2:5" ht="13.5" x14ac:dyDescent="0.25">
      <c r="B57" s="427"/>
      <c r="C57" s="429"/>
      <c r="D57" s="427"/>
    </row>
    <row r="58" spans="2:5" ht="13.5" x14ac:dyDescent="0.25">
      <c r="B58" s="427"/>
      <c r="C58" s="429"/>
      <c r="D58" s="427"/>
    </row>
    <row r="59" spans="2:5" ht="13.5" x14ac:dyDescent="0.25">
      <c r="B59" s="427"/>
      <c r="C59" s="429"/>
      <c r="D59" s="427"/>
    </row>
    <row r="60" spans="2:5" ht="13.5" x14ac:dyDescent="0.25">
      <c r="B60" s="427"/>
      <c r="C60" s="429"/>
      <c r="D60" s="427"/>
    </row>
    <row r="61" spans="2:5" ht="13.5" x14ac:dyDescent="0.25">
      <c r="B61" s="427"/>
      <c r="C61" s="429"/>
      <c r="D61" s="427"/>
    </row>
    <row r="62" spans="2:5" ht="13.5" x14ac:dyDescent="0.25">
      <c r="B62" s="427"/>
      <c r="C62" s="429"/>
      <c r="D62" s="427"/>
    </row>
    <row r="63" spans="2:5" ht="13.5" x14ac:dyDescent="0.25">
      <c r="B63" s="427"/>
      <c r="C63" s="429"/>
      <c r="D63" s="427"/>
    </row>
    <row r="64" spans="2:5" ht="13.5" x14ac:dyDescent="0.25">
      <c r="B64" s="427"/>
      <c r="C64" s="429"/>
      <c r="D64" s="427"/>
    </row>
    <row r="65" spans="2:4" ht="13.5" x14ac:dyDescent="0.25">
      <c r="B65" s="427"/>
      <c r="C65" s="429"/>
      <c r="D65" s="427"/>
    </row>
    <row r="66" spans="2:4" ht="13.5" x14ac:dyDescent="0.25">
      <c r="B66" s="427"/>
      <c r="C66" s="429"/>
      <c r="D66" s="427"/>
    </row>
    <row r="67" spans="2:4" ht="13.5" x14ac:dyDescent="0.25">
      <c r="B67" s="427"/>
      <c r="C67" s="429"/>
      <c r="D67" s="427"/>
    </row>
    <row r="68" spans="2:4" ht="13.5" x14ac:dyDescent="0.25">
      <c r="B68" s="427"/>
      <c r="C68" s="429"/>
      <c r="D68" s="427"/>
    </row>
    <row r="69" spans="2:4" ht="13.5" x14ac:dyDescent="0.25">
      <c r="B69" s="427"/>
      <c r="C69" s="429"/>
      <c r="D69" s="427"/>
    </row>
    <row r="70" spans="2:4" ht="13.5" x14ac:dyDescent="0.25">
      <c r="B70" s="427"/>
      <c r="C70" s="429"/>
      <c r="D70" s="427"/>
    </row>
    <row r="71" spans="2:4" ht="13.5" x14ac:dyDescent="0.25">
      <c r="B71" s="427"/>
      <c r="C71" s="429"/>
      <c r="D71" s="427"/>
    </row>
    <row r="72" spans="2:4" ht="13.5" x14ac:dyDescent="0.25">
      <c r="B72" s="427"/>
      <c r="C72" s="429"/>
      <c r="D72" s="427"/>
    </row>
    <row r="73" spans="2:4" ht="13.5" x14ac:dyDescent="0.25">
      <c r="B73" s="427"/>
      <c r="C73" s="429"/>
      <c r="D73" s="427"/>
    </row>
    <row r="74" spans="2:4" ht="13.5" x14ac:dyDescent="0.25">
      <c r="B74" s="427"/>
      <c r="C74" s="429"/>
      <c r="D74" s="427"/>
    </row>
    <row r="75" spans="2:4" ht="13.5" x14ac:dyDescent="0.25">
      <c r="B75" s="427"/>
      <c r="C75" s="429"/>
      <c r="D75" s="427"/>
    </row>
    <row r="76" spans="2:4" ht="13.5" x14ac:dyDescent="0.25">
      <c r="B76" s="427"/>
      <c r="C76" s="429"/>
      <c r="D76" s="427"/>
    </row>
    <row r="77" spans="2:4" ht="13.5" x14ac:dyDescent="0.25">
      <c r="B77" s="427"/>
      <c r="C77" s="429"/>
      <c r="D77" s="427"/>
    </row>
    <row r="78" spans="2:4" ht="13.5" x14ac:dyDescent="0.25">
      <c r="B78" s="427"/>
      <c r="C78" s="429"/>
      <c r="D78" s="427"/>
    </row>
    <row r="79" spans="2:4" ht="13.5" x14ac:dyDescent="0.25">
      <c r="B79" s="427"/>
      <c r="C79" s="429"/>
      <c r="D79" s="427"/>
    </row>
    <row r="80" spans="2:4" ht="13.5" x14ac:dyDescent="0.25">
      <c r="B80" s="427"/>
      <c r="C80" s="429"/>
      <c r="D80" s="427"/>
    </row>
    <row r="81" spans="2:4" ht="13.5" x14ac:dyDescent="0.25">
      <c r="B81" s="427"/>
      <c r="C81" s="429"/>
      <c r="D81" s="427"/>
    </row>
    <row r="82" spans="2:4" ht="13.5" x14ac:dyDescent="0.25">
      <c r="B82" s="427"/>
      <c r="C82" s="429"/>
      <c r="D82" s="427"/>
    </row>
    <row r="83" spans="2:4" ht="13.5" x14ac:dyDescent="0.25">
      <c r="B83" s="427"/>
      <c r="C83" s="429"/>
      <c r="D83" s="427"/>
    </row>
    <row r="84" spans="2:4" ht="13.5" x14ac:dyDescent="0.25">
      <c r="B84" s="427"/>
      <c r="C84" s="429"/>
      <c r="D84" s="427"/>
    </row>
    <row r="85" spans="2:4" ht="13.5" x14ac:dyDescent="0.25">
      <c r="B85" s="427"/>
      <c r="C85" s="429"/>
      <c r="D85" s="427"/>
    </row>
    <row r="86" spans="2:4" ht="13.5" x14ac:dyDescent="0.25">
      <c r="B86" s="427"/>
      <c r="C86" s="429"/>
      <c r="D86" s="427"/>
    </row>
    <row r="87" spans="2:4" ht="13.5" x14ac:dyDescent="0.25">
      <c r="B87" s="427"/>
      <c r="C87" s="429"/>
      <c r="D87" s="427"/>
    </row>
    <row r="88" spans="2:4" ht="13.5" x14ac:dyDescent="0.25">
      <c r="B88" s="427"/>
      <c r="C88" s="429"/>
      <c r="D88" s="427"/>
    </row>
    <row r="89" spans="2:4" ht="13.5" x14ac:dyDescent="0.25">
      <c r="B89" s="427"/>
      <c r="C89" s="429"/>
      <c r="D89" s="427"/>
    </row>
    <row r="90" spans="2:4" ht="13.5" x14ac:dyDescent="0.25">
      <c r="B90" s="427"/>
      <c r="C90" s="429"/>
      <c r="D90" s="427"/>
    </row>
    <row r="91" spans="2:4" ht="13.5" x14ac:dyDescent="0.25">
      <c r="B91" s="427"/>
      <c r="C91" s="429"/>
      <c r="D91" s="427"/>
    </row>
    <row r="92" spans="2:4" ht="13.5" x14ac:dyDescent="0.25">
      <c r="B92" s="427"/>
      <c r="C92" s="429"/>
      <c r="D92" s="427"/>
    </row>
    <row r="93" spans="2:4" ht="13.5" x14ac:dyDescent="0.25">
      <c r="B93" s="427"/>
      <c r="C93" s="429"/>
      <c r="D93" s="427"/>
    </row>
    <row r="94" spans="2:4" ht="13.5" x14ac:dyDescent="0.25">
      <c r="B94" s="427"/>
      <c r="C94" s="428"/>
      <c r="D94" s="427"/>
    </row>
    <row r="95" spans="2:4" ht="13.5" x14ac:dyDescent="0.25">
      <c r="B95" s="427"/>
      <c r="C95" s="428"/>
      <c r="D95" s="427"/>
    </row>
    <row r="96" spans="2:4" ht="13.5" x14ac:dyDescent="0.25">
      <c r="B96" s="427"/>
      <c r="C96" s="428"/>
      <c r="D96" s="427"/>
    </row>
    <row r="97" spans="2:4" ht="13.5" x14ac:dyDescent="0.25">
      <c r="B97" s="427"/>
      <c r="C97" s="428"/>
      <c r="D97" s="427"/>
    </row>
    <row r="98" spans="2:4" ht="13.5" x14ac:dyDescent="0.25">
      <c r="B98" s="427"/>
      <c r="C98" s="428"/>
      <c r="D98" s="427"/>
    </row>
    <row r="99" spans="2:4" ht="13.5" x14ac:dyDescent="0.25">
      <c r="B99" s="427"/>
      <c r="C99" s="428"/>
      <c r="D99" s="427"/>
    </row>
    <row r="100" spans="2:4" ht="13.5" x14ac:dyDescent="0.25">
      <c r="B100" s="427"/>
      <c r="C100" s="428"/>
      <c r="D100" s="427"/>
    </row>
    <row r="101" spans="2:4" ht="13.5" x14ac:dyDescent="0.25">
      <c r="B101" s="427"/>
      <c r="C101" s="428"/>
      <c r="D101" s="427"/>
    </row>
    <row r="102" spans="2:4" ht="13.5" x14ac:dyDescent="0.25">
      <c r="B102" s="427"/>
      <c r="C102" s="428"/>
      <c r="D102" s="427"/>
    </row>
    <row r="103" spans="2:4" ht="13.5" x14ac:dyDescent="0.25">
      <c r="B103" s="427"/>
      <c r="C103" s="428"/>
      <c r="D103" s="427"/>
    </row>
    <row r="104" spans="2:4" ht="13.5" x14ac:dyDescent="0.25">
      <c r="B104" s="427"/>
      <c r="C104" s="428"/>
      <c r="D104" s="427"/>
    </row>
    <row r="105" spans="2:4" ht="13.5" x14ac:dyDescent="0.25">
      <c r="B105" s="427"/>
      <c r="C105" s="428"/>
      <c r="D105" s="427"/>
    </row>
    <row r="106" spans="2:4" ht="13.5" x14ac:dyDescent="0.25">
      <c r="B106" s="427"/>
      <c r="C106" s="428"/>
      <c r="D106" s="427"/>
    </row>
    <row r="107" spans="2:4" ht="13.5" x14ac:dyDescent="0.25">
      <c r="B107" s="427"/>
      <c r="C107" s="428"/>
      <c r="D107" s="427"/>
    </row>
    <row r="108" spans="2:4" ht="13.5" x14ac:dyDescent="0.25">
      <c r="B108" s="427"/>
      <c r="C108" s="428"/>
      <c r="D108" s="427"/>
    </row>
    <row r="109" spans="2:4" ht="13.5" x14ac:dyDescent="0.25">
      <c r="B109" s="427"/>
      <c r="C109" s="428"/>
      <c r="D109" s="427"/>
    </row>
    <row r="110" spans="2:4" ht="13.5" x14ac:dyDescent="0.25">
      <c r="B110" s="427"/>
      <c r="C110" s="428"/>
      <c r="D110" s="427"/>
    </row>
    <row r="111" spans="2:4" ht="13.5" x14ac:dyDescent="0.25">
      <c r="B111" s="427"/>
      <c r="C111" s="428"/>
      <c r="D111" s="427"/>
    </row>
    <row r="112" spans="2:4" ht="13.5" x14ac:dyDescent="0.25">
      <c r="B112" s="427"/>
      <c r="C112" s="428"/>
      <c r="D112" s="427"/>
    </row>
    <row r="113" spans="2:4" ht="13.5" x14ac:dyDescent="0.25">
      <c r="B113" s="427"/>
      <c r="C113" s="428"/>
      <c r="D113" s="427"/>
    </row>
    <row r="114" spans="2:4" ht="13.5" x14ac:dyDescent="0.25">
      <c r="B114" s="427"/>
      <c r="C114" s="428"/>
      <c r="D114" s="427"/>
    </row>
    <row r="115" spans="2:4" ht="13.5" x14ac:dyDescent="0.25">
      <c r="B115" s="427"/>
      <c r="C115" s="428"/>
      <c r="D115" s="427"/>
    </row>
    <row r="116" spans="2:4" ht="13.5" x14ac:dyDescent="0.25">
      <c r="B116" s="427"/>
      <c r="C116" s="428"/>
      <c r="D116" s="427"/>
    </row>
    <row r="117" spans="2:4" ht="13.5" x14ac:dyDescent="0.25">
      <c r="B117" s="427"/>
      <c r="C117" s="428"/>
      <c r="D117" s="427"/>
    </row>
    <row r="118" spans="2:4" ht="13.5" x14ac:dyDescent="0.25">
      <c r="B118" s="427"/>
      <c r="C118" s="428"/>
      <c r="D118" s="427"/>
    </row>
    <row r="119" spans="2:4" ht="13.5" x14ac:dyDescent="0.25">
      <c r="B119" s="427"/>
      <c r="C119" s="428"/>
      <c r="D119" s="427"/>
    </row>
    <row r="120" spans="2:4" ht="13.5" x14ac:dyDescent="0.25">
      <c r="B120" s="427"/>
      <c r="C120" s="428"/>
      <c r="D120" s="427"/>
    </row>
    <row r="121" spans="2:4" ht="13.5" x14ac:dyDescent="0.25">
      <c r="B121" s="427"/>
      <c r="C121" s="428"/>
      <c r="D121" s="427"/>
    </row>
    <row r="122" spans="2:4" ht="13.5" x14ac:dyDescent="0.25">
      <c r="B122" s="427"/>
      <c r="C122" s="428"/>
      <c r="D122" s="427"/>
    </row>
    <row r="123" spans="2:4" ht="13.5" x14ac:dyDescent="0.25">
      <c r="B123" s="427"/>
      <c r="C123" s="428"/>
      <c r="D123" s="427"/>
    </row>
    <row r="124" spans="2:4" ht="13.5" x14ac:dyDescent="0.25">
      <c r="B124" s="427"/>
      <c r="C124" s="428"/>
      <c r="D124" s="427"/>
    </row>
    <row r="125" spans="2:4" ht="13.5" x14ac:dyDescent="0.25">
      <c r="B125" s="427"/>
      <c r="C125" s="428"/>
      <c r="D125" s="427"/>
    </row>
    <row r="126" spans="2:4" ht="13.5" x14ac:dyDescent="0.25">
      <c r="B126" s="427"/>
      <c r="C126" s="428"/>
      <c r="D126" s="427"/>
    </row>
    <row r="127" spans="2:4" ht="13.5" x14ac:dyDescent="0.25">
      <c r="B127" s="427"/>
      <c r="C127" s="428"/>
      <c r="D127" s="427"/>
    </row>
    <row r="128" spans="2:4" ht="13.5" x14ac:dyDescent="0.25">
      <c r="B128" s="427"/>
      <c r="C128" s="428"/>
      <c r="D128" s="427"/>
    </row>
    <row r="129" spans="2:4" ht="13.5" x14ac:dyDescent="0.25">
      <c r="B129" s="427"/>
      <c r="C129" s="428"/>
      <c r="D129" s="427"/>
    </row>
    <row r="130" spans="2:4" ht="13.5" x14ac:dyDescent="0.25">
      <c r="B130" s="427"/>
      <c r="C130" s="428"/>
      <c r="D130" s="427"/>
    </row>
    <row r="131" spans="2:4" ht="13.5" x14ac:dyDescent="0.25">
      <c r="B131" s="427"/>
      <c r="C131" s="428"/>
      <c r="D131" s="427"/>
    </row>
    <row r="132" spans="2:4" ht="13.5" x14ac:dyDescent="0.25">
      <c r="B132" s="427"/>
      <c r="C132" s="428"/>
      <c r="D132" s="427"/>
    </row>
    <row r="133" spans="2:4" ht="13.5" x14ac:dyDescent="0.25">
      <c r="B133" s="427"/>
      <c r="C133" s="428"/>
      <c r="D133" s="427"/>
    </row>
    <row r="134" spans="2:4" ht="13.5" x14ac:dyDescent="0.25">
      <c r="B134" s="427"/>
      <c r="C134" s="428"/>
      <c r="D134" s="427"/>
    </row>
    <row r="135" spans="2:4" ht="13.5" x14ac:dyDescent="0.25">
      <c r="B135" s="427"/>
      <c r="C135" s="428"/>
      <c r="D135" s="427"/>
    </row>
    <row r="136" spans="2:4" ht="13.5" x14ac:dyDescent="0.25">
      <c r="B136" s="427"/>
      <c r="C136" s="428"/>
      <c r="D136" s="427"/>
    </row>
    <row r="137" spans="2:4" ht="13.5" x14ac:dyDescent="0.25">
      <c r="B137" s="427"/>
      <c r="C137" s="428"/>
      <c r="D137" s="427"/>
    </row>
    <row r="138" spans="2:4" ht="13.5" x14ac:dyDescent="0.25">
      <c r="B138" s="427"/>
      <c r="C138" s="428"/>
      <c r="D138" s="427"/>
    </row>
    <row r="139" spans="2:4" ht="13.5" x14ac:dyDescent="0.25">
      <c r="B139" s="427"/>
      <c r="C139" s="428"/>
      <c r="D139" s="427"/>
    </row>
    <row r="140" spans="2:4" ht="13.5" x14ac:dyDescent="0.25">
      <c r="B140" s="427"/>
      <c r="C140" s="428"/>
      <c r="D140" s="427"/>
    </row>
    <row r="141" spans="2:4" ht="13.5" x14ac:dyDescent="0.25">
      <c r="B141" s="427"/>
      <c r="C141" s="428"/>
      <c r="D141" s="427"/>
    </row>
    <row r="142" spans="2:4" ht="13.5" x14ac:dyDescent="0.25">
      <c r="B142" s="427"/>
      <c r="C142" s="428"/>
      <c r="D142" s="427"/>
    </row>
    <row r="143" spans="2:4" ht="13.5" x14ac:dyDescent="0.25">
      <c r="B143" s="427"/>
      <c r="C143" s="428"/>
      <c r="D143" s="427"/>
    </row>
    <row r="144" spans="2:4" ht="13.5" x14ac:dyDescent="0.25">
      <c r="B144" s="427"/>
      <c r="C144" s="428"/>
      <c r="D144" s="427"/>
    </row>
    <row r="145" spans="2:4" ht="13.5" x14ac:dyDescent="0.25">
      <c r="B145" s="427"/>
      <c r="C145" s="428"/>
      <c r="D145" s="427"/>
    </row>
    <row r="146" spans="2:4" ht="13.5" x14ac:dyDescent="0.25">
      <c r="B146" s="427"/>
      <c r="C146" s="428"/>
      <c r="D146" s="427"/>
    </row>
    <row r="147" spans="2:4" ht="13.5" x14ac:dyDescent="0.25">
      <c r="B147" s="427"/>
      <c r="C147" s="428"/>
      <c r="D147" s="427"/>
    </row>
    <row r="148" spans="2:4" ht="13.5" x14ac:dyDescent="0.25">
      <c r="B148" s="427"/>
      <c r="C148" s="428"/>
      <c r="D148" s="427"/>
    </row>
    <row r="149" spans="2:4" ht="13.5" x14ac:dyDescent="0.25">
      <c r="B149" s="427"/>
      <c r="C149" s="428"/>
      <c r="D149" s="427"/>
    </row>
    <row r="150" spans="2:4" ht="13.5" x14ac:dyDescent="0.25">
      <c r="B150" s="427"/>
      <c r="C150" s="428"/>
      <c r="D150" s="427"/>
    </row>
    <row r="151" spans="2:4" ht="13.5" x14ac:dyDescent="0.25">
      <c r="B151" s="427"/>
      <c r="C151" s="428"/>
      <c r="D151" s="427"/>
    </row>
    <row r="152" spans="2:4" ht="13.5" x14ac:dyDescent="0.25">
      <c r="B152" s="427"/>
      <c r="C152" s="428"/>
      <c r="D152" s="427"/>
    </row>
    <row r="153" spans="2:4" ht="13.5" x14ac:dyDescent="0.25">
      <c r="B153" s="427"/>
      <c r="C153" s="428"/>
      <c r="D153" s="427"/>
    </row>
    <row r="154" spans="2:4" ht="13.5" x14ac:dyDescent="0.25">
      <c r="B154" s="427"/>
      <c r="C154" s="428"/>
      <c r="D154" s="427"/>
    </row>
    <row r="155" spans="2:4" ht="13.5" x14ac:dyDescent="0.25">
      <c r="B155" s="427"/>
      <c r="C155" s="428"/>
      <c r="D155" s="427"/>
    </row>
    <row r="156" spans="2:4" ht="13.5" x14ac:dyDescent="0.25">
      <c r="B156" s="427"/>
      <c r="C156" s="428"/>
      <c r="D156" s="427"/>
    </row>
    <row r="157" spans="2:4" ht="13.5" x14ac:dyDescent="0.25">
      <c r="B157" s="427"/>
      <c r="C157" s="428"/>
      <c r="D157" s="427"/>
    </row>
    <row r="158" spans="2:4" ht="13.5" x14ac:dyDescent="0.25">
      <c r="B158" s="427"/>
      <c r="C158" s="428"/>
      <c r="D158" s="427"/>
    </row>
    <row r="159" spans="2:4" ht="13.5" x14ac:dyDescent="0.25">
      <c r="B159" s="427"/>
      <c r="C159" s="428"/>
      <c r="D159" s="427"/>
    </row>
    <row r="160" spans="2:4" ht="13.5" x14ac:dyDescent="0.25">
      <c r="B160" s="427"/>
      <c r="C160" s="428"/>
      <c r="D160" s="427"/>
    </row>
    <row r="161" spans="2:4" ht="13.5" x14ac:dyDescent="0.25">
      <c r="B161" s="427"/>
      <c r="C161" s="428"/>
      <c r="D161" s="427"/>
    </row>
    <row r="162" spans="2:4" ht="13.5" x14ac:dyDescent="0.25">
      <c r="B162" s="427"/>
      <c r="C162" s="428"/>
      <c r="D162" s="427"/>
    </row>
    <row r="163" spans="2:4" ht="13.5" x14ac:dyDescent="0.25">
      <c r="B163" s="427"/>
      <c r="C163" s="428"/>
      <c r="D163" s="427"/>
    </row>
    <row r="164" spans="2:4" ht="13.5" x14ac:dyDescent="0.25">
      <c r="B164" s="427"/>
      <c r="C164" s="428"/>
      <c r="D164" s="427"/>
    </row>
    <row r="165" spans="2:4" ht="13.5" x14ac:dyDescent="0.25">
      <c r="B165" s="427"/>
      <c r="C165" s="428"/>
      <c r="D165" s="427"/>
    </row>
    <row r="166" spans="2:4" ht="13.5" x14ac:dyDescent="0.25">
      <c r="B166" s="427"/>
      <c r="C166" s="428"/>
      <c r="D166" s="427"/>
    </row>
    <row r="167" spans="2:4" ht="13.5" x14ac:dyDescent="0.25">
      <c r="B167" s="427"/>
      <c r="C167" s="428"/>
      <c r="D167" s="427"/>
    </row>
    <row r="168" spans="2:4" ht="13.5" x14ac:dyDescent="0.25">
      <c r="B168" s="427"/>
      <c r="C168" s="428"/>
      <c r="D168" s="427"/>
    </row>
    <row r="169" spans="2:4" ht="13.5" x14ac:dyDescent="0.25">
      <c r="B169" s="427"/>
      <c r="C169" s="428"/>
      <c r="D169" s="427"/>
    </row>
    <row r="170" spans="2:4" ht="13.5" x14ac:dyDescent="0.25">
      <c r="B170" s="427"/>
      <c r="C170" s="428"/>
      <c r="D170" s="427"/>
    </row>
    <row r="171" spans="2:4" ht="13.5" x14ac:dyDescent="0.25">
      <c r="B171" s="427"/>
      <c r="C171" s="428"/>
      <c r="D171" s="427"/>
    </row>
    <row r="172" spans="2:4" ht="13.5" x14ac:dyDescent="0.25">
      <c r="B172" s="427"/>
      <c r="C172" s="428"/>
      <c r="D172" s="427"/>
    </row>
    <row r="173" spans="2:4" ht="13.5" x14ac:dyDescent="0.25">
      <c r="B173" s="427"/>
      <c r="C173" s="428"/>
      <c r="D173" s="427"/>
    </row>
    <row r="174" spans="2:4" ht="13.5" x14ac:dyDescent="0.25">
      <c r="B174" s="427"/>
      <c r="C174" s="428"/>
      <c r="D174" s="427"/>
    </row>
    <row r="175" spans="2:4" ht="13.5" x14ac:dyDescent="0.25">
      <c r="B175" s="427"/>
      <c r="C175" s="428"/>
      <c r="D175" s="427"/>
    </row>
    <row r="176" spans="2:4" ht="13.5" x14ac:dyDescent="0.25">
      <c r="B176" s="427"/>
      <c r="C176" s="428"/>
      <c r="D176" s="427"/>
    </row>
    <row r="177" spans="2:4" ht="13.5" x14ac:dyDescent="0.25">
      <c r="B177" s="427"/>
      <c r="C177" s="428"/>
      <c r="D177" s="427"/>
    </row>
    <row r="178" spans="2:4" ht="13.5" x14ac:dyDescent="0.25">
      <c r="B178" s="427"/>
      <c r="C178" s="428"/>
      <c r="D178" s="427"/>
    </row>
    <row r="179" spans="2:4" ht="13.5" x14ac:dyDescent="0.25">
      <c r="B179" s="427"/>
      <c r="C179" s="428"/>
      <c r="D179" s="427"/>
    </row>
    <row r="180" spans="2:4" ht="13.5" x14ac:dyDescent="0.25">
      <c r="B180" s="427"/>
      <c r="C180" s="428"/>
      <c r="D180" s="427"/>
    </row>
    <row r="181" spans="2:4" ht="13.5" x14ac:dyDescent="0.25">
      <c r="B181" s="427"/>
      <c r="C181" s="428"/>
      <c r="D181" s="427"/>
    </row>
    <row r="182" spans="2:4" ht="13.5" x14ac:dyDescent="0.25">
      <c r="B182" s="427"/>
      <c r="C182" s="428"/>
      <c r="D182" s="427"/>
    </row>
    <row r="183" spans="2:4" ht="13.5" x14ac:dyDescent="0.25">
      <c r="B183" s="427"/>
      <c r="C183" s="428"/>
      <c r="D183" s="427"/>
    </row>
    <row r="184" spans="2:4" ht="13.5" x14ac:dyDescent="0.25">
      <c r="B184" s="427"/>
      <c r="C184" s="428"/>
      <c r="D184" s="427"/>
    </row>
    <row r="185" spans="2:4" ht="13.5" x14ac:dyDescent="0.25">
      <c r="B185" s="427"/>
      <c r="C185" s="428"/>
      <c r="D185" s="427"/>
    </row>
    <row r="186" spans="2:4" ht="13.5" x14ac:dyDescent="0.25">
      <c r="B186" s="427"/>
      <c r="C186" s="428"/>
      <c r="D186" s="427"/>
    </row>
    <row r="187" spans="2:4" ht="13.5" x14ac:dyDescent="0.25">
      <c r="B187" s="427"/>
      <c r="C187" s="428"/>
      <c r="D187" s="427"/>
    </row>
    <row r="188" spans="2:4" ht="13.5" x14ac:dyDescent="0.25">
      <c r="B188" s="427"/>
      <c r="C188" s="428"/>
      <c r="D188" s="427"/>
    </row>
    <row r="189" spans="2:4" ht="13.5" x14ac:dyDescent="0.25">
      <c r="B189" s="427"/>
      <c r="C189" s="428"/>
      <c r="D189" s="427"/>
    </row>
    <row r="190" spans="2:4" ht="13.5" x14ac:dyDescent="0.25">
      <c r="B190" s="427"/>
      <c r="C190" s="428"/>
      <c r="D190" s="427"/>
    </row>
    <row r="191" spans="2:4" ht="13.5" x14ac:dyDescent="0.25">
      <c r="B191" s="427"/>
      <c r="C191" s="428"/>
      <c r="D191" s="427"/>
    </row>
    <row r="192" spans="2:4" ht="13.5" x14ac:dyDescent="0.25">
      <c r="B192" s="427"/>
      <c r="C192" s="428"/>
      <c r="D192" s="427"/>
    </row>
    <row r="193" spans="2:4" ht="13.5" x14ac:dyDescent="0.25">
      <c r="B193" s="427"/>
      <c r="C193" s="428"/>
      <c r="D193" s="427"/>
    </row>
    <row r="194" spans="2:4" ht="13.5" x14ac:dyDescent="0.25">
      <c r="B194" s="427"/>
      <c r="C194" s="427"/>
      <c r="D194" s="427"/>
    </row>
    <row r="195" spans="2:4" ht="13.5" x14ac:dyDescent="0.25">
      <c r="B195" s="427"/>
      <c r="C195" s="427"/>
      <c r="D195" s="427"/>
    </row>
    <row r="196" spans="2:4" ht="13.5" x14ac:dyDescent="0.25">
      <c r="B196" s="427"/>
      <c r="C196" s="427"/>
      <c r="D196" s="427"/>
    </row>
    <row r="197" spans="2:4" ht="13.5" x14ac:dyDescent="0.25">
      <c r="B197" s="427"/>
      <c r="C197" s="427"/>
      <c r="D197" s="427"/>
    </row>
    <row r="198" spans="2:4" ht="13.5" x14ac:dyDescent="0.25">
      <c r="B198" s="427"/>
      <c r="C198" s="427"/>
      <c r="D198" s="427"/>
    </row>
    <row r="199" spans="2:4" ht="13.5" x14ac:dyDescent="0.25">
      <c r="B199" s="427"/>
      <c r="C199" s="427"/>
      <c r="D199" s="427"/>
    </row>
    <row r="200" spans="2:4" ht="13.5" x14ac:dyDescent="0.25">
      <c r="B200" s="427"/>
      <c r="C200" s="427"/>
      <c r="D200" s="427"/>
    </row>
    <row r="201" spans="2:4" ht="13.5" x14ac:dyDescent="0.25">
      <c r="B201" s="427"/>
      <c r="C201" s="427"/>
      <c r="D201" s="427"/>
    </row>
    <row r="202" spans="2:4" ht="13.5" x14ac:dyDescent="0.25">
      <c r="B202" s="427"/>
      <c r="C202" s="427"/>
      <c r="D202" s="427"/>
    </row>
    <row r="203" spans="2:4" ht="13.5" x14ac:dyDescent="0.25">
      <c r="B203" s="427"/>
      <c r="C203" s="427"/>
      <c r="D203" s="427"/>
    </row>
    <row r="204" spans="2:4" ht="13.5" x14ac:dyDescent="0.25">
      <c r="B204" s="427"/>
      <c r="C204" s="427"/>
      <c r="D204" s="427"/>
    </row>
    <row r="205" spans="2:4" ht="13.5" x14ac:dyDescent="0.25">
      <c r="B205" s="427"/>
      <c r="C205" s="427"/>
      <c r="D205" s="427"/>
    </row>
    <row r="206" spans="2:4" ht="13.5" x14ac:dyDescent="0.25">
      <c r="B206" s="427"/>
      <c r="C206" s="427"/>
      <c r="D206" s="427"/>
    </row>
    <row r="207" spans="2:4" ht="13.5" x14ac:dyDescent="0.25">
      <c r="B207" s="427"/>
      <c r="C207" s="427"/>
      <c r="D207" s="427"/>
    </row>
    <row r="208" spans="2:4" ht="13.5" x14ac:dyDescent="0.25">
      <c r="B208" s="427"/>
      <c r="C208" s="427"/>
      <c r="D208" s="427"/>
    </row>
    <row r="209" spans="2:4" ht="13.5" x14ac:dyDescent="0.25">
      <c r="B209" s="427"/>
      <c r="C209" s="427"/>
      <c r="D209" s="427"/>
    </row>
    <row r="210" spans="2:4" ht="13.5" x14ac:dyDescent="0.25">
      <c r="B210" s="427"/>
      <c r="C210" s="427"/>
      <c r="D210" s="427"/>
    </row>
    <row r="211" spans="2:4" ht="13.5" x14ac:dyDescent="0.25">
      <c r="B211" s="427"/>
      <c r="C211" s="427"/>
      <c r="D211" s="427"/>
    </row>
    <row r="212" spans="2:4" ht="13.5" x14ac:dyDescent="0.25">
      <c r="B212" s="427"/>
      <c r="C212" s="427"/>
      <c r="D212" s="427"/>
    </row>
    <row r="213" spans="2:4" ht="13.5" x14ac:dyDescent="0.25">
      <c r="B213" s="427"/>
      <c r="C213" s="427"/>
      <c r="D213" s="427"/>
    </row>
    <row r="214" spans="2:4" ht="13.5" x14ac:dyDescent="0.25">
      <c r="B214" s="427"/>
      <c r="C214" s="427"/>
      <c r="D214" s="427"/>
    </row>
    <row r="215" spans="2:4" ht="13.5" x14ac:dyDescent="0.25">
      <c r="B215" s="427"/>
      <c r="C215" s="427"/>
      <c r="D215" s="427"/>
    </row>
    <row r="216" spans="2:4" ht="13.5" x14ac:dyDescent="0.25">
      <c r="B216" s="427"/>
      <c r="C216" s="427"/>
      <c r="D216" s="427"/>
    </row>
    <row r="217" spans="2:4" ht="13.5" x14ac:dyDescent="0.25">
      <c r="B217" s="427"/>
      <c r="C217" s="427"/>
      <c r="D217" s="427"/>
    </row>
    <row r="218" spans="2:4" ht="13.5" x14ac:dyDescent="0.25">
      <c r="B218" s="427"/>
      <c r="C218" s="427"/>
      <c r="D218" s="427"/>
    </row>
    <row r="219" spans="2:4" ht="13.5" x14ac:dyDescent="0.25">
      <c r="B219" s="427"/>
      <c r="C219" s="427"/>
      <c r="D219" s="427"/>
    </row>
    <row r="220" spans="2:4" ht="13.5" x14ac:dyDescent="0.25">
      <c r="B220" s="427"/>
      <c r="C220" s="427"/>
      <c r="D220" s="427"/>
    </row>
    <row r="221" spans="2:4" ht="13.5" x14ac:dyDescent="0.25">
      <c r="B221" s="427"/>
      <c r="C221" s="427"/>
      <c r="D221" s="427"/>
    </row>
    <row r="222" spans="2:4" ht="13.5" x14ac:dyDescent="0.25">
      <c r="B222" s="427"/>
      <c r="C222" s="427"/>
      <c r="D222" s="427"/>
    </row>
    <row r="223" spans="2:4" ht="13.5" x14ac:dyDescent="0.25">
      <c r="B223" s="427"/>
      <c r="C223" s="427"/>
      <c r="D223" s="427"/>
    </row>
    <row r="224" spans="2:4" ht="13.5" x14ac:dyDescent="0.25">
      <c r="B224" s="427"/>
      <c r="C224" s="427"/>
      <c r="D224" s="427"/>
    </row>
    <row r="225" spans="2:4" ht="13.5" x14ac:dyDescent="0.25">
      <c r="B225" s="427"/>
      <c r="C225" s="427"/>
      <c r="D225" s="427"/>
    </row>
    <row r="226" spans="2:4" ht="13.5" x14ac:dyDescent="0.25">
      <c r="B226" s="427"/>
      <c r="C226" s="427"/>
      <c r="D226" s="427"/>
    </row>
    <row r="227" spans="2:4" ht="13.5" x14ac:dyDescent="0.25">
      <c r="B227" s="427"/>
      <c r="C227" s="427"/>
      <c r="D227" s="427"/>
    </row>
    <row r="228" spans="2:4" ht="13.5" x14ac:dyDescent="0.25">
      <c r="B228" s="427"/>
      <c r="C228" s="427"/>
      <c r="D228" s="427"/>
    </row>
    <row r="229" spans="2:4" ht="13.5" x14ac:dyDescent="0.25">
      <c r="B229" s="427"/>
      <c r="C229" s="427"/>
      <c r="D229" s="427"/>
    </row>
    <row r="230" spans="2:4" ht="13.5" x14ac:dyDescent="0.25">
      <c r="B230" s="427"/>
      <c r="C230" s="427"/>
      <c r="D230" s="427"/>
    </row>
    <row r="231" spans="2:4" ht="13.5" x14ac:dyDescent="0.25">
      <c r="B231" s="427"/>
      <c r="C231" s="427"/>
      <c r="D231" s="427"/>
    </row>
    <row r="232" spans="2:4" ht="13.5" x14ac:dyDescent="0.25">
      <c r="B232" s="427"/>
      <c r="C232" s="427"/>
      <c r="D232" s="427"/>
    </row>
    <row r="233" spans="2:4" ht="13.5" x14ac:dyDescent="0.25">
      <c r="B233" s="427"/>
      <c r="C233" s="427"/>
      <c r="D233" s="427"/>
    </row>
    <row r="234" spans="2:4" ht="13.5" x14ac:dyDescent="0.25">
      <c r="B234" s="427"/>
      <c r="C234" s="427"/>
      <c r="D234" s="427"/>
    </row>
    <row r="235" spans="2:4" ht="13.5" x14ac:dyDescent="0.25">
      <c r="B235" s="427"/>
      <c r="C235" s="427"/>
      <c r="D235" s="427"/>
    </row>
    <row r="236" spans="2:4" ht="13.5" x14ac:dyDescent="0.25">
      <c r="B236" s="427"/>
      <c r="C236" s="427"/>
      <c r="D236" s="427"/>
    </row>
    <row r="237" spans="2:4" ht="13.5" x14ac:dyDescent="0.25">
      <c r="B237" s="427"/>
      <c r="C237" s="427"/>
      <c r="D237" s="427"/>
    </row>
    <row r="238" spans="2:4" ht="13.5" x14ac:dyDescent="0.25">
      <c r="B238" s="427"/>
      <c r="C238" s="427"/>
      <c r="D238" s="427"/>
    </row>
    <row r="239" spans="2:4" ht="13.5" x14ac:dyDescent="0.25">
      <c r="B239" s="427"/>
      <c r="C239" s="427"/>
      <c r="D239" s="427"/>
    </row>
    <row r="240" spans="2:4" ht="13.5" x14ac:dyDescent="0.25">
      <c r="B240" s="427"/>
      <c r="C240" s="427"/>
      <c r="D240" s="427"/>
    </row>
    <row r="241" spans="2:4" ht="13.5" x14ac:dyDescent="0.25">
      <c r="B241" s="427"/>
      <c r="C241" s="427"/>
      <c r="D241" s="427"/>
    </row>
    <row r="242" spans="2:4" ht="13.5" x14ac:dyDescent="0.25">
      <c r="B242" s="427"/>
      <c r="C242" s="427"/>
      <c r="D242" s="427"/>
    </row>
    <row r="243" spans="2:4" ht="13.5" x14ac:dyDescent="0.25">
      <c r="B243" s="427"/>
      <c r="C243" s="427"/>
      <c r="D243" s="427"/>
    </row>
    <row r="244" spans="2:4" ht="13.5" x14ac:dyDescent="0.25">
      <c r="B244" s="427"/>
      <c r="C244" s="427"/>
      <c r="D244" s="427"/>
    </row>
    <row r="245" spans="2:4" ht="13.5" x14ac:dyDescent="0.25">
      <c r="B245" s="427"/>
      <c r="C245" s="427"/>
      <c r="D245" s="427"/>
    </row>
    <row r="246" spans="2:4" ht="13.5" x14ac:dyDescent="0.25">
      <c r="B246" s="427"/>
      <c r="C246" s="427"/>
      <c r="D246" s="427"/>
    </row>
    <row r="247" spans="2:4" ht="13.5" x14ac:dyDescent="0.25">
      <c r="B247" s="427"/>
      <c r="C247" s="427"/>
      <c r="D247" s="427"/>
    </row>
    <row r="248" spans="2:4" ht="13.5" x14ac:dyDescent="0.25">
      <c r="B248" s="427"/>
      <c r="C248" s="427"/>
      <c r="D248" s="427"/>
    </row>
    <row r="249" spans="2:4" ht="13.5" x14ac:dyDescent="0.25">
      <c r="B249" s="427"/>
      <c r="C249" s="427"/>
      <c r="D249" s="427"/>
    </row>
    <row r="250" spans="2:4" ht="13.5" x14ac:dyDescent="0.25">
      <c r="B250" s="427"/>
      <c r="C250" s="427"/>
      <c r="D250" s="427"/>
    </row>
    <row r="251" spans="2:4" ht="13.5" x14ac:dyDescent="0.25">
      <c r="B251" s="427"/>
      <c r="C251" s="427"/>
      <c r="D251" s="427"/>
    </row>
    <row r="252" spans="2:4" ht="13.5" x14ac:dyDescent="0.25">
      <c r="B252" s="427"/>
      <c r="C252" s="427"/>
      <c r="D252" s="427"/>
    </row>
    <row r="253" spans="2:4" ht="13.5" x14ac:dyDescent="0.25">
      <c r="B253" s="427"/>
      <c r="C253" s="427"/>
      <c r="D253" s="427"/>
    </row>
    <row r="254" spans="2:4" ht="13.5" x14ac:dyDescent="0.25">
      <c r="B254" s="427"/>
      <c r="C254" s="427"/>
      <c r="D254" s="427"/>
    </row>
    <row r="255" spans="2:4" ht="13.5" x14ac:dyDescent="0.25">
      <c r="B255" s="427"/>
      <c r="C255" s="427"/>
      <c r="D255" s="427"/>
    </row>
    <row r="256" spans="2:4" ht="13.5" x14ac:dyDescent="0.25">
      <c r="B256" s="427"/>
      <c r="C256" s="427"/>
      <c r="D256" s="427"/>
    </row>
    <row r="257" spans="2:4" ht="13.5" x14ac:dyDescent="0.25">
      <c r="B257" s="427"/>
      <c r="C257" s="427"/>
      <c r="D257" s="427"/>
    </row>
    <row r="258" spans="2:4" ht="13.5" x14ac:dyDescent="0.25">
      <c r="B258" s="427"/>
      <c r="C258" s="427"/>
      <c r="D258" s="427"/>
    </row>
    <row r="259" spans="2:4" ht="13.5" x14ac:dyDescent="0.25">
      <c r="B259" s="427"/>
      <c r="C259" s="427"/>
      <c r="D259" s="427"/>
    </row>
    <row r="260" spans="2:4" ht="13.5" x14ac:dyDescent="0.25">
      <c r="B260" s="427"/>
      <c r="C260" s="427"/>
      <c r="D260" s="427"/>
    </row>
    <row r="261" spans="2:4" ht="13.5" x14ac:dyDescent="0.25">
      <c r="B261" s="427"/>
      <c r="C261" s="427"/>
      <c r="D261" s="427"/>
    </row>
    <row r="262" spans="2:4" ht="13.5" x14ac:dyDescent="0.25">
      <c r="B262" s="427"/>
      <c r="C262" s="427"/>
      <c r="D262" s="427"/>
    </row>
    <row r="263" spans="2:4" ht="13.5" x14ac:dyDescent="0.25">
      <c r="B263" s="427"/>
      <c r="C263" s="427"/>
      <c r="D263" s="427"/>
    </row>
    <row r="264" spans="2:4" ht="13.5" x14ac:dyDescent="0.25">
      <c r="B264" s="427"/>
      <c r="C264" s="427"/>
      <c r="D264" s="427"/>
    </row>
    <row r="265" spans="2:4" ht="13.5" x14ac:dyDescent="0.25">
      <c r="B265" s="427"/>
      <c r="C265" s="427"/>
      <c r="D265" s="427"/>
    </row>
    <row r="266" spans="2:4" ht="13.5" x14ac:dyDescent="0.25">
      <c r="B266" s="427"/>
      <c r="C266" s="427"/>
      <c r="D266" s="427"/>
    </row>
    <row r="267" spans="2:4" ht="13.5" x14ac:dyDescent="0.25">
      <c r="B267" s="427"/>
      <c r="C267" s="427"/>
      <c r="D267" s="427"/>
    </row>
    <row r="268" spans="2:4" ht="13.5" x14ac:dyDescent="0.25">
      <c r="B268" s="427"/>
      <c r="C268" s="427"/>
      <c r="D268" s="427"/>
    </row>
    <row r="269" spans="2:4" ht="13.5" x14ac:dyDescent="0.25">
      <c r="B269" s="427"/>
      <c r="C269" s="427"/>
      <c r="D269" s="427"/>
    </row>
    <row r="270" spans="2:4" ht="13.5" x14ac:dyDescent="0.25">
      <c r="B270" s="427"/>
      <c r="C270" s="427"/>
      <c r="D270" s="427"/>
    </row>
    <row r="271" spans="2:4" ht="13.5" x14ac:dyDescent="0.25">
      <c r="B271" s="427"/>
      <c r="C271" s="427"/>
      <c r="D271" s="427"/>
    </row>
    <row r="272" spans="2:4" ht="13.5" x14ac:dyDescent="0.25">
      <c r="B272" s="427"/>
      <c r="C272" s="427"/>
      <c r="D272" s="427"/>
    </row>
    <row r="273" spans="2:4" ht="13.5" x14ac:dyDescent="0.25">
      <c r="B273" s="427"/>
      <c r="C273" s="427"/>
      <c r="D273" s="427"/>
    </row>
    <row r="274" spans="2:4" ht="13.5" x14ac:dyDescent="0.25">
      <c r="B274" s="427"/>
      <c r="C274" s="427"/>
      <c r="D274" s="427"/>
    </row>
    <row r="275" spans="2:4" ht="13.5" x14ac:dyDescent="0.25">
      <c r="B275" s="427"/>
      <c r="C275" s="427"/>
      <c r="D275" s="427"/>
    </row>
    <row r="276" spans="2:4" ht="13.5" x14ac:dyDescent="0.25">
      <c r="B276" s="427"/>
      <c r="C276" s="427"/>
      <c r="D276" s="427"/>
    </row>
    <row r="277" spans="2:4" ht="13.5" x14ac:dyDescent="0.25">
      <c r="B277" s="427"/>
      <c r="C277" s="427"/>
      <c r="D277" s="427"/>
    </row>
    <row r="278" spans="2:4" ht="13.5" x14ac:dyDescent="0.25">
      <c r="B278" s="427"/>
      <c r="C278" s="427"/>
      <c r="D278" s="427"/>
    </row>
    <row r="279" spans="2:4" ht="13.5" x14ac:dyDescent="0.25">
      <c r="B279" s="427"/>
      <c r="C279" s="427"/>
      <c r="D279" s="427"/>
    </row>
    <row r="280" spans="2:4" ht="13.5" x14ac:dyDescent="0.25">
      <c r="B280" s="427"/>
      <c r="C280" s="427"/>
      <c r="D280" s="427"/>
    </row>
    <row r="281" spans="2:4" ht="13.5" x14ac:dyDescent="0.25">
      <c r="B281" s="427"/>
      <c r="C281" s="427"/>
      <c r="D281" s="427"/>
    </row>
    <row r="282" spans="2:4" ht="13.5" x14ac:dyDescent="0.25">
      <c r="B282" s="427"/>
      <c r="C282" s="427"/>
      <c r="D282" s="427"/>
    </row>
    <row r="283" spans="2:4" ht="13.5" x14ac:dyDescent="0.25">
      <c r="B283" s="427"/>
      <c r="C283" s="427"/>
      <c r="D283" s="427"/>
    </row>
    <row r="284" spans="2:4" ht="13.5" x14ac:dyDescent="0.25">
      <c r="B284" s="427"/>
      <c r="C284" s="427"/>
      <c r="D284" s="427"/>
    </row>
    <row r="285" spans="2:4" ht="13.5" x14ac:dyDescent="0.25">
      <c r="B285" s="427"/>
      <c r="C285" s="427"/>
      <c r="D285" s="427"/>
    </row>
    <row r="286" spans="2:4" ht="13.5" x14ac:dyDescent="0.25">
      <c r="B286" s="427"/>
      <c r="C286" s="427"/>
      <c r="D286" s="427"/>
    </row>
    <row r="287" spans="2:4" ht="13.5" x14ac:dyDescent="0.25">
      <c r="B287" s="427"/>
      <c r="C287" s="427"/>
      <c r="D287" s="427"/>
    </row>
    <row r="288" spans="2:4" ht="13.5" x14ac:dyDescent="0.25">
      <c r="B288" s="427"/>
      <c r="C288" s="427"/>
      <c r="D288" s="427"/>
    </row>
    <row r="289" spans="2:4" ht="13.5" x14ac:dyDescent="0.25">
      <c r="B289" s="427"/>
      <c r="C289" s="427"/>
      <c r="D289" s="427"/>
    </row>
    <row r="290" spans="2:4" ht="13.5" x14ac:dyDescent="0.25">
      <c r="B290" s="427"/>
      <c r="C290" s="427"/>
      <c r="D290" s="427"/>
    </row>
    <row r="291" spans="2:4" ht="13.5" x14ac:dyDescent="0.25">
      <c r="B291" s="427"/>
      <c r="C291" s="427"/>
      <c r="D291" s="427"/>
    </row>
    <row r="292" spans="2:4" ht="13.5" x14ac:dyDescent="0.25">
      <c r="B292" s="427"/>
      <c r="C292" s="427"/>
      <c r="D292" s="427"/>
    </row>
    <row r="293" spans="2:4" ht="13.5" x14ac:dyDescent="0.25">
      <c r="B293" s="427"/>
      <c r="C293" s="427"/>
      <c r="D293" s="427"/>
    </row>
    <row r="294" spans="2:4" ht="13.5" x14ac:dyDescent="0.25">
      <c r="B294" s="427"/>
      <c r="C294" s="427"/>
      <c r="D294" s="427"/>
    </row>
    <row r="295" spans="2:4" ht="13.5" x14ac:dyDescent="0.25">
      <c r="B295" s="427"/>
      <c r="C295" s="427"/>
      <c r="D295" s="427"/>
    </row>
    <row r="296" spans="2:4" ht="13.5" x14ac:dyDescent="0.25">
      <c r="B296" s="427"/>
      <c r="C296" s="427"/>
      <c r="D296" s="427"/>
    </row>
    <row r="297" spans="2:4" ht="13.5" x14ac:dyDescent="0.25">
      <c r="B297" s="427"/>
      <c r="C297" s="427"/>
      <c r="D297" s="427"/>
    </row>
    <row r="298" spans="2:4" ht="13.5" x14ac:dyDescent="0.25">
      <c r="B298" s="427"/>
      <c r="C298" s="427"/>
      <c r="D298" s="427"/>
    </row>
    <row r="299" spans="2:4" ht="13.5" x14ac:dyDescent="0.25">
      <c r="B299" s="427"/>
      <c r="C299" s="427"/>
      <c r="D299" s="427"/>
    </row>
    <row r="300" spans="2:4" ht="13.5" x14ac:dyDescent="0.25">
      <c r="B300" s="427"/>
      <c r="C300" s="427"/>
      <c r="D300" s="427"/>
    </row>
    <row r="301" spans="2:4" ht="13.5" x14ac:dyDescent="0.25">
      <c r="B301" s="427"/>
      <c r="C301" s="427"/>
      <c r="D301" s="427"/>
    </row>
    <row r="302" spans="2:4" ht="13.5" x14ac:dyDescent="0.25">
      <c r="B302" s="427"/>
      <c r="C302" s="427"/>
      <c r="D302" s="427"/>
    </row>
    <row r="303" spans="2:4" ht="13.5" x14ac:dyDescent="0.25">
      <c r="B303" s="427"/>
      <c r="C303" s="427"/>
      <c r="D303" s="427"/>
    </row>
    <row r="304" spans="2:4" ht="13.5" x14ac:dyDescent="0.25">
      <c r="B304" s="427"/>
      <c r="C304" s="427"/>
      <c r="D304" s="427"/>
    </row>
    <row r="305" spans="2:4" ht="13.5" x14ac:dyDescent="0.25">
      <c r="B305" s="427"/>
      <c r="C305" s="427"/>
      <c r="D305" s="427"/>
    </row>
    <row r="306" spans="2:4" ht="13.5" x14ac:dyDescent="0.25">
      <c r="B306" s="427"/>
      <c r="C306" s="427"/>
      <c r="D306" s="427"/>
    </row>
    <row r="307" spans="2:4" ht="13.5" x14ac:dyDescent="0.25">
      <c r="B307" s="427"/>
      <c r="C307" s="427"/>
      <c r="D307" s="427"/>
    </row>
    <row r="308" spans="2:4" ht="13.5" x14ac:dyDescent="0.25">
      <c r="B308" s="427"/>
      <c r="C308" s="427"/>
      <c r="D308" s="427"/>
    </row>
    <row r="309" spans="2:4" ht="13.5" x14ac:dyDescent="0.25">
      <c r="B309" s="427"/>
      <c r="C309" s="427"/>
      <c r="D309" s="427"/>
    </row>
    <row r="310" spans="2:4" ht="13.5" x14ac:dyDescent="0.25">
      <c r="B310" s="427"/>
      <c r="C310" s="427"/>
      <c r="D310" s="427"/>
    </row>
    <row r="311" spans="2:4" ht="13.5" x14ac:dyDescent="0.25">
      <c r="B311" s="427"/>
      <c r="C311" s="427"/>
      <c r="D311" s="427"/>
    </row>
    <row r="312" spans="2:4" ht="13.5" x14ac:dyDescent="0.25">
      <c r="B312" s="427"/>
      <c r="C312" s="427"/>
      <c r="D312" s="427"/>
    </row>
    <row r="313" spans="2:4" ht="13.5" x14ac:dyDescent="0.25">
      <c r="B313" s="427"/>
      <c r="C313" s="427"/>
      <c r="D313" s="427"/>
    </row>
    <row r="314" spans="2:4" ht="13.5" x14ac:dyDescent="0.25">
      <c r="B314" s="427"/>
      <c r="C314" s="427"/>
      <c r="D314" s="427"/>
    </row>
    <row r="315" spans="2:4" ht="13.5" x14ac:dyDescent="0.25">
      <c r="B315" s="427"/>
      <c r="C315" s="427"/>
      <c r="D315" s="427"/>
    </row>
    <row r="316" spans="2:4" ht="13.5" x14ac:dyDescent="0.25">
      <c r="B316" s="427"/>
      <c r="C316" s="427"/>
      <c r="D316" s="427"/>
    </row>
    <row r="317" spans="2:4" ht="13.5" x14ac:dyDescent="0.25">
      <c r="B317" s="427"/>
      <c r="C317" s="427"/>
      <c r="D317" s="427"/>
    </row>
    <row r="318" spans="2:4" ht="13.5" x14ac:dyDescent="0.25">
      <c r="B318" s="427"/>
      <c r="C318" s="427"/>
      <c r="D318" s="427"/>
    </row>
    <row r="319" spans="2:4" ht="13.5" x14ac:dyDescent="0.25">
      <c r="B319" s="427"/>
      <c r="C319" s="427"/>
      <c r="D319" s="427"/>
    </row>
    <row r="320" spans="2:4" ht="13.5" x14ac:dyDescent="0.25">
      <c r="B320" s="427"/>
      <c r="C320" s="427"/>
      <c r="D320" s="427"/>
    </row>
    <row r="321" spans="2:4" ht="13.5" x14ac:dyDescent="0.25">
      <c r="B321" s="427"/>
      <c r="C321" s="427"/>
      <c r="D321" s="427"/>
    </row>
    <row r="322" spans="2:4" ht="13.5" x14ac:dyDescent="0.25">
      <c r="B322" s="427"/>
      <c r="C322" s="427"/>
      <c r="D322" s="427"/>
    </row>
    <row r="323" spans="2:4" ht="13.5" x14ac:dyDescent="0.25">
      <c r="B323" s="427"/>
      <c r="C323" s="427"/>
      <c r="D323" s="427"/>
    </row>
    <row r="324" spans="2:4" ht="13.5" x14ac:dyDescent="0.25">
      <c r="B324" s="427"/>
      <c r="C324" s="427"/>
      <c r="D324" s="427"/>
    </row>
    <row r="325" spans="2:4" ht="13.5" x14ac:dyDescent="0.25">
      <c r="B325" s="427"/>
      <c r="C325" s="427"/>
      <c r="D325" s="427"/>
    </row>
    <row r="326" spans="2:4" ht="13.5" x14ac:dyDescent="0.25">
      <c r="B326" s="427"/>
      <c r="C326" s="427"/>
      <c r="D326" s="427"/>
    </row>
    <row r="327" spans="2:4" ht="13.5" x14ac:dyDescent="0.25">
      <c r="B327" s="427"/>
      <c r="C327" s="427"/>
      <c r="D327" s="427"/>
    </row>
    <row r="328" spans="2:4" ht="13.5" x14ac:dyDescent="0.25">
      <c r="B328" s="427"/>
      <c r="C328" s="427"/>
      <c r="D328" s="427"/>
    </row>
    <row r="329" spans="2:4" ht="13.5" x14ac:dyDescent="0.25">
      <c r="B329" s="427"/>
      <c r="C329" s="427"/>
      <c r="D329" s="427"/>
    </row>
    <row r="330" spans="2:4" ht="13.5" x14ac:dyDescent="0.25">
      <c r="B330" s="427"/>
      <c r="C330" s="427"/>
      <c r="D330" s="427"/>
    </row>
    <row r="331" spans="2:4" ht="13.5" x14ac:dyDescent="0.25">
      <c r="B331" s="427"/>
      <c r="C331" s="427"/>
      <c r="D331" s="427"/>
    </row>
    <row r="332" spans="2:4" ht="13.5" x14ac:dyDescent="0.25">
      <c r="B332" s="427"/>
      <c r="C332" s="427"/>
      <c r="D332" s="427"/>
    </row>
    <row r="333" spans="2:4" ht="13.5" x14ac:dyDescent="0.25">
      <c r="B333" s="427"/>
      <c r="C333" s="427"/>
      <c r="D333" s="427"/>
    </row>
    <row r="334" spans="2:4" ht="13.5" x14ac:dyDescent="0.25">
      <c r="B334" s="427"/>
      <c r="C334" s="427"/>
      <c r="D334" s="427"/>
    </row>
    <row r="335" spans="2:4" ht="13.5" x14ac:dyDescent="0.25">
      <c r="B335" s="427"/>
      <c r="C335" s="427"/>
      <c r="D335" s="427"/>
    </row>
    <row r="336" spans="2:4" ht="13.5" x14ac:dyDescent="0.25">
      <c r="B336" s="427"/>
      <c r="C336" s="427"/>
      <c r="D336" s="427"/>
    </row>
    <row r="337" spans="2:4" ht="13.5" x14ac:dyDescent="0.25">
      <c r="B337" s="427"/>
      <c r="C337" s="427"/>
      <c r="D337" s="427"/>
    </row>
    <row r="338" spans="2:4" ht="13.5" x14ac:dyDescent="0.25">
      <c r="B338" s="427"/>
      <c r="C338" s="427"/>
      <c r="D338" s="427"/>
    </row>
    <row r="339" spans="2:4" ht="13.5" x14ac:dyDescent="0.25">
      <c r="B339" s="427"/>
      <c r="C339" s="427"/>
      <c r="D339" s="427"/>
    </row>
    <row r="340" spans="2:4" ht="13.5" x14ac:dyDescent="0.25">
      <c r="B340" s="427"/>
      <c r="C340" s="427"/>
      <c r="D340" s="427"/>
    </row>
    <row r="341" spans="2:4" ht="13.5" x14ac:dyDescent="0.25">
      <c r="B341" s="427"/>
      <c r="C341" s="427"/>
      <c r="D341" s="427"/>
    </row>
    <row r="342" spans="2:4" ht="13.5" x14ac:dyDescent="0.25">
      <c r="B342" s="427"/>
      <c r="C342" s="427"/>
      <c r="D342" s="427"/>
    </row>
    <row r="343" spans="2:4" ht="13.5" x14ac:dyDescent="0.25">
      <c r="B343" s="427"/>
      <c r="C343" s="427"/>
      <c r="D343" s="427"/>
    </row>
    <row r="344" spans="2:4" ht="13.5" x14ac:dyDescent="0.25">
      <c r="B344" s="427"/>
      <c r="C344" s="427"/>
      <c r="D344" s="427"/>
    </row>
    <row r="345" spans="2:4" ht="13.5" x14ac:dyDescent="0.25">
      <c r="B345" s="427"/>
      <c r="C345" s="427"/>
      <c r="D345" s="427"/>
    </row>
    <row r="346" spans="2:4" ht="13.5" x14ac:dyDescent="0.25">
      <c r="B346" s="427"/>
      <c r="C346" s="427"/>
      <c r="D346" s="427"/>
    </row>
    <row r="347" spans="2:4" ht="13.5" x14ac:dyDescent="0.25">
      <c r="B347" s="427"/>
      <c r="C347" s="427"/>
      <c r="D347" s="427"/>
    </row>
    <row r="348" spans="2:4" ht="13.5" x14ac:dyDescent="0.25">
      <c r="B348" s="427"/>
      <c r="C348" s="427"/>
      <c r="D348" s="427"/>
    </row>
    <row r="349" spans="2:4" ht="13.5" x14ac:dyDescent="0.25">
      <c r="B349" s="427"/>
      <c r="C349" s="427"/>
      <c r="D349" s="427"/>
    </row>
    <row r="350" spans="2:4" ht="13.5" x14ac:dyDescent="0.25">
      <c r="B350" s="427"/>
      <c r="C350" s="427"/>
      <c r="D350" s="427"/>
    </row>
    <row r="351" spans="2:4" ht="13.5" x14ac:dyDescent="0.25">
      <c r="B351" s="427"/>
      <c r="C351" s="427"/>
      <c r="D351" s="427"/>
    </row>
    <row r="352" spans="2:4" ht="13.5" x14ac:dyDescent="0.25">
      <c r="B352" s="427"/>
      <c r="C352" s="427"/>
      <c r="D352" s="427"/>
    </row>
    <row r="353" spans="2:4" ht="13.5" x14ac:dyDescent="0.25">
      <c r="B353" s="427"/>
      <c r="C353" s="427"/>
      <c r="D353" s="427"/>
    </row>
    <row r="354" spans="2:4" ht="13.5" x14ac:dyDescent="0.25">
      <c r="B354" s="427"/>
      <c r="C354" s="427"/>
      <c r="D354" s="427"/>
    </row>
    <row r="355" spans="2:4" ht="13.5" x14ac:dyDescent="0.25">
      <c r="B355" s="427"/>
      <c r="C355" s="427"/>
      <c r="D355" s="427"/>
    </row>
    <row r="356" spans="2:4" ht="13.5" x14ac:dyDescent="0.25">
      <c r="B356" s="427"/>
      <c r="C356" s="427"/>
      <c r="D356" s="427"/>
    </row>
    <row r="357" spans="2:4" ht="13.5" x14ac:dyDescent="0.25">
      <c r="B357" s="427"/>
      <c r="C357" s="427"/>
      <c r="D357" s="427"/>
    </row>
    <row r="358" spans="2:4" ht="13.5" x14ac:dyDescent="0.25">
      <c r="B358" s="427"/>
      <c r="C358" s="427"/>
      <c r="D358" s="427"/>
    </row>
    <row r="359" spans="2:4" ht="13.5" x14ac:dyDescent="0.25">
      <c r="B359" s="427"/>
      <c r="C359" s="427"/>
      <c r="D359" s="427"/>
    </row>
    <row r="360" spans="2:4" ht="13.5" x14ac:dyDescent="0.25">
      <c r="B360" s="427"/>
      <c r="C360" s="427"/>
      <c r="D360" s="427"/>
    </row>
    <row r="361" spans="2:4" ht="13.5" x14ac:dyDescent="0.25">
      <c r="B361" s="427"/>
      <c r="C361" s="427"/>
      <c r="D361" s="427"/>
    </row>
    <row r="362" spans="2:4" ht="13.5" x14ac:dyDescent="0.25">
      <c r="B362" s="427"/>
      <c r="C362" s="427"/>
      <c r="D362" s="427"/>
    </row>
    <row r="363" spans="2:4" ht="13.5" x14ac:dyDescent="0.25">
      <c r="B363" s="427"/>
      <c r="C363" s="427"/>
      <c r="D363" s="427"/>
    </row>
    <row r="364" spans="2:4" ht="13.5" x14ac:dyDescent="0.25">
      <c r="B364" s="427"/>
      <c r="C364" s="427"/>
      <c r="D364" s="427"/>
    </row>
    <row r="365" spans="2:4" ht="13.5" x14ac:dyDescent="0.25">
      <c r="B365" s="427"/>
      <c r="C365" s="427"/>
      <c r="D365" s="427"/>
    </row>
    <row r="366" spans="2:4" ht="13.5" x14ac:dyDescent="0.25">
      <c r="B366" s="427"/>
      <c r="C366" s="427"/>
      <c r="D366" s="427"/>
    </row>
    <row r="367" spans="2:4" ht="13.5" x14ac:dyDescent="0.25">
      <c r="B367" s="427"/>
      <c r="C367" s="427"/>
      <c r="D367" s="427"/>
    </row>
    <row r="368" spans="2:4" ht="13.5" x14ac:dyDescent="0.25">
      <c r="B368" s="427"/>
      <c r="C368" s="427"/>
      <c r="D368" s="427"/>
    </row>
  </sheetData>
  <sheetProtection password="CC5E" sheet="1" objects="1" scenarios="1"/>
  <mergeCells count="5">
    <mergeCell ref="C7:D7"/>
    <mergeCell ref="C8:D8"/>
    <mergeCell ref="C15:D15"/>
    <mergeCell ref="C27:D27"/>
    <mergeCell ref="C10:D10"/>
  </mergeCells>
  <hyperlinks>
    <hyperlink ref="D12" location="'Смета график'!C4" tooltip="смета" display="'Смета график'!C4"/>
    <hyperlink ref="D13" location="'Смета график'!C21" tooltip="смета" display="'Смета график'!C21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F6" sqref="F6"/>
    </sheetView>
  </sheetViews>
  <sheetFormatPr defaultRowHeight="12.75" x14ac:dyDescent="0.2"/>
  <cols>
    <col min="2" max="2" width="43.140625" customWidth="1"/>
    <col min="3" max="3" width="12.28515625" customWidth="1"/>
    <col min="4" max="4" width="13.28515625" customWidth="1"/>
    <col min="5" max="5" width="49.42578125" customWidth="1"/>
    <col min="6" max="6" width="9.140625" customWidth="1"/>
    <col min="7" max="7" width="9" customWidth="1"/>
    <col min="8" max="8" width="9.140625" customWidth="1"/>
    <col min="9" max="10" width="8.5703125" customWidth="1"/>
    <col min="11" max="11" width="9.42578125" customWidth="1"/>
  </cols>
  <sheetData>
    <row r="1" spans="1:12" ht="80.25" customHeight="1" x14ac:dyDescent="0.2">
      <c r="A1" s="474"/>
      <c r="B1" s="475"/>
      <c r="C1" s="476" t="s">
        <v>271</v>
      </c>
      <c r="D1" s="471"/>
      <c r="E1" s="472"/>
      <c r="F1" s="473"/>
      <c r="G1" s="473"/>
      <c r="H1" s="473"/>
      <c r="I1" s="473"/>
      <c r="J1" s="473"/>
      <c r="K1" s="473"/>
      <c r="L1" s="473"/>
    </row>
    <row r="2" spans="1:12" x14ac:dyDescent="0.2">
      <c r="A2" s="463"/>
      <c r="B2" s="463"/>
      <c r="C2" s="463"/>
      <c r="D2" s="463"/>
      <c r="E2" s="463"/>
      <c r="F2" s="463"/>
      <c r="G2" s="463"/>
      <c r="H2" s="463"/>
      <c r="I2" s="463"/>
      <c r="J2" s="463"/>
      <c r="K2" s="463"/>
      <c r="L2" s="463"/>
    </row>
    <row r="3" spans="1:12" ht="14.25" thickBot="1" x14ac:dyDescent="0.3">
      <c r="A3" s="463"/>
      <c r="B3" s="425" t="s">
        <v>262</v>
      </c>
      <c r="C3" s="423" t="s">
        <v>263</v>
      </c>
      <c r="D3" s="463"/>
      <c r="E3" s="637" t="s">
        <v>335</v>
      </c>
      <c r="F3" s="638">
        <v>1</v>
      </c>
      <c r="G3" s="638">
        <v>2</v>
      </c>
      <c r="H3" s="638">
        <v>3</v>
      </c>
      <c r="I3" s="638">
        <v>4</v>
      </c>
      <c r="J3" s="638">
        <v>5</v>
      </c>
      <c r="K3" s="639" t="s">
        <v>334</v>
      </c>
      <c r="L3" s="463"/>
    </row>
    <row r="4" spans="1:12" ht="18.75" customHeight="1" thickBot="1" x14ac:dyDescent="0.3">
      <c r="A4" s="463"/>
      <c r="B4" s="424" t="s">
        <v>249</v>
      </c>
      <c r="C4" s="660">
        <f>SUM(C5:C18)</f>
        <v>4600000</v>
      </c>
      <c r="D4" s="463"/>
      <c r="E4" s="640" t="str">
        <f>B3</f>
        <v>Инвестиции в цех и организацию бизнеса</v>
      </c>
      <c r="F4" s="641">
        <f>'график инвестиций '!B2/K8</f>
        <v>0.32167832167832167</v>
      </c>
      <c r="G4" s="642">
        <f>'график инвестиций '!C2/K8</f>
        <v>0.16083916083916083</v>
      </c>
      <c r="H4" s="642">
        <f>'график инвестиций '!D2/K8</f>
        <v>0.16083916083916083</v>
      </c>
      <c r="I4" s="643">
        <f>'график инвестиций '!E2</f>
        <v>0</v>
      </c>
      <c r="J4" s="644">
        <f>'график инвестиций '!F2</f>
        <v>0</v>
      </c>
      <c r="K4" s="638"/>
      <c r="L4" s="463"/>
    </row>
    <row r="5" spans="1:12" ht="14.25" x14ac:dyDescent="0.25">
      <c r="A5" s="463"/>
      <c r="B5" s="422" t="s">
        <v>264</v>
      </c>
      <c r="C5" s="468">
        <v>1300000</v>
      </c>
      <c r="D5" s="463"/>
      <c r="E5" s="640" t="str">
        <f>'график инвестиций '!A3</f>
        <v>Ларек 1</v>
      </c>
      <c r="F5" s="645">
        <f>'график инвестиций '!B3</f>
        <v>0</v>
      </c>
      <c r="G5" s="646">
        <f>'график инвестиций '!C3</f>
        <v>0</v>
      </c>
      <c r="H5" s="647">
        <f>'график инвестиций '!D3/K8</f>
        <v>0.11888111888111888</v>
      </c>
      <c r="I5" s="646">
        <f>'график инвестиций '!E3</f>
        <v>0</v>
      </c>
      <c r="J5" s="648">
        <f>'график инвестиций '!F3</f>
        <v>0</v>
      </c>
      <c r="K5" s="649"/>
      <c r="L5" s="463"/>
    </row>
    <row r="6" spans="1:12" ht="14.25" x14ac:dyDescent="0.25">
      <c r="A6" s="463"/>
      <c r="B6" s="422" t="s">
        <v>250</v>
      </c>
      <c r="C6" s="469">
        <v>1400000</v>
      </c>
      <c r="D6" s="463"/>
      <c r="E6" s="640" t="str">
        <f>'график инвестиций '!A4</f>
        <v>Ларек 2</v>
      </c>
      <c r="F6" s="645">
        <f>'график инвестиций '!B4</f>
        <v>0</v>
      </c>
      <c r="G6" s="646">
        <f>'график инвестиций '!C4</f>
        <v>0</v>
      </c>
      <c r="H6" s="646">
        <f>'график инвестиций '!D4</f>
        <v>0</v>
      </c>
      <c r="I6" s="647">
        <f>'график инвестиций '!E4/K8</f>
        <v>0.11888111888111888</v>
      </c>
      <c r="J6" s="648">
        <f>'график инвестиций '!F4</f>
        <v>0</v>
      </c>
      <c r="K6" s="649"/>
      <c r="L6" s="463"/>
    </row>
    <row r="7" spans="1:12" ht="14.25" x14ac:dyDescent="0.25">
      <c r="A7" s="463"/>
      <c r="B7" s="422" t="s">
        <v>251</v>
      </c>
      <c r="C7" s="469">
        <v>200000</v>
      </c>
      <c r="D7" s="463"/>
      <c r="E7" s="640" t="str">
        <f>'график инвестиций '!A5</f>
        <v>Ларек 3</v>
      </c>
      <c r="F7" s="645">
        <f>'график инвестиций '!B5</f>
        <v>0</v>
      </c>
      <c r="G7" s="646">
        <f>'график инвестиций '!C5</f>
        <v>0</v>
      </c>
      <c r="H7" s="646">
        <f>'график инвестиций '!D5</f>
        <v>0</v>
      </c>
      <c r="I7" s="646">
        <f>'график инвестиций '!E5</f>
        <v>0</v>
      </c>
      <c r="J7" s="650">
        <f>'график инвестиций '!F5/K8</f>
        <v>0.11888111888111888</v>
      </c>
      <c r="K7" s="651">
        <f>F4+G4+H4+H5+I6+J7</f>
        <v>0.99999999999999989</v>
      </c>
      <c r="L7" s="463"/>
    </row>
    <row r="8" spans="1:12" ht="15" thickBot="1" x14ac:dyDescent="0.25">
      <c r="A8" s="463"/>
      <c r="B8" s="422" t="s">
        <v>252</v>
      </c>
      <c r="C8" s="469">
        <v>150000</v>
      </c>
      <c r="D8" s="463"/>
      <c r="E8" s="637" t="str">
        <f>'график инвестиций '!A12</f>
        <v>Итого</v>
      </c>
      <c r="F8" s="652">
        <f>'график инвестиций '!B12</f>
        <v>2300000</v>
      </c>
      <c r="G8" s="653">
        <f>'график инвестиций '!C12</f>
        <v>1150000</v>
      </c>
      <c r="H8" s="653">
        <f>'график инвестиций '!D12</f>
        <v>2000000</v>
      </c>
      <c r="I8" s="653">
        <f>'график инвестиций '!E12</f>
        <v>850000</v>
      </c>
      <c r="J8" s="654">
        <f>'график инвестиций '!F12</f>
        <v>850000</v>
      </c>
      <c r="K8" s="655">
        <f>SUM(F8:J8)</f>
        <v>7150000</v>
      </c>
      <c r="L8" s="463"/>
    </row>
    <row r="9" spans="1:12" ht="15" thickBot="1" x14ac:dyDescent="0.3">
      <c r="A9" s="463"/>
      <c r="B9" s="422" t="s">
        <v>253</v>
      </c>
      <c r="C9" s="469">
        <v>90000</v>
      </c>
      <c r="D9" s="463"/>
      <c r="E9" s="637" t="str">
        <f>'график инвестиций '!A15</f>
        <v>Источники инвестиций</v>
      </c>
      <c r="F9" s="649"/>
      <c r="G9" s="649"/>
      <c r="H9" s="649"/>
      <c r="I9" s="649"/>
      <c r="J9" s="649"/>
      <c r="K9" s="649"/>
      <c r="L9" s="463"/>
    </row>
    <row r="10" spans="1:12" ht="14.25" x14ac:dyDescent="0.25">
      <c r="A10" s="463"/>
      <c r="B10" s="422" t="s">
        <v>254</v>
      </c>
      <c r="C10" s="469">
        <v>100000</v>
      </c>
      <c r="D10" s="463"/>
      <c r="E10" s="640" t="str">
        <f>'график инвестиций '!A16</f>
        <v xml:space="preserve">Инвестиции  за счет прибыли проекта  </v>
      </c>
      <c r="F10" s="656">
        <f>'график инвестиций '!B16</f>
        <v>0</v>
      </c>
      <c r="G10" s="657">
        <f>'график инвестиций '!C16</f>
        <v>0</v>
      </c>
      <c r="H10" s="657">
        <f>'график инвестиций '!D16</f>
        <v>0</v>
      </c>
      <c r="I10" s="657">
        <f>'график инвестиций '!E16</f>
        <v>155325.75121551391</v>
      </c>
      <c r="J10" s="658">
        <f>'график инвестиций '!F16</f>
        <v>192060.93849928895</v>
      </c>
      <c r="K10" s="659">
        <f>SUM(F10:J10)</f>
        <v>347386.68971480289</v>
      </c>
      <c r="L10" s="463"/>
    </row>
    <row r="11" spans="1:12" ht="15" thickBot="1" x14ac:dyDescent="0.3">
      <c r="A11" s="463"/>
      <c r="B11" s="422" t="s">
        <v>255</v>
      </c>
      <c r="C11" s="469">
        <v>110000</v>
      </c>
      <c r="D11" s="463"/>
      <c r="E11" s="640" t="str">
        <f>'график инвестиций '!A17</f>
        <v>Инвестиции в проект за счет источников инвестора</v>
      </c>
      <c r="F11" s="652">
        <f>'график инвестиций '!B17</f>
        <v>2300000</v>
      </c>
      <c r="G11" s="653">
        <f>'график инвестиций '!C17</f>
        <v>1150000</v>
      </c>
      <c r="H11" s="653">
        <f>'график инвестиций '!D17</f>
        <v>2000000</v>
      </c>
      <c r="I11" s="653">
        <f>'график инвестиций '!E17</f>
        <v>694674.24878448609</v>
      </c>
      <c r="J11" s="654">
        <f>'график инвестиций '!F17</f>
        <v>657939.06150071102</v>
      </c>
      <c r="K11" s="659">
        <f>SUM(F11:J11)</f>
        <v>6802613.3102851976</v>
      </c>
      <c r="L11" s="463"/>
    </row>
    <row r="12" spans="1:12" ht="14.25" x14ac:dyDescent="0.2">
      <c r="A12" s="463"/>
      <c r="B12" s="422" t="s">
        <v>256</v>
      </c>
      <c r="C12" s="469">
        <v>200000</v>
      </c>
      <c r="D12" s="463"/>
      <c r="E12" s="463"/>
      <c r="F12" s="463"/>
      <c r="G12" s="463"/>
      <c r="H12" s="463"/>
      <c r="I12" s="463"/>
      <c r="J12" s="463"/>
      <c r="K12" s="463"/>
      <c r="L12" s="463"/>
    </row>
    <row r="13" spans="1:12" ht="14.25" x14ac:dyDescent="0.2">
      <c r="A13" s="463"/>
      <c r="B13" s="422" t="s">
        <v>257</v>
      </c>
      <c r="C13" s="469">
        <v>100000</v>
      </c>
      <c r="D13" s="463"/>
      <c r="E13" s="463"/>
      <c r="F13" s="463"/>
      <c r="G13" s="463"/>
      <c r="H13" s="463"/>
      <c r="I13" s="463"/>
      <c r="J13" s="463"/>
      <c r="K13" s="463"/>
      <c r="L13" s="463"/>
    </row>
    <row r="14" spans="1:12" ht="14.25" x14ac:dyDescent="0.2">
      <c r="A14" s="463"/>
      <c r="B14" s="422" t="s">
        <v>258</v>
      </c>
      <c r="C14" s="469">
        <v>600000</v>
      </c>
      <c r="D14" s="463"/>
      <c r="E14" s="463"/>
      <c r="F14" s="463"/>
      <c r="G14" s="463"/>
      <c r="H14" s="463"/>
      <c r="I14" s="463"/>
      <c r="J14" s="463"/>
      <c r="K14" s="463"/>
      <c r="L14" s="463"/>
    </row>
    <row r="15" spans="1:12" ht="14.25" x14ac:dyDescent="0.2">
      <c r="A15" s="463"/>
      <c r="B15" s="422" t="s">
        <v>265</v>
      </c>
      <c r="C15" s="469">
        <v>50000</v>
      </c>
      <c r="D15" s="463"/>
      <c r="E15" s="463"/>
      <c r="F15" s="463"/>
      <c r="G15" s="463"/>
      <c r="H15" s="463"/>
      <c r="I15" s="463"/>
      <c r="J15" s="463"/>
      <c r="K15" s="463"/>
      <c r="L15" s="463"/>
    </row>
    <row r="16" spans="1:12" ht="14.25" x14ac:dyDescent="0.2">
      <c r="A16" s="463"/>
      <c r="B16" s="422" t="s">
        <v>259</v>
      </c>
      <c r="C16" s="469">
        <v>180000</v>
      </c>
      <c r="D16" s="463"/>
      <c r="E16" s="463"/>
      <c r="F16" s="463"/>
      <c r="G16" s="463"/>
      <c r="H16" s="463"/>
      <c r="I16" s="463"/>
      <c r="J16" s="463"/>
      <c r="K16" s="463"/>
      <c r="L16" s="463"/>
    </row>
    <row r="17" spans="1:12" ht="14.25" x14ac:dyDescent="0.2">
      <c r="A17" s="463"/>
      <c r="B17" s="422" t="s">
        <v>260</v>
      </c>
      <c r="C17" s="469">
        <v>100000</v>
      </c>
      <c r="D17" s="463"/>
      <c r="E17" s="463"/>
      <c r="F17" s="463"/>
      <c r="G17" s="463"/>
      <c r="H17" s="463"/>
      <c r="I17" s="463"/>
      <c r="J17" s="463"/>
      <c r="K17" s="463"/>
      <c r="L17" s="463"/>
    </row>
    <row r="18" spans="1:12" ht="15" thickBot="1" x14ac:dyDescent="0.25">
      <c r="A18" s="463"/>
      <c r="B18" s="422" t="s">
        <v>261</v>
      </c>
      <c r="C18" s="470">
        <v>20000</v>
      </c>
      <c r="D18" s="463"/>
      <c r="E18" s="463"/>
      <c r="F18" s="463"/>
      <c r="G18" s="463"/>
      <c r="H18" s="463"/>
      <c r="I18" s="463"/>
      <c r="J18" s="463"/>
      <c r="K18" s="463"/>
      <c r="L18" s="463"/>
    </row>
    <row r="19" spans="1:12" x14ac:dyDescent="0.2">
      <c r="A19" s="463"/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</row>
    <row r="20" spans="1:12" x14ac:dyDescent="0.2">
      <c r="A20" s="463"/>
      <c r="B20" s="426" t="s">
        <v>305</v>
      </c>
      <c r="C20" s="423" t="s">
        <v>266</v>
      </c>
      <c r="D20" s="463"/>
      <c r="E20" s="463"/>
      <c r="F20" s="463"/>
      <c r="G20" s="463"/>
      <c r="H20" s="463"/>
      <c r="I20" s="463"/>
      <c r="J20" s="463"/>
      <c r="K20" s="463"/>
      <c r="L20" s="463"/>
    </row>
    <row r="21" spans="1:12" ht="17.25" customHeight="1" thickBot="1" x14ac:dyDescent="0.25">
      <c r="A21" s="463"/>
      <c r="B21" s="424" t="s">
        <v>249</v>
      </c>
      <c r="C21" s="660">
        <f>SUM(C22:C33)</f>
        <v>850000</v>
      </c>
      <c r="D21" s="463"/>
      <c r="E21" s="463"/>
      <c r="F21" s="463"/>
      <c r="G21" s="463"/>
      <c r="H21" s="463"/>
      <c r="I21" s="463"/>
      <c r="J21" s="463"/>
      <c r="K21" s="463"/>
      <c r="L21" s="463"/>
    </row>
    <row r="22" spans="1:12" ht="14.25" x14ac:dyDescent="0.2">
      <c r="A22" s="463"/>
      <c r="B22" s="422" t="s">
        <v>267</v>
      </c>
      <c r="C22" s="468">
        <v>80000</v>
      </c>
      <c r="D22" s="463"/>
      <c r="E22" s="463"/>
      <c r="F22" s="463"/>
      <c r="G22" s="463"/>
      <c r="H22" s="463"/>
      <c r="I22" s="463"/>
      <c r="J22" s="463"/>
      <c r="K22" s="463"/>
      <c r="L22" s="463"/>
    </row>
    <row r="23" spans="1:12" ht="14.25" x14ac:dyDescent="0.2">
      <c r="A23" s="463"/>
      <c r="B23" s="422" t="s">
        <v>251</v>
      </c>
      <c r="C23" s="469">
        <v>180000</v>
      </c>
      <c r="D23" s="463"/>
      <c r="E23" s="463"/>
      <c r="F23" s="463"/>
      <c r="G23" s="463"/>
      <c r="H23" s="463"/>
      <c r="I23" s="463"/>
      <c r="J23" s="463"/>
      <c r="K23" s="463"/>
      <c r="L23" s="463"/>
    </row>
    <row r="24" spans="1:12" ht="14.25" x14ac:dyDescent="0.2">
      <c r="A24" s="463"/>
      <c r="B24" s="422" t="s">
        <v>252</v>
      </c>
      <c r="C24" s="469">
        <v>150000</v>
      </c>
      <c r="D24" s="463"/>
      <c r="E24" s="463"/>
      <c r="F24" s="463"/>
      <c r="G24" s="463"/>
      <c r="H24" s="463"/>
      <c r="I24" s="463"/>
      <c r="J24" s="463"/>
      <c r="K24" s="463"/>
      <c r="L24" s="463"/>
    </row>
    <row r="25" spans="1:12" ht="14.25" x14ac:dyDescent="0.2">
      <c r="A25" s="463"/>
      <c r="B25" s="422" t="s">
        <v>253</v>
      </c>
      <c r="C25" s="469">
        <v>60000</v>
      </c>
      <c r="D25" s="463"/>
      <c r="E25" s="463"/>
      <c r="F25" s="463"/>
      <c r="G25" s="463"/>
      <c r="H25" s="463"/>
      <c r="I25" s="463"/>
      <c r="J25" s="463"/>
      <c r="K25" s="463"/>
      <c r="L25" s="463"/>
    </row>
    <row r="26" spans="1:12" ht="14.25" x14ac:dyDescent="0.2">
      <c r="A26" s="463"/>
      <c r="B26" s="422" t="s">
        <v>270</v>
      </c>
      <c r="C26" s="469">
        <v>25000</v>
      </c>
      <c r="D26" s="463"/>
      <c r="E26" s="463"/>
      <c r="F26" s="463"/>
      <c r="G26" s="463"/>
      <c r="H26" s="463"/>
      <c r="I26" s="463"/>
      <c r="J26" s="463"/>
      <c r="K26" s="463"/>
      <c r="L26" s="463"/>
    </row>
    <row r="27" spans="1:12" ht="14.25" x14ac:dyDescent="0.2">
      <c r="A27" s="463"/>
      <c r="B27" s="422" t="s">
        <v>255</v>
      </c>
      <c r="C27" s="469">
        <v>70000</v>
      </c>
      <c r="D27" s="463"/>
      <c r="E27" s="463"/>
      <c r="F27" s="463"/>
      <c r="G27" s="463"/>
      <c r="H27" s="463"/>
      <c r="I27" s="463"/>
      <c r="J27" s="463"/>
      <c r="K27" s="463"/>
      <c r="L27" s="463"/>
    </row>
    <row r="28" spans="1:12" ht="14.25" x14ac:dyDescent="0.2">
      <c r="A28" s="463"/>
      <c r="B28" s="422" t="s">
        <v>256</v>
      </c>
      <c r="C28" s="469">
        <v>100000</v>
      </c>
      <c r="D28" s="463"/>
      <c r="E28" s="463"/>
      <c r="F28" s="463"/>
      <c r="G28" s="463"/>
      <c r="H28" s="463"/>
      <c r="I28" s="463"/>
      <c r="J28" s="463"/>
      <c r="K28" s="463"/>
      <c r="L28" s="463"/>
    </row>
    <row r="29" spans="1:12" ht="14.25" x14ac:dyDescent="0.2">
      <c r="A29" s="463"/>
      <c r="B29" s="422" t="s">
        <v>257</v>
      </c>
      <c r="C29" s="469">
        <v>50000</v>
      </c>
      <c r="D29" s="463"/>
      <c r="E29" s="463"/>
      <c r="F29" s="463"/>
      <c r="G29" s="463"/>
      <c r="H29" s="463"/>
      <c r="I29" s="463"/>
      <c r="J29" s="463"/>
      <c r="K29" s="463"/>
      <c r="L29" s="463"/>
    </row>
    <row r="30" spans="1:12" ht="14.25" x14ac:dyDescent="0.2">
      <c r="A30" s="463"/>
      <c r="B30" s="422" t="s">
        <v>265</v>
      </c>
      <c r="C30" s="469">
        <v>30000</v>
      </c>
      <c r="D30" s="463"/>
      <c r="E30" s="463"/>
      <c r="F30" s="463"/>
      <c r="G30" s="463"/>
      <c r="H30" s="463"/>
      <c r="I30" s="463"/>
      <c r="J30" s="463"/>
      <c r="K30" s="463"/>
      <c r="L30" s="463"/>
    </row>
    <row r="31" spans="1:12" ht="14.25" x14ac:dyDescent="0.2">
      <c r="A31" s="463"/>
      <c r="B31" s="422" t="s">
        <v>259</v>
      </c>
      <c r="C31" s="469">
        <v>80000</v>
      </c>
      <c r="D31" s="463"/>
      <c r="E31" s="463"/>
      <c r="F31" s="463"/>
      <c r="G31" s="463"/>
      <c r="H31" s="463"/>
      <c r="I31" s="463"/>
      <c r="J31" s="463"/>
      <c r="K31" s="463"/>
      <c r="L31" s="463"/>
    </row>
    <row r="32" spans="1:12" ht="14.25" x14ac:dyDescent="0.2">
      <c r="A32" s="463"/>
      <c r="B32" s="422" t="s">
        <v>268</v>
      </c>
      <c r="C32" s="469">
        <v>10000</v>
      </c>
      <c r="D32" s="463"/>
      <c r="E32" s="463"/>
      <c r="F32" s="463"/>
      <c r="G32" s="463"/>
      <c r="H32" s="463"/>
      <c r="I32" s="463"/>
      <c r="J32" s="463"/>
      <c r="K32" s="463"/>
      <c r="L32" s="463"/>
    </row>
    <row r="33" spans="1:12" ht="15" thickBot="1" x14ac:dyDescent="0.25">
      <c r="A33" s="463"/>
      <c r="B33" s="422" t="s">
        <v>269</v>
      </c>
      <c r="C33" s="470">
        <v>15000</v>
      </c>
      <c r="D33" s="463"/>
      <c r="E33" s="463"/>
      <c r="F33" s="463"/>
      <c r="G33" s="463"/>
      <c r="H33" s="463"/>
      <c r="I33" s="463"/>
      <c r="J33" s="463"/>
      <c r="K33" s="463"/>
      <c r="L33" s="463"/>
    </row>
    <row r="34" spans="1:12" x14ac:dyDescent="0.2">
      <c r="A34" s="463"/>
      <c r="B34" s="463"/>
      <c r="C34" s="463"/>
      <c r="D34" s="463"/>
      <c r="E34" s="463"/>
      <c r="F34" s="463"/>
      <c r="G34" s="463"/>
      <c r="H34" s="463"/>
      <c r="I34" s="463"/>
      <c r="J34" s="463"/>
      <c r="K34" s="463"/>
      <c r="L34" s="463"/>
    </row>
  </sheetData>
  <sheetProtection password="CC5E" sheet="1" objects="1" scenario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71"/>
  <sheetViews>
    <sheetView workbookViewId="0">
      <selection activeCell="A49" sqref="A49"/>
    </sheetView>
  </sheetViews>
  <sheetFormatPr defaultRowHeight="12.75" x14ac:dyDescent="0.2"/>
  <cols>
    <col min="1" max="1" width="39.5703125" customWidth="1"/>
    <col min="2" max="2" width="10.42578125" style="7" customWidth="1"/>
    <col min="3" max="3" width="12.85546875" customWidth="1"/>
    <col min="4" max="4" width="4.85546875" customWidth="1"/>
    <col min="5" max="5" width="11.5703125" customWidth="1"/>
    <col min="6" max="6" width="48.140625" customWidth="1"/>
    <col min="7" max="7" width="10.7109375" customWidth="1"/>
    <col min="11" max="11" width="9.140625" style="131" customWidth="1"/>
    <col min="12" max="16" width="9.140625" customWidth="1"/>
  </cols>
  <sheetData>
    <row r="1" spans="1:18" ht="12.75" customHeight="1" x14ac:dyDescent="0.2">
      <c r="I1" s="433"/>
      <c r="J1" s="433"/>
      <c r="K1" s="434"/>
      <c r="L1" s="433"/>
      <c r="M1" s="433"/>
      <c r="N1" s="433"/>
      <c r="O1" s="433"/>
      <c r="P1" s="433"/>
      <c r="Q1" s="433"/>
      <c r="R1" s="433"/>
    </row>
    <row r="2" spans="1:18" ht="17.25" customHeight="1" x14ac:dyDescent="0.3">
      <c r="A2" s="130" t="s">
        <v>186</v>
      </c>
      <c r="F2" s="123" t="s">
        <v>187</v>
      </c>
      <c r="I2" s="433"/>
      <c r="J2" s="433"/>
      <c r="K2" s="434"/>
      <c r="L2" s="433">
        <v>41000</v>
      </c>
      <c r="M2" s="433"/>
      <c r="N2" s="433"/>
      <c r="O2" s="433"/>
      <c r="P2" s="433"/>
      <c r="Q2" s="433"/>
      <c r="R2" s="433"/>
    </row>
    <row r="3" spans="1:18" ht="16.5" customHeight="1" x14ac:dyDescent="0.3">
      <c r="A3" s="123"/>
      <c r="I3" s="433"/>
      <c r="J3" s="433"/>
      <c r="K3" s="434"/>
      <c r="L3" s="433">
        <v>20000</v>
      </c>
      <c r="M3" s="433"/>
      <c r="N3" s="433"/>
      <c r="O3" s="433"/>
      <c r="P3" s="433"/>
      <c r="Q3" s="433"/>
      <c r="R3" s="433"/>
    </row>
    <row r="4" spans="1:18" ht="13.5" thickBot="1" x14ac:dyDescent="0.25">
      <c r="A4" s="122" t="s">
        <v>190</v>
      </c>
      <c r="B4" s="120"/>
      <c r="I4" s="433" t="s">
        <v>248</v>
      </c>
      <c r="J4" s="433"/>
      <c r="K4" s="434"/>
      <c r="L4" s="436">
        <v>0</v>
      </c>
      <c r="M4" s="433"/>
      <c r="N4" s="433"/>
      <c r="O4" s="433"/>
      <c r="P4" s="433"/>
      <c r="Q4" s="433"/>
      <c r="R4" s="433"/>
    </row>
    <row r="5" spans="1:18" x14ac:dyDescent="0.2">
      <c r="A5" s="418" t="s">
        <v>171</v>
      </c>
      <c r="B5" s="440">
        <f>'Смета график'!$C$4</f>
        <v>4600000</v>
      </c>
      <c r="C5" s="128" t="s">
        <v>163</v>
      </c>
      <c r="F5" s="134" t="s">
        <v>196</v>
      </c>
      <c r="G5" s="139">
        <f>цех!E108</f>
        <v>34.442663395586962</v>
      </c>
      <c r="H5" t="s">
        <v>41</v>
      </c>
      <c r="I5" s="433">
        <f>G5/12</f>
        <v>2.870221949632247</v>
      </c>
      <c r="J5" s="433"/>
      <c r="K5" s="434"/>
      <c r="L5" s="433"/>
      <c r="M5" s="433"/>
      <c r="N5" s="433"/>
      <c r="O5" s="433"/>
      <c r="P5" s="433"/>
      <c r="Q5" s="433"/>
      <c r="R5" s="433"/>
    </row>
    <row r="6" spans="1:18" x14ac:dyDescent="0.2">
      <c r="A6" s="416" t="s">
        <v>170</v>
      </c>
      <c r="B6" s="441">
        <f>'Смета график'!$C$21</f>
        <v>850000</v>
      </c>
      <c r="C6" s="128" t="s">
        <v>163</v>
      </c>
      <c r="F6" s="135" t="s">
        <v>191</v>
      </c>
      <c r="G6" s="140">
        <f>цех!O95</f>
        <v>101000</v>
      </c>
      <c r="H6" t="s">
        <v>197</v>
      </c>
      <c r="I6" s="433"/>
      <c r="J6" s="433"/>
      <c r="K6" s="434"/>
      <c r="L6" s="433"/>
      <c r="M6" s="433"/>
      <c r="N6" s="433"/>
      <c r="O6" s="433"/>
      <c r="P6" s="433"/>
      <c r="Q6" s="433"/>
      <c r="R6" s="433"/>
    </row>
    <row r="7" spans="1:18" x14ac:dyDescent="0.2">
      <c r="A7" s="420" t="s">
        <v>194</v>
      </c>
      <c r="B7" s="442">
        <f>Параметры!D14</f>
        <v>3</v>
      </c>
      <c r="C7" s="365" t="s">
        <v>223</v>
      </c>
      <c r="F7" s="135" t="s">
        <v>192</v>
      </c>
      <c r="G7" s="140">
        <f>цех!O96</f>
        <v>3030000</v>
      </c>
      <c r="H7" t="s">
        <v>197</v>
      </c>
      <c r="I7" s="433"/>
      <c r="J7" s="433"/>
      <c r="K7" s="434"/>
      <c r="L7" s="433"/>
      <c r="M7" s="433"/>
      <c r="N7" s="433"/>
      <c r="O7" s="433"/>
      <c r="P7" s="433"/>
      <c r="Q7" s="433"/>
      <c r="R7" s="433"/>
    </row>
    <row r="8" spans="1:18" ht="13.5" thickBot="1" x14ac:dyDescent="0.25">
      <c r="A8" s="419" t="s">
        <v>182</v>
      </c>
      <c r="B8" s="417">
        <v>0</v>
      </c>
      <c r="C8" s="128" t="s">
        <v>163</v>
      </c>
      <c r="F8" s="135" t="s">
        <v>193</v>
      </c>
      <c r="G8" s="141">
        <f>цех!O94</f>
        <v>2.7273929332255933</v>
      </c>
      <c r="I8" s="433"/>
      <c r="J8" s="433"/>
      <c r="K8" s="434"/>
      <c r="L8" s="433"/>
      <c r="M8" s="433"/>
      <c r="N8" s="433"/>
      <c r="O8" s="433"/>
      <c r="P8" s="433"/>
      <c r="Q8" s="433"/>
      <c r="R8" s="433"/>
    </row>
    <row r="9" spans="1:18" x14ac:dyDescent="0.2">
      <c r="A9" s="126" t="s">
        <v>211</v>
      </c>
      <c r="B9" s="127">
        <f>B5+B6*B7+B8</f>
        <v>7150000</v>
      </c>
      <c r="F9" s="136" t="s">
        <v>204</v>
      </c>
      <c r="G9" s="140">
        <f>цех!O108-цех!P26-цех!P33</f>
        <v>1039537.7305263157</v>
      </c>
      <c r="H9" t="s">
        <v>162</v>
      </c>
      <c r="I9" s="433"/>
      <c r="J9" s="433"/>
      <c r="K9" s="434"/>
      <c r="L9" s="433"/>
      <c r="M9" s="433"/>
      <c r="N9" s="433"/>
      <c r="O9" s="433"/>
      <c r="P9" s="433"/>
      <c r="Q9" s="433"/>
      <c r="R9" s="433"/>
    </row>
    <row r="10" spans="1:18" x14ac:dyDescent="0.2">
      <c r="A10" s="126"/>
      <c r="B10" s="127"/>
      <c r="F10" s="135" t="s">
        <v>201</v>
      </c>
      <c r="G10" s="140">
        <f>цех!P108</f>
        <v>1552973.5655997915</v>
      </c>
      <c r="H10" t="s">
        <v>162</v>
      </c>
      <c r="I10" s="433"/>
      <c r="J10" s="435">
        <f>G7-G10</f>
        <v>1477026.4344002085</v>
      </c>
      <c r="K10" s="434">
        <f>G7/J10</f>
        <v>2.0514189383688475</v>
      </c>
      <c r="L10" s="437"/>
      <c r="M10" s="433"/>
      <c r="N10" s="433"/>
      <c r="O10" s="433"/>
      <c r="P10" s="433"/>
      <c r="Q10" s="433"/>
      <c r="R10" s="433"/>
    </row>
    <row r="11" spans="1:18" ht="13.5" thickBot="1" x14ac:dyDescent="0.25">
      <c r="A11" s="122" t="s">
        <v>153</v>
      </c>
      <c r="B11" s="120"/>
      <c r="F11" s="137" t="s">
        <v>219</v>
      </c>
      <c r="G11" s="140">
        <f>'график инвестиций '!AI17</f>
        <v>6802613.3102851976</v>
      </c>
      <c r="H11" t="s">
        <v>197</v>
      </c>
      <c r="I11" s="433"/>
      <c r="J11" s="433"/>
      <c r="K11" s="434"/>
      <c r="L11" s="433"/>
      <c r="M11" s="433"/>
      <c r="N11" s="433"/>
      <c r="O11" s="433"/>
      <c r="P11" s="433"/>
      <c r="Q11" s="433"/>
      <c r="R11" s="433"/>
    </row>
    <row r="12" spans="1:18" x14ac:dyDescent="0.2">
      <c r="A12" s="418" t="s">
        <v>154</v>
      </c>
      <c r="B12" s="439">
        <f>IF(Параметры!D11="казань",Параметры!D18,Параметры!D18*0.8)</f>
        <v>100000</v>
      </c>
      <c r="C12" t="s">
        <v>162</v>
      </c>
      <c r="F12" s="137" t="s">
        <v>195</v>
      </c>
      <c r="G12" s="140">
        <f>'график инвестиций '!AI16</f>
        <v>347386.68971480289</v>
      </c>
      <c r="H12" t="s">
        <v>197</v>
      </c>
      <c r="I12" s="433"/>
      <c r="J12" s="435"/>
      <c r="K12" s="434"/>
      <c r="L12" s="433"/>
      <c r="M12" s="433"/>
      <c r="N12" s="433"/>
      <c r="O12" s="433"/>
      <c r="P12" s="433"/>
      <c r="Q12" s="433"/>
      <c r="R12" s="433"/>
    </row>
    <row r="13" spans="1:18" x14ac:dyDescent="0.2">
      <c r="A13" s="416" t="s">
        <v>155</v>
      </c>
      <c r="B13" s="441">
        <f>Параметры!D20</f>
        <v>50000</v>
      </c>
      <c r="C13" t="s">
        <v>162</v>
      </c>
      <c r="F13" s="137" t="s">
        <v>183</v>
      </c>
      <c r="G13" s="142">
        <f>цех!O97+цех!O98+цех!O99+цех!O100+цех!O101+цех!O102+цех!O103+цех!O104</f>
        <v>513435.83507347549</v>
      </c>
      <c r="H13" t="s">
        <v>162</v>
      </c>
      <c r="I13" s="433"/>
      <c r="J13" s="433"/>
      <c r="K13" s="438">
        <v>-0.1</v>
      </c>
      <c r="L13" s="438">
        <v>-0.05</v>
      </c>
      <c r="M13" s="433">
        <v>0</v>
      </c>
      <c r="N13" s="438">
        <v>0.05</v>
      </c>
      <c r="O13" s="438">
        <v>0.1</v>
      </c>
      <c r="P13" s="438">
        <v>0.15</v>
      </c>
      <c r="Q13" s="433"/>
      <c r="R13" s="433"/>
    </row>
    <row r="14" spans="1:18" x14ac:dyDescent="0.2">
      <c r="A14" s="416" t="s">
        <v>156</v>
      </c>
      <c r="B14" s="412">
        <f>IF(Параметры!D11="казань",0,50000)</f>
        <v>0</v>
      </c>
      <c r="C14" t="s">
        <v>162</v>
      </c>
      <c r="F14" s="136" t="s">
        <v>216</v>
      </c>
      <c r="G14" s="140">
        <f>G13*B44</f>
        <v>231046.12578306397</v>
      </c>
      <c r="H14" t="s">
        <v>162</v>
      </c>
      <c r="I14" s="433"/>
      <c r="J14" s="433"/>
      <c r="K14" s="435">
        <v>25</v>
      </c>
      <c r="L14" s="433">
        <v>30</v>
      </c>
      <c r="M14" s="433">
        <v>35</v>
      </c>
      <c r="N14" s="433">
        <v>40</v>
      </c>
      <c r="O14" s="433">
        <v>45</v>
      </c>
      <c r="P14" s="433">
        <v>50</v>
      </c>
      <c r="Q14" s="433"/>
      <c r="R14" s="433"/>
    </row>
    <row r="15" spans="1:18" x14ac:dyDescent="0.2">
      <c r="A15" s="416" t="s">
        <v>157</v>
      </c>
      <c r="B15" s="412">
        <f>IF(Параметры!D11="казань",0,30000)</f>
        <v>0</v>
      </c>
      <c r="C15" t="s">
        <v>162</v>
      </c>
      <c r="F15" s="136" t="s">
        <v>218</v>
      </c>
      <c r="G15" s="140">
        <f>G13*B45</f>
        <v>231046.12578306397</v>
      </c>
      <c r="H15" t="s">
        <v>162</v>
      </c>
      <c r="I15" s="433"/>
      <c r="J15" s="433"/>
      <c r="K15" s="434"/>
      <c r="L15" s="433"/>
      <c r="M15" s="433"/>
      <c r="N15" s="433"/>
      <c r="O15" s="433"/>
      <c r="P15" s="433"/>
      <c r="Q15" s="433"/>
      <c r="R15" s="433"/>
    </row>
    <row r="16" spans="1:18" x14ac:dyDescent="0.2">
      <c r="A16" s="416" t="s">
        <v>158</v>
      </c>
      <c r="B16" s="412">
        <v>0</v>
      </c>
      <c r="C16" t="s">
        <v>162</v>
      </c>
      <c r="F16" s="136" t="s">
        <v>214</v>
      </c>
      <c r="G16" s="140">
        <f>G13*(100%-B44-B46)</f>
        <v>246449.20083526825</v>
      </c>
      <c r="H16" t="s">
        <v>162</v>
      </c>
      <c r="J16" s="119"/>
      <c r="K16" s="132"/>
    </row>
    <row r="17" spans="1:19" x14ac:dyDescent="0.2">
      <c r="A17" s="416" t="s">
        <v>188</v>
      </c>
      <c r="B17" s="441">
        <f>Параметры!D21</f>
        <v>25000</v>
      </c>
      <c r="C17" t="s">
        <v>162</v>
      </c>
      <c r="F17" s="136" t="s">
        <v>215</v>
      </c>
      <c r="G17" s="140">
        <f>G13*(100%-B45-B46)</f>
        <v>246449.20083526825</v>
      </c>
      <c r="H17" t="s">
        <v>162</v>
      </c>
      <c r="J17" s="119"/>
      <c r="K17" s="132"/>
    </row>
    <row r="18" spans="1:19" x14ac:dyDescent="0.2">
      <c r="A18" s="416" t="s">
        <v>189</v>
      </c>
      <c r="B18" s="441">
        <f>Параметры!D22</f>
        <v>20000</v>
      </c>
      <c r="C18" t="s">
        <v>162</v>
      </c>
      <c r="F18" s="136" t="s">
        <v>221</v>
      </c>
      <c r="G18" s="140">
        <f>G13*B46</f>
        <v>35940.508455143288</v>
      </c>
      <c r="H18" t="s">
        <v>162</v>
      </c>
      <c r="J18" s="119"/>
      <c r="K18" s="132"/>
    </row>
    <row r="19" spans="1:19" x14ac:dyDescent="0.2">
      <c r="A19" s="416" t="s">
        <v>160</v>
      </c>
      <c r="B19" s="412">
        <v>19000</v>
      </c>
      <c r="C19" t="s">
        <v>164</v>
      </c>
      <c r="F19" s="136" t="s">
        <v>222</v>
      </c>
      <c r="G19" s="140">
        <f>(G9/((G7-J10)/G7))/30</f>
        <v>67607.918839627673</v>
      </c>
      <c r="H19" t="s">
        <v>200</v>
      </c>
      <c r="J19" s="119"/>
      <c r="K19" s="132">
        <f>G19/4</f>
        <v>16901.979709906918</v>
      </c>
    </row>
    <row r="20" spans="1:19" ht="13.5" thickBot="1" x14ac:dyDescent="0.25">
      <c r="A20" s="419" t="s">
        <v>161</v>
      </c>
      <c r="B20" s="417">
        <v>30000</v>
      </c>
      <c r="C20" t="s">
        <v>164</v>
      </c>
      <c r="F20" s="136" t="s">
        <v>205</v>
      </c>
      <c r="G20" s="143">
        <f>цех!F110</f>
        <v>8.3989473684210534</v>
      </c>
      <c r="H20" t="s">
        <v>207</v>
      </c>
    </row>
    <row r="21" spans="1:19" x14ac:dyDescent="0.2">
      <c r="B21" s="121"/>
      <c r="F21" s="136" t="s">
        <v>206</v>
      </c>
      <c r="G21" s="143">
        <f>цех!F111</f>
        <v>5.3193333333333337</v>
      </c>
      <c r="H21" t="s">
        <v>207</v>
      </c>
    </row>
    <row r="22" spans="1:19" ht="13.5" thickBot="1" x14ac:dyDescent="0.25">
      <c r="A22" s="125" t="s">
        <v>165</v>
      </c>
      <c r="B22" s="121"/>
      <c r="F22" s="136" t="s">
        <v>213</v>
      </c>
      <c r="G22" s="143">
        <f>2+IF(B7=0,0,IF(B7=1,2,IF(B7=2,4,6)))</f>
        <v>8</v>
      </c>
      <c r="H22" t="s">
        <v>207</v>
      </c>
    </row>
    <row r="23" spans="1:19" x14ac:dyDescent="0.2">
      <c r="A23" s="403" t="s">
        <v>154</v>
      </c>
      <c r="B23" s="439">
        <f>IF(Параметры!D11="казань",Параметры!D19,Параметры!D19*0.7)</f>
        <v>50000</v>
      </c>
      <c r="C23" t="s">
        <v>162</v>
      </c>
      <c r="F23" s="136" t="s">
        <v>239</v>
      </c>
      <c r="G23" s="144">
        <f>G32/G31*100</f>
        <v>38.776972159395349</v>
      </c>
      <c r="H23" t="s">
        <v>212</v>
      </c>
    </row>
    <row r="24" spans="1:19" ht="13.5" thickBot="1" x14ac:dyDescent="0.25">
      <c r="A24" s="416" t="s">
        <v>155</v>
      </c>
      <c r="B24" s="412">
        <v>5000</v>
      </c>
      <c r="C24" t="s">
        <v>162</v>
      </c>
      <c r="F24" s="138" t="s">
        <v>209</v>
      </c>
      <c r="G24" s="145">
        <f>G13/G7*100</f>
        <v>16.945077065131205</v>
      </c>
      <c r="H24" t="s">
        <v>174</v>
      </c>
    </row>
    <row r="25" spans="1:19" ht="13.5" thickBot="1" x14ac:dyDescent="0.25">
      <c r="A25" s="404" t="s">
        <v>166</v>
      </c>
      <c r="B25" s="441">
        <f>Параметры!D23</f>
        <v>23000</v>
      </c>
      <c r="C25" t="s">
        <v>162</v>
      </c>
      <c r="E25" s="41"/>
      <c r="F25" s="41"/>
      <c r="G25" s="41"/>
      <c r="H25" s="41"/>
      <c r="I25" s="41"/>
      <c r="J25" s="41"/>
      <c r="K25" s="421"/>
      <c r="L25" s="41"/>
      <c r="M25" s="41"/>
      <c r="N25" s="41"/>
      <c r="O25" s="41"/>
      <c r="P25" s="41"/>
      <c r="Q25" s="41"/>
      <c r="R25" s="41"/>
      <c r="S25" s="41"/>
    </row>
    <row r="26" spans="1:19" ht="13.5" thickBot="1" x14ac:dyDescent="0.25">
      <c r="A26" s="405" t="s">
        <v>33</v>
      </c>
      <c r="B26" s="443">
        <f>Параметры!D24</f>
        <v>18000</v>
      </c>
      <c r="C26" t="s">
        <v>162</v>
      </c>
      <c r="E26" s="41"/>
      <c r="F26" s="449" t="s">
        <v>240</v>
      </c>
      <c r="G26" s="453">
        <f>SUM(цех!C105:N105)/G31*100</f>
        <v>27.478455527220287</v>
      </c>
      <c r="H26" s="41" t="s">
        <v>212</v>
      </c>
      <c r="I26" s="41"/>
      <c r="J26" s="455"/>
      <c r="K26" s="421"/>
      <c r="L26" s="41"/>
      <c r="M26" s="41"/>
      <c r="N26" s="41"/>
      <c r="O26" s="41"/>
      <c r="P26" s="41"/>
      <c r="Q26" s="41"/>
      <c r="R26" s="41"/>
      <c r="S26" s="41"/>
    </row>
    <row r="27" spans="1:19" x14ac:dyDescent="0.2">
      <c r="B27" s="121"/>
      <c r="E27" s="41"/>
      <c r="F27" s="450" t="s">
        <v>241</v>
      </c>
      <c r="G27" s="144">
        <f>(SUM(цех!C105:N105)+цех!O105*24)/3/'Параметры проекта'!G31*100</f>
        <v>35.010799948670332</v>
      </c>
      <c r="H27" s="41" t="s">
        <v>212</v>
      </c>
      <c r="I27" s="41"/>
      <c r="J27" s="455"/>
      <c r="K27" s="421"/>
      <c r="L27" s="41"/>
      <c r="M27" s="41"/>
      <c r="N27" s="41"/>
      <c r="O27" s="41"/>
      <c r="P27" s="41"/>
      <c r="Q27" s="41"/>
      <c r="R27" s="41"/>
      <c r="S27" s="41"/>
    </row>
    <row r="28" spans="1:19" ht="13.5" thickBot="1" x14ac:dyDescent="0.25">
      <c r="A28" s="125" t="s">
        <v>178</v>
      </c>
      <c r="B28" s="121"/>
      <c r="E28" s="41"/>
      <c r="F28" s="451" t="s">
        <v>242</v>
      </c>
      <c r="G28" s="454">
        <f>(SUM(цех!C105:N105)+цех!O105*48)/5/'Параметры проекта'!G31*100</f>
        <v>36.51726883296034</v>
      </c>
      <c r="H28" s="41" t="s">
        <v>212</v>
      </c>
      <c r="I28" s="41"/>
      <c r="J28" s="455"/>
      <c r="K28" s="421"/>
      <c r="L28" s="41"/>
      <c r="M28" s="41"/>
      <c r="N28" s="41"/>
      <c r="O28" s="41"/>
      <c r="P28" s="41"/>
      <c r="Q28" s="41"/>
      <c r="R28" s="41"/>
      <c r="S28" s="41"/>
    </row>
    <row r="29" spans="1:19" x14ac:dyDescent="0.2">
      <c r="A29" s="403" t="s">
        <v>167</v>
      </c>
      <c r="B29" s="439">
        <f>IF(Параметры!D11="казань",Параметры!D16,Параметры!D16*1.04878)</f>
        <v>41000</v>
      </c>
      <c r="C29" t="s">
        <v>169</v>
      </c>
      <c r="E29" s="41"/>
      <c r="F29" s="450"/>
      <c r="G29" s="144"/>
      <c r="H29" s="41" t="s">
        <v>212</v>
      </c>
      <c r="I29" s="41"/>
      <c r="J29" s="455"/>
      <c r="K29" s="421"/>
      <c r="L29" s="41"/>
      <c r="M29" s="41"/>
      <c r="N29" s="41"/>
      <c r="O29" s="41"/>
      <c r="P29" s="41"/>
      <c r="Q29" s="41"/>
      <c r="R29" s="41"/>
      <c r="S29" s="41"/>
    </row>
    <row r="30" spans="1:19" ht="13.5" thickBot="1" x14ac:dyDescent="0.25">
      <c r="A30" s="404" t="s">
        <v>168</v>
      </c>
      <c r="B30" s="441">
        <f>Параметры!D17</f>
        <v>20000</v>
      </c>
      <c r="C30" t="s">
        <v>169</v>
      </c>
      <c r="D30" s="398" t="str">
        <f>IF(B30=0,"проверь количество точек в кап затратах - должно быть ноль","")</f>
        <v/>
      </c>
      <c r="E30" s="41"/>
      <c r="F30" s="452"/>
      <c r="G30" s="145"/>
      <c r="H30" s="41" t="s">
        <v>212</v>
      </c>
      <c r="I30" s="41"/>
      <c r="J30" s="455"/>
      <c r="K30" s="421"/>
      <c r="L30" s="41"/>
      <c r="M30" s="41"/>
      <c r="N30" s="41"/>
      <c r="O30" s="41"/>
      <c r="P30" s="41"/>
      <c r="Q30" s="41"/>
      <c r="R30" s="41"/>
      <c r="S30" s="41"/>
    </row>
    <row r="31" spans="1:19" x14ac:dyDescent="0.2">
      <c r="A31" s="404" t="s">
        <v>173</v>
      </c>
      <c r="B31" s="407">
        <f>IF(Параметры!D11="казань",79%,83%)</f>
        <v>0.79</v>
      </c>
      <c r="C31" t="s">
        <v>174</v>
      </c>
      <c r="D31" s="129" t="str">
        <f>IF(SUM(B31:B33)&lt;&gt;100%,"проверь сумму %% до 100%","")</f>
        <v/>
      </c>
      <c r="E31" s="41"/>
      <c r="F31" s="119"/>
      <c r="G31" s="133">
        <f>B9</f>
        <v>7150000</v>
      </c>
      <c r="H31" s="401"/>
      <c r="I31" s="119"/>
      <c r="J31" s="119"/>
      <c r="K31" s="132"/>
      <c r="L31" s="41"/>
      <c r="M31" s="41"/>
      <c r="N31" s="41"/>
      <c r="O31" s="41"/>
      <c r="P31" s="41"/>
      <c r="Q31" s="41"/>
      <c r="R31" s="41"/>
      <c r="S31" s="41"/>
    </row>
    <row r="32" spans="1:19" x14ac:dyDescent="0.2">
      <c r="A32" s="404" t="s">
        <v>175</v>
      </c>
      <c r="B32" s="407">
        <f>9%</f>
        <v>0.09</v>
      </c>
      <c r="C32" t="s">
        <v>174</v>
      </c>
      <c r="D32" s="129" t="str">
        <f>IF(SUM(B31:B33)&lt;&gt;100%,"проверь сумму %% до 100%","")</f>
        <v/>
      </c>
      <c r="E32" s="41"/>
      <c r="F32" s="119"/>
      <c r="G32" s="133">
        <f>G15*12</f>
        <v>2772553.5093967677</v>
      </c>
      <c r="H32" s="400">
        <f>G13/G7*100</f>
        <v>16.945077065131205</v>
      </c>
      <c r="I32" s="119"/>
      <c r="J32" s="119"/>
      <c r="K32" s="132"/>
      <c r="L32" s="41"/>
      <c r="M32" s="41"/>
      <c r="N32" s="41"/>
      <c r="O32" s="41"/>
      <c r="P32" s="41"/>
      <c r="Q32" s="41"/>
      <c r="R32" s="41"/>
      <c r="S32" s="41"/>
    </row>
    <row r="33" spans="1:19" x14ac:dyDescent="0.2">
      <c r="A33" s="404" t="s">
        <v>133</v>
      </c>
      <c r="B33" s="407">
        <f>IF(Параметры!D11="казань",12%,8%)</f>
        <v>0.12</v>
      </c>
      <c r="C33" t="s">
        <v>174</v>
      </c>
      <c r="D33" s="129" t="str">
        <f>IF(SUM(B31:B33)&lt;&gt;100%,"проверь сумму %% до 100%","")</f>
        <v/>
      </c>
      <c r="E33" s="41"/>
      <c r="F33" s="399" t="s">
        <v>208</v>
      </c>
      <c r="G33" s="400">
        <f>G32/G31*100</f>
        <v>38.776972159395349</v>
      </c>
      <c r="H33" s="119"/>
      <c r="I33" s="119"/>
      <c r="J33" s="119"/>
      <c r="K33" s="132"/>
      <c r="L33" s="41"/>
      <c r="M33" s="41"/>
      <c r="N33" s="41"/>
      <c r="O33" s="41"/>
      <c r="P33" s="41"/>
      <c r="Q33" s="41"/>
      <c r="R33" s="41"/>
      <c r="S33" s="41"/>
    </row>
    <row r="34" spans="1:19" x14ac:dyDescent="0.2">
      <c r="A34" s="404" t="s">
        <v>176</v>
      </c>
      <c r="B34" s="414">
        <v>3.12</v>
      </c>
      <c r="C34" t="s">
        <v>177</v>
      </c>
      <c r="E34" s="41"/>
      <c r="F34" s="402"/>
      <c r="G34" s="400">
        <f>G15/G7*100</f>
        <v>7.6252846793090416</v>
      </c>
      <c r="H34" s="430"/>
      <c r="I34" s="430"/>
      <c r="J34" s="430"/>
      <c r="K34" s="132"/>
      <c r="L34" s="41"/>
      <c r="M34" s="41"/>
      <c r="N34" s="41"/>
      <c r="O34" s="41"/>
      <c r="P34" s="41"/>
      <c r="Q34" s="41"/>
      <c r="R34" s="41"/>
      <c r="S34" s="41"/>
    </row>
    <row r="35" spans="1:19" ht="12.75" customHeight="1" x14ac:dyDescent="0.2">
      <c r="A35" s="404" t="s">
        <v>175</v>
      </c>
      <c r="B35" s="414">
        <f>IF(Параметры!D11="казань",2.1,1.7)</f>
        <v>2.1</v>
      </c>
      <c r="C35" t="s">
        <v>177</v>
      </c>
      <c r="E35" s="41"/>
      <c r="F35" s="119"/>
      <c r="G35" s="119"/>
      <c r="H35" s="430"/>
      <c r="I35" s="430"/>
      <c r="J35" s="430"/>
      <c r="K35" s="132"/>
      <c r="L35" s="41"/>
      <c r="M35" s="41"/>
      <c r="N35" s="41"/>
      <c r="O35" s="41"/>
      <c r="P35" s="41"/>
      <c r="Q35" s="41"/>
      <c r="R35" s="41"/>
      <c r="S35" s="41"/>
    </row>
    <row r="36" spans="1:19" ht="13.5" thickBot="1" x14ac:dyDescent="0.25">
      <c r="A36" s="405" t="s">
        <v>133</v>
      </c>
      <c r="B36" s="415">
        <v>1.7</v>
      </c>
      <c r="C36" t="s">
        <v>177</v>
      </c>
      <c r="E36" s="41"/>
      <c r="F36" s="430"/>
      <c r="G36" s="430"/>
      <c r="H36" s="430"/>
      <c r="I36" s="430"/>
      <c r="J36" s="430"/>
      <c r="K36" s="132"/>
      <c r="L36" s="41"/>
      <c r="M36" s="41"/>
      <c r="N36" s="41"/>
      <c r="O36" s="41"/>
      <c r="P36" s="41"/>
      <c r="Q36" s="41"/>
      <c r="R36" s="41"/>
      <c r="S36" s="41"/>
    </row>
    <row r="37" spans="1:19" x14ac:dyDescent="0.2">
      <c r="B37" s="121"/>
      <c r="E37" s="41"/>
      <c r="F37" s="430" t="s">
        <v>224</v>
      </c>
      <c r="G37" s="431">
        <f>(G14*12)/G11</f>
        <v>0.40757182319988866</v>
      </c>
      <c r="H37" s="430"/>
      <c r="I37" s="430"/>
      <c r="J37" s="430"/>
      <c r="K37" s="132"/>
      <c r="L37" s="41"/>
      <c r="M37" s="41"/>
      <c r="N37" s="41"/>
      <c r="O37" s="41"/>
      <c r="P37" s="41"/>
      <c r="Q37" s="41"/>
      <c r="R37" s="41"/>
      <c r="S37" s="41"/>
    </row>
    <row r="38" spans="1:19" ht="13.5" thickBot="1" x14ac:dyDescent="0.25">
      <c r="A38" s="125" t="s">
        <v>179</v>
      </c>
      <c r="B38" s="121"/>
      <c r="E38" s="41"/>
      <c r="F38" s="430" t="s">
        <v>225</v>
      </c>
      <c r="G38" s="431">
        <f>(G15*12)/G11</f>
        <v>0.40757182319988866</v>
      </c>
      <c r="H38" s="432"/>
      <c r="I38" s="430"/>
      <c r="J38" s="430"/>
      <c r="K38" s="132"/>
      <c r="L38" s="41"/>
      <c r="M38" s="41"/>
      <c r="N38" s="41"/>
      <c r="O38" s="41"/>
      <c r="P38" s="41"/>
      <c r="Q38" s="41"/>
      <c r="R38" s="41"/>
      <c r="S38" s="41"/>
    </row>
    <row r="39" spans="1:19" x14ac:dyDescent="0.2">
      <c r="A39" s="403" t="s">
        <v>180</v>
      </c>
      <c r="B39" s="411">
        <v>130000</v>
      </c>
      <c r="C39" t="s">
        <v>162</v>
      </c>
      <c r="E39" s="41"/>
      <c r="F39" s="430"/>
      <c r="G39" s="430"/>
      <c r="H39" s="432">
        <v>200000</v>
      </c>
      <c r="I39" s="430" t="s">
        <v>246</v>
      </c>
      <c r="J39" s="430"/>
      <c r="K39" s="132"/>
      <c r="L39" s="41"/>
      <c r="M39" s="41"/>
      <c r="N39" s="41"/>
      <c r="O39" s="41"/>
      <c r="P39" s="41"/>
      <c r="Q39" s="41"/>
      <c r="R39" s="41"/>
      <c r="S39" s="41"/>
    </row>
    <row r="40" spans="1:19" x14ac:dyDescent="0.2">
      <c r="A40" s="404" t="s">
        <v>181</v>
      </c>
      <c r="B40" s="412">
        <v>50000</v>
      </c>
      <c r="C40" t="s">
        <v>162</v>
      </c>
      <c r="E40" s="41"/>
      <c r="F40" s="430"/>
      <c r="G40" s="432"/>
      <c r="H40" s="432">
        <v>400000</v>
      </c>
      <c r="I40" s="430" t="s">
        <v>247</v>
      </c>
      <c r="J40" s="430"/>
      <c r="K40" s="132"/>
      <c r="L40" s="41"/>
      <c r="M40" s="41"/>
      <c r="N40" s="41"/>
      <c r="O40" s="41"/>
      <c r="P40" s="41"/>
      <c r="Q40" s="41"/>
      <c r="R40" s="41"/>
      <c r="S40" s="41"/>
    </row>
    <row r="41" spans="1:19" ht="13.5" thickBot="1" x14ac:dyDescent="0.25">
      <c r="A41" s="405" t="s">
        <v>198</v>
      </c>
      <c r="B41" s="413">
        <v>0</v>
      </c>
      <c r="C41" t="s">
        <v>199</v>
      </c>
      <c r="E41" s="41"/>
      <c r="F41" s="430" t="s">
        <v>238</v>
      </c>
      <c r="G41" s="432">
        <f>6000000*10%</f>
        <v>600000</v>
      </c>
      <c r="H41" s="430"/>
      <c r="I41" s="430"/>
      <c r="J41" s="430"/>
      <c r="K41" s="132"/>
      <c r="L41" s="41"/>
      <c r="M41" s="41"/>
      <c r="N41" s="41"/>
      <c r="O41" s="41"/>
      <c r="P41" s="41"/>
      <c r="Q41" s="41"/>
      <c r="R41" s="41"/>
      <c r="S41" s="41"/>
    </row>
    <row r="42" spans="1:19" x14ac:dyDescent="0.2">
      <c r="A42" s="124"/>
      <c r="B42" s="121"/>
      <c r="E42" s="41"/>
      <c r="F42" s="430"/>
      <c r="G42" s="432"/>
      <c r="H42" s="430"/>
      <c r="I42" s="430"/>
      <c r="J42" s="430"/>
      <c r="K42" s="132"/>
      <c r="L42" s="41"/>
      <c r="M42" s="41"/>
      <c r="N42" s="41"/>
      <c r="O42" s="41"/>
      <c r="P42" s="41"/>
      <c r="Q42" s="41"/>
      <c r="R42" s="41"/>
      <c r="S42" s="41"/>
    </row>
    <row r="43" spans="1:19" ht="13.5" thickBot="1" x14ac:dyDescent="0.25">
      <c r="A43" s="125" t="s">
        <v>172</v>
      </c>
      <c r="B43" s="121"/>
      <c r="E43" s="41"/>
      <c r="F43" s="430"/>
      <c r="G43" s="430"/>
      <c r="H43" s="119"/>
      <c r="I43" s="119"/>
      <c r="J43" s="119"/>
      <c r="K43" s="132"/>
      <c r="L43" s="41"/>
      <c r="M43" s="41"/>
      <c r="N43" s="41"/>
      <c r="O43" s="41"/>
      <c r="P43" s="41"/>
      <c r="Q43" s="41"/>
      <c r="R43" s="41"/>
      <c r="S43" s="41"/>
    </row>
    <row r="44" spans="1:19" x14ac:dyDescent="0.2">
      <c r="A44" s="403" t="s">
        <v>216</v>
      </c>
      <c r="B44" s="406">
        <v>0.45</v>
      </c>
      <c r="C44" t="s">
        <v>184</v>
      </c>
      <c r="E44" s="41"/>
      <c r="F44" s="430"/>
      <c r="G44" s="430"/>
      <c r="H44" s="119"/>
      <c r="I44" s="119"/>
      <c r="J44" s="119"/>
      <c r="K44" s="132"/>
      <c r="L44" s="41"/>
      <c r="M44" s="41"/>
      <c r="N44" s="41"/>
      <c r="O44" s="41"/>
      <c r="P44" s="41"/>
      <c r="Q44" s="41"/>
      <c r="R44" s="41"/>
      <c r="S44" s="41"/>
    </row>
    <row r="45" spans="1:19" x14ac:dyDescent="0.2">
      <c r="A45" s="404" t="s">
        <v>217</v>
      </c>
      <c r="B45" s="407">
        <v>0.45</v>
      </c>
      <c r="C45" t="s">
        <v>184</v>
      </c>
      <c r="E45" s="41"/>
      <c r="F45" s="41"/>
      <c r="G45" s="41"/>
      <c r="H45" s="41"/>
      <c r="I45" s="41"/>
      <c r="J45" s="41"/>
      <c r="K45" s="421"/>
      <c r="L45" s="41"/>
      <c r="M45" s="41"/>
      <c r="N45" s="41"/>
      <c r="O45" s="41"/>
      <c r="P45" s="41"/>
      <c r="Q45" s="41"/>
      <c r="R45" s="41"/>
      <c r="S45" s="41"/>
    </row>
    <row r="46" spans="1:19" ht="13.5" hidden="1" thickBot="1" x14ac:dyDescent="0.25">
      <c r="A46" s="405" t="s">
        <v>220</v>
      </c>
      <c r="B46" s="408">
        <v>7.0000000000000007E-2</v>
      </c>
      <c r="C46" t="s">
        <v>184</v>
      </c>
      <c r="E46" s="41"/>
      <c r="F46" s="41"/>
      <c r="G46" s="41"/>
      <c r="H46" s="41"/>
      <c r="I46" s="41"/>
      <c r="J46" s="41"/>
      <c r="K46" s="421"/>
      <c r="L46" s="41"/>
      <c r="M46" s="41"/>
      <c r="N46" s="41"/>
      <c r="O46" s="41"/>
      <c r="P46" s="41"/>
      <c r="Q46" s="41"/>
      <c r="R46" s="41"/>
      <c r="S46" s="41"/>
    </row>
    <row r="47" spans="1:19" hidden="1" x14ac:dyDescent="0.2">
      <c r="A47" s="403" t="s">
        <v>243</v>
      </c>
      <c r="B47" s="409">
        <f>100%-B44-B46</f>
        <v>0.48000000000000004</v>
      </c>
      <c r="C47" t="s">
        <v>184</v>
      </c>
      <c r="E47" s="41"/>
      <c r="F47" s="41"/>
      <c r="G47" s="41"/>
      <c r="H47" s="41"/>
      <c r="I47" s="41"/>
      <c r="J47" s="41"/>
      <c r="K47" s="421"/>
      <c r="L47" s="41"/>
      <c r="M47" s="41"/>
      <c r="N47" s="41"/>
      <c r="O47" s="41"/>
      <c r="P47" s="41"/>
      <c r="Q47" s="41"/>
      <c r="R47" s="41"/>
      <c r="S47" s="41"/>
    </row>
    <row r="48" spans="1:19" ht="13.5" hidden="1" thickBot="1" x14ac:dyDescent="0.25">
      <c r="A48" s="404" t="s">
        <v>244</v>
      </c>
      <c r="B48" s="410">
        <f>100%-B45-B46</f>
        <v>0.48000000000000004</v>
      </c>
      <c r="C48" t="s">
        <v>184</v>
      </c>
      <c r="E48" s="41"/>
      <c r="F48" s="41"/>
      <c r="G48" s="41"/>
      <c r="H48" s="41"/>
      <c r="I48" s="41"/>
      <c r="J48" s="41"/>
      <c r="K48" s="421"/>
      <c r="L48" s="41"/>
      <c r="M48" s="41"/>
      <c r="N48" s="41"/>
      <c r="O48" s="41"/>
      <c r="P48" s="41"/>
      <c r="Q48" s="41"/>
      <c r="R48" s="41"/>
      <c r="S48" s="41"/>
    </row>
    <row r="49" spans="2:19" x14ac:dyDescent="0.2">
      <c r="B49" s="121"/>
      <c r="E49" s="41"/>
      <c r="F49" s="41"/>
      <c r="G49" s="41"/>
      <c r="H49" s="41"/>
      <c r="I49" s="41"/>
      <c r="J49" s="41"/>
      <c r="K49" s="421"/>
      <c r="L49" s="41"/>
      <c r="M49" s="41"/>
      <c r="N49" s="41"/>
      <c r="O49" s="41"/>
      <c r="P49" s="41"/>
      <c r="Q49" s="41"/>
      <c r="R49" s="41"/>
      <c r="S49" s="41"/>
    </row>
    <row r="50" spans="2:19" x14ac:dyDescent="0.2">
      <c r="B50" s="121"/>
      <c r="E50" s="41"/>
      <c r="F50" s="41"/>
      <c r="G50" s="41"/>
      <c r="H50" s="41"/>
      <c r="I50" s="41"/>
      <c r="J50" s="41"/>
      <c r="K50" s="421"/>
      <c r="L50" s="41"/>
      <c r="M50" s="41"/>
      <c r="N50" s="41"/>
      <c r="O50" s="41"/>
      <c r="P50" s="41"/>
      <c r="Q50" s="41"/>
      <c r="R50" s="41"/>
      <c r="S50" s="41"/>
    </row>
    <row r="51" spans="2:19" x14ac:dyDescent="0.2">
      <c r="B51" s="121"/>
      <c r="E51" s="41"/>
      <c r="F51" s="41"/>
      <c r="G51" s="41"/>
      <c r="H51" s="41"/>
      <c r="I51" s="41"/>
      <c r="J51" s="41"/>
      <c r="K51" s="421"/>
      <c r="L51" s="41"/>
      <c r="M51" s="41"/>
      <c r="N51" s="41"/>
      <c r="O51" s="41"/>
      <c r="P51" s="41"/>
      <c r="Q51" s="41"/>
      <c r="R51" s="41"/>
      <c r="S51" s="41"/>
    </row>
    <row r="52" spans="2:19" x14ac:dyDescent="0.2">
      <c r="B52" s="121"/>
      <c r="E52" s="41"/>
      <c r="F52" s="41"/>
      <c r="G52" s="41"/>
      <c r="H52" s="41"/>
      <c r="I52" s="41"/>
      <c r="J52" s="41"/>
      <c r="K52" s="421"/>
      <c r="L52" s="41"/>
      <c r="M52" s="41"/>
      <c r="N52" s="41"/>
      <c r="O52" s="41"/>
      <c r="P52" s="41"/>
      <c r="Q52" s="41"/>
      <c r="R52" s="41"/>
      <c r="S52" s="41"/>
    </row>
    <row r="53" spans="2:19" x14ac:dyDescent="0.2">
      <c r="B53" s="121"/>
      <c r="E53" s="41"/>
      <c r="F53" s="41"/>
      <c r="G53" s="41"/>
      <c r="H53" s="41"/>
      <c r="I53" s="41"/>
      <c r="J53" s="41"/>
      <c r="K53" s="421"/>
      <c r="L53" s="41"/>
      <c r="M53" s="41"/>
      <c r="N53" s="41"/>
      <c r="O53" s="41"/>
      <c r="P53" s="41"/>
      <c r="Q53" s="41"/>
      <c r="R53" s="41"/>
      <c r="S53" s="41"/>
    </row>
    <row r="54" spans="2:19" x14ac:dyDescent="0.2">
      <c r="B54" s="121"/>
      <c r="E54" s="41"/>
      <c r="F54" s="41"/>
      <c r="G54" s="41"/>
      <c r="H54" s="41"/>
      <c r="I54" s="41"/>
      <c r="J54" s="41"/>
      <c r="K54" s="421"/>
      <c r="L54" s="41"/>
      <c r="M54" s="41"/>
      <c r="N54" s="41"/>
      <c r="O54" s="41"/>
      <c r="P54" s="41"/>
      <c r="Q54" s="41"/>
      <c r="R54" s="41"/>
      <c r="S54" s="41"/>
    </row>
    <row r="55" spans="2:19" x14ac:dyDescent="0.2">
      <c r="B55" s="121"/>
      <c r="E55" s="41"/>
      <c r="F55" s="41"/>
      <c r="G55" s="41"/>
      <c r="H55" s="41"/>
      <c r="I55" s="41"/>
      <c r="J55" s="41"/>
      <c r="K55" s="421"/>
      <c r="L55" s="41"/>
      <c r="M55" s="41"/>
      <c r="N55" s="41"/>
      <c r="O55" s="41"/>
      <c r="P55" s="41"/>
      <c r="Q55" s="41"/>
      <c r="R55" s="41"/>
      <c r="S55" s="41"/>
    </row>
    <row r="56" spans="2:19" x14ac:dyDescent="0.2">
      <c r="B56" s="121"/>
      <c r="E56" s="41"/>
      <c r="F56" s="41"/>
      <c r="G56" s="41"/>
      <c r="H56" s="41"/>
      <c r="I56" s="41"/>
      <c r="J56" s="41"/>
      <c r="K56" s="421"/>
      <c r="L56" s="41"/>
      <c r="M56" s="41"/>
      <c r="N56" s="41"/>
      <c r="O56" s="41"/>
      <c r="P56" s="41"/>
      <c r="Q56" s="41"/>
      <c r="R56" s="41"/>
      <c r="S56" s="41"/>
    </row>
    <row r="57" spans="2:19" x14ac:dyDescent="0.2">
      <c r="B57" s="121"/>
      <c r="E57" s="41"/>
      <c r="F57" s="41"/>
      <c r="G57" s="41"/>
      <c r="H57" s="41"/>
      <c r="I57" s="41"/>
      <c r="J57" s="41"/>
      <c r="K57" s="421"/>
      <c r="L57" s="41"/>
      <c r="M57" s="41"/>
      <c r="N57" s="41"/>
      <c r="O57" s="41"/>
      <c r="P57" s="41"/>
      <c r="Q57" s="41"/>
      <c r="R57" s="41"/>
      <c r="S57" s="41"/>
    </row>
    <row r="58" spans="2:19" x14ac:dyDescent="0.2">
      <c r="B58" s="121"/>
      <c r="E58" s="41"/>
      <c r="F58" s="41"/>
      <c r="G58" s="41"/>
      <c r="H58" s="41"/>
      <c r="I58" s="41"/>
      <c r="J58" s="41"/>
      <c r="K58" s="421"/>
      <c r="L58" s="41"/>
      <c r="M58" s="41"/>
      <c r="N58" s="41"/>
      <c r="O58" s="41"/>
      <c r="P58" s="41"/>
      <c r="Q58" s="41"/>
      <c r="R58" s="41"/>
      <c r="S58" s="41"/>
    </row>
    <row r="59" spans="2:19" x14ac:dyDescent="0.2">
      <c r="B59" s="121"/>
      <c r="E59" s="41"/>
      <c r="F59" s="41"/>
      <c r="G59" s="41"/>
      <c r="H59" s="41"/>
      <c r="I59" s="41"/>
      <c r="J59" s="41"/>
      <c r="K59" s="421"/>
      <c r="L59" s="41"/>
      <c r="M59" s="41"/>
      <c r="N59" s="41"/>
      <c r="O59" s="41"/>
      <c r="P59" s="41"/>
      <c r="Q59" s="41"/>
      <c r="R59" s="41"/>
      <c r="S59" s="41"/>
    </row>
    <row r="60" spans="2:19" x14ac:dyDescent="0.2">
      <c r="B60" s="121"/>
    </row>
    <row r="61" spans="2:19" x14ac:dyDescent="0.2">
      <c r="B61" s="121"/>
    </row>
    <row r="62" spans="2:19" x14ac:dyDescent="0.2">
      <c r="B62" s="121"/>
    </row>
    <row r="63" spans="2:19" x14ac:dyDescent="0.2">
      <c r="B63" s="121"/>
    </row>
    <row r="64" spans="2:19" x14ac:dyDescent="0.2">
      <c r="B64" s="121"/>
    </row>
    <row r="65" spans="2:2" x14ac:dyDescent="0.2">
      <c r="B65" s="121"/>
    </row>
    <row r="66" spans="2:2" x14ac:dyDescent="0.2">
      <c r="B66" s="121"/>
    </row>
    <row r="67" spans="2:2" x14ac:dyDescent="0.2">
      <c r="B67" s="121"/>
    </row>
    <row r="68" spans="2:2" x14ac:dyDescent="0.2">
      <c r="B68" s="121"/>
    </row>
    <row r="69" spans="2:2" x14ac:dyDescent="0.2">
      <c r="B69" s="121"/>
    </row>
    <row r="70" spans="2:2" x14ac:dyDescent="0.2">
      <c r="B70" s="121"/>
    </row>
    <row r="71" spans="2:2" x14ac:dyDescent="0.2">
      <c r="B71" s="121"/>
    </row>
  </sheetData>
  <sheetProtection password="CC5E" sheet="1" objects="1" scenarios="1" selectLockedCells="1" selectUnlockedCells="1"/>
  <pageMargins left="0.70866141732283472" right="0.70866141732283472" top="0.74803149606299213" bottom="0.74803149606299213" header="0.31496062992125984" footer="0.31496062992125984"/>
  <pageSetup paperSize="9" scale="56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4"/>
  <sheetViews>
    <sheetView workbookViewId="0">
      <selection activeCell="H23" sqref="H23"/>
    </sheetView>
  </sheetViews>
  <sheetFormatPr defaultRowHeight="12.75" x14ac:dyDescent="0.2"/>
  <cols>
    <col min="1" max="1" width="3.85546875" customWidth="1"/>
    <col min="2" max="2" width="45.28515625" customWidth="1"/>
    <col min="3" max="3" width="9.140625" hidden="1" customWidth="1"/>
    <col min="4" max="36" width="9.7109375" style="7" customWidth="1"/>
    <col min="37" max="37" width="3.28515625" customWidth="1"/>
  </cols>
  <sheetData>
    <row r="1" spans="1:67" ht="81" customHeight="1" x14ac:dyDescent="0.4">
      <c r="A1" s="474"/>
      <c r="B1" s="474"/>
      <c r="D1" s="614" t="str">
        <f>Параметры!D11</f>
        <v>Казань</v>
      </c>
      <c r="E1" s="608"/>
      <c r="F1" s="612"/>
      <c r="G1" s="608"/>
      <c r="H1" s="608"/>
      <c r="I1" s="612" t="s">
        <v>326</v>
      </c>
      <c r="J1" s="608"/>
      <c r="K1" s="608"/>
      <c r="L1" s="608"/>
      <c r="M1" s="608"/>
      <c r="N1" s="608"/>
      <c r="O1" s="608"/>
      <c r="P1" s="608"/>
      <c r="Q1" s="608"/>
      <c r="R1" s="608"/>
      <c r="S1" s="608"/>
      <c r="T1" s="608"/>
      <c r="U1" s="608"/>
      <c r="V1" s="608"/>
      <c r="W1" s="608"/>
      <c r="X1" s="608"/>
      <c r="Y1" s="608"/>
      <c r="Z1" s="608"/>
      <c r="AA1" s="608"/>
      <c r="AB1" s="608"/>
      <c r="AC1" s="608"/>
      <c r="AD1" s="608"/>
      <c r="AE1" s="608"/>
      <c r="AF1" s="608"/>
      <c r="AG1" s="608"/>
      <c r="AH1" s="608"/>
      <c r="AI1" s="608"/>
      <c r="AJ1" s="608"/>
      <c r="AK1" s="474"/>
    </row>
    <row r="2" spans="1:67" ht="13.5" thickBot="1" x14ac:dyDescent="0.25">
      <c r="A2" s="474"/>
      <c r="B2" s="613" t="s">
        <v>308</v>
      </c>
      <c r="C2" s="58"/>
      <c r="D2" s="556">
        <v>1</v>
      </c>
      <c r="E2" s="556">
        <v>2</v>
      </c>
      <c r="F2" s="556">
        <v>3</v>
      </c>
      <c r="G2" s="556">
        <v>4</v>
      </c>
      <c r="H2" s="556">
        <v>5</v>
      </c>
      <c r="I2" s="556">
        <v>6</v>
      </c>
      <c r="J2" s="556">
        <v>7</v>
      </c>
      <c r="K2" s="556">
        <v>8</v>
      </c>
      <c r="L2" s="556">
        <v>9</v>
      </c>
      <c r="M2" s="556">
        <v>10</v>
      </c>
      <c r="N2" s="556">
        <v>11</v>
      </c>
      <c r="O2" s="556">
        <v>12</v>
      </c>
      <c r="P2" s="556">
        <v>13</v>
      </c>
      <c r="Q2" s="556">
        <v>14</v>
      </c>
      <c r="R2" s="556">
        <v>15</v>
      </c>
      <c r="S2" s="556">
        <v>16</v>
      </c>
      <c r="T2" s="556">
        <v>17</v>
      </c>
      <c r="U2" s="556">
        <v>18</v>
      </c>
      <c r="V2" s="556">
        <v>19</v>
      </c>
      <c r="W2" s="556">
        <v>20</v>
      </c>
      <c r="X2" s="556">
        <v>21</v>
      </c>
      <c r="Y2" s="556">
        <v>22</v>
      </c>
      <c r="Z2" s="556">
        <v>23</v>
      </c>
      <c r="AA2" s="556">
        <v>24</v>
      </c>
      <c r="AB2" s="556">
        <v>25</v>
      </c>
      <c r="AC2" s="556">
        <v>26</v>
      </c>
      <c r="AD2" s="556">
        <v>27</v>
      </c>
      <c r="AE2" s="556">
        <v>28</v>
      </c>
      <c r="AF2" s="556">
        <v>29</v>
      </c>
      <c r="AG2" s="556">
        <v>30</v>
      </c>
      <c r="AH2" s="556">
        <v>31</v>
      </c>
      <c r="AI2" s="556">
        <v>32</v>
      </c>
      <c r="AJ2" s="556">
        <v>33</v>
      </c>
      <c r="AK2" s="619">
        <v>34</v>
      </c>
      <c r="AL2" s="432">
        <v>35</v>
      </c>
      <c r="AM2" s="432">
        <v>36</v>
      </c>
      <c r="AN2" s="432">
        <v>37</v>
      </c>
      <c r="AO2" s="432">
        <v>38</v>
      </c>
      <c r="AP2" s="432">
        <v>39</v>
      </c>
      <c r="AQ2" s="432">
        <v>40</v>
      </c>
      <c r="AR2" s="432">
        <v>41</v>
      </c>
      <c r="AS2" s="432">
        <v>42</v>
      </c>
      <c r="AT2" s="432">
        <v>43</v>
      </c>
      <c r="AU2" s="432">
        <v>44</v>
      </c>
      <c r="AV2" s="432">
        <v>45</v>
      </c>
      <c r="AW2" s="432">
        <v>46</v>
      </c>
      <c r="AX2" s="432">
        <v>47</v>
      </c>
      <c r="AY2" s="432">
        <v>48</v>
      </c>
      <c r="AZ2" s="432">
        <v>49</v>
      </c>
      <c r="BA2" s="432">
        <v>50</v>
      </c>
      <c r="BB2" s="432">
        <v>51</v>
      </c>
      <c r="BC2" s="432">
        <v>52</v>
      </c>
      <c r="BD2" s="432">
        <v>53</v>
      </c>
      <c r="BE2" s="432">
        <v>54</v>
      </c>
      <c r="BF2" s="432">
        <v>55</v>
      </c>
      <c r="BG2" s="432">
        <v>56</v>
      </c>
      <c r="BH2" s="432">
        <v>57</v>
      </c>
      <c r="BI2" s="432">
        <v>58</v>
      </c>
      <c r="BJ2" s="432">
        <v>59</v>
      </c>
      <c r="BK2" s="432">
        <v>60</v>
      </c>
      <c r="BL2" s="432">
        <v>61</v>
      </c>
      <c r="BM2" s="432">
        <v>62</v>
      </c>
      <c r="BN2" s="432">
        <v>63</v>
      </c>
      <c r="BO2" s="432">
        <v>64</v>
      </c>
    </row>
    <row r="3" spans="1:67" ht="16.5" customHeight="1" x14ac:dyDescent="0.25">
      <c r="A3" s="474"/>
      <c r="B3" s="576" t="s">
        <v>306</v>
      </c>
      <c r="C3" s="585"/>
      <c r="D3" s="586">
        <f>цех!C89</f>
        <v>2300000</v>
      </c>
      <c r="E3" s="587">
        <f>цех!D89</f>
        <v>1150000</v>
      </c>
      <c r="F3" s="587">
        <f>цех!E89</f>
        <v>2000000</v>
      </c>
      <c r="G3" s="588">
        <f>цех!F89</f>
        <v>850000</v>
      </c>
      <c r="H3" s="588">
        <f>цех!G89</f>
        <v>850000</v>
      </c>
      <c r="I3" s="477"/>
      <c r="J3" s="477"/>
      <c r="K3" s="477"/>
      <c r="L3" s="477"/>
      <c r="M3" s="477"/>
      <c r="N3" s="477"/>
      <c r="O3" s="477"/>
      <c r="P3" s="477"/>
      <c r="Q3" s="477"/>
      <c r="R3" s="477"/>
      <c r="S3" s="477"/>
      <c r="T3" s="477"/>
      <c r="U3" s="477"/>
      <c r="V3" s="477"/>
      <c r="W3" s="477"/>
      <c r="X3" s="477"/>
      <c r="Y3" s="477"/>
      <c r="Z3" s="477"/>
      <c r="AA3" s="477"/>
      <c r="AB3" s="477"/>
      <c r="AC3" s="477"/>
      <c r="AD3" s="477"/>
      <c r="AE3" s="477"/>
      <c r="AF3" s="477"/>
      <c r="AG3" s="477"/>
      <c r="AH3" s="477"/>
      <c r="AI3" s="477"/>
      <c r="AJ3" s="478"/>
      <c r="AK3" s="474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</row>
    <row r="4" spans="1:67" ht="16.5" customHeight="1" thickBot="1" x14ac:dyDescent="0.25">
      <c r="A4" s="474"/>
      <c r="B4" s="583" t="s">
        <v>309</v>
      </c>
      <c r="C4" s="564"/>
      <c r="D4" s="589">
        <f>цех!C96</f>
        <v>0</v>
      </c>
      <c r="E4" s="565">
        <f>цех!D96</f>
        <v>0</v>
      </c>
      <c r="F4" s="565">
        <f>цех!E96</f>
        <v>0</v>
      </c>
      <c r="G4" s="562">
        <f>цех!F96</f>
        <v>1830000</v>
      </c>
      <c r="H4" s="562">
        <f>цех!G96</f>
        <v>2430000</v>
      </c>
      <c r="I4" s="562">
        <f>цех!H96</f>
        <v>3030000</v>
      </c>
      <c r="J4" s="562">
        <f>цех!I96</f>
        <v>3030000</v>
      </c>
      <c r="K4" s="562">
        <f>цех!J96</f>
        <v>3030000</v>
      </c>
      <c r="L4" s="562">
        <f>цех!K96</f>
        <v>3030000</v>
      </c>
      <c r="M4" s="562">
        <f>цех!L96</f>
        <v>3030000</v>
      </c>
      <c r="N4" s="562">
        <f>цех!M96</f>
        <v>3030000</v>
      </c>
      <c r="O4" s="562">
        <f>цех!N96</f>
        <v>3030000</v>
      </c>
      <c r="P4" s="562">
        <f>цех!O96</f>
        <v>3030000</v>
      </c>
      <c r="Q4" s="562">
        <f>цех!P96</f>
        <v>3030000</v>
      </c>
      <c r="R4" s="562">
        <f>цех!Q96</f>
        <v>3030000</v>
      </c>
      <c r="S4" s="562">
        <f>цех!R96</f>
        <v>3030000</v>
      </c>
      <c r="T4" s="562">
        <f>цех!S96</f>
        <v>3030000</v>
      </c>
      <c r="U4" s="562">
        <f>цех!T96</f>
        <v>3030000</v>
      </c>
      <c r="V4" s="562">
        <f>цех!U96</f>
        <v>3030000</v>
      </c>
      <c r="W4" s="562">
        <f>цех!V96</f>
        <v>3030000</v>
      </c>
      <c r="X4" s="562">
        <f>цех!W96</f>
        <v>3030000</v>
      </c>
      <c r="Y4" s="562">
        <f>цех!X96</f>
        <v>3030000</v>
      </c>
      <c r="Z4" s="562">
        <f>цех!Y96</f>
        <v>3030000</v>
      </c>
      <c r="AA4" s="562">
        <f>цех!Z96</f>
        <v>3030000</v>
      </c>
      <c r="AB4" s="562">
        <f>цех!AA96</f>
        <v>3030000</v>
      </c>
      <c r="AC4" s="562">
        <f>цех!AB96</f>
        <v>3030000</v>
      </c>
      <c r="AD4" s="562">
        <f>цех!AC96</f>
        <v>3030000</v>
      </c>
      <c r="AE4" s="562">
        <f>цех!AD96</f>
        <v>3030000</v>
      </c>
      <c r="AF4" s="562">
        <f>цех!AE96</f>
        <v>3030000</v>
      </c>
      <c r="AG4" s="562">
        <f>цех!AF96</f>
        <v>3030000</v>
      </c>
      <c r="AH4" s="562">
        <f>цех!AG96</f>
        <v>3030000</v>
      </c>
      <c r="AI4" s="562">
        <f>цех!AH96</f>
        <v>3030000</v>
      </c>
      <c r="AJ4" s="590">
        <f>цех!AI96</f>
        <v>3030000</v>
      </c>
      <c r="AK4" s="474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</row>
    <row r="5" spans="1:67" ht="16.5" customHeight="1" thickBot="1" x14ac:dyDescent="0.25">
      <c r="A5" s="474"/>
      <c r="B5" s="583" t="s">
        <v>310</v>
      </c>
      <c r="C5" s="561"/>
      <c r="D5" s="589">
        <v>0</v>
      </c>
      <c r="E5" s="566">
        <v>0</v>
      </c>
      <c r="F5" s="565">
        <v>0</v>
      </c>
      <c r="G5" s="563">
        <f>'цех точка продаж'!F15+Ларь1!F15</f>
        <v>670970.42663219129</v>
      </c>
      <c r="H5" s="563">
        <f>'цех точка продаж'!G15+Ларь1!G15*2</f>
        <v>890960.73044602457</v>
      </c>
      <c r="I5" s="563">
        <f>'цех точка продаж'!H15+Ларь1!H15*3</f>
        <v>1110951.0342598576</v>
      </c>
      <c r="J5" s="563">
        <f>'цех точка продаж'!I15+Ларь1!I15*3</f>
        <v>1110951.0342598576</v>
      </c>
      <c r="K5" s="563">
        <f>'цех точка продаж'!J15+Ларь1!J15*3</f>
        <v>1110951.0342598576</v>
      </c>
      <c r="L5" s="563">
        <f>'цех точка продаж'!K15+Ларь1!K15*3</f>
        <v>1110951.0342598576</v>
      </c>
      <c r="M5" s="563">
        <f>'цех точка продаж'!L15+Ларь1!L15*3</f>
        <v>1110951.0342598576</v>
      </c>
      <c r="N5" s="563">
        <f>'цех точка продаж'!M15+Ларь1!M15*3</f>
        <v>1110951.0342598576</v>
      </c>
      <c r="O5" s="563">
        <f>'цех точка продаж'!N15+Ларь1!N15*3</f>
        <v>1110951.0342598576</v>
      </c>
      <c r="P5" s="563">
        <f>'цех точка продаж'!O15+Ларь1!O15*3</f>
        <v>1110951.0342598576</v>
      </c>
      <c r="Q5" s="563">
        <f>'цех точка продаж'!P15+Ларь1!P15*3</f>
        <v>1110951.0342598576</v>
      </c>
      <c r="R5" s="563">
        <f>'цех точка продаж'!Q15+Ларь1!Q15*3</f>
        <v>1110951.0342598576</v>
      </c>
      <c r="S5" s="563">
        <f>'цех точка продаж'!R15+Ларь1!R15*3</f>
        <v>1110951.0342598576</v>
      </c>
      <c r="T5" s="563">
        <f>'цех точка продаж'!S15+Ларь1!S15*3</f>
        <v>1110951.0342598576</v>
      </c>
      <c r="U5" s="563">
        <f>'цех точка продаж'!T15+Ларь1!T15*3</f>
        <v>1110951.0342598576</v>
      </c>
      <c r="V5" s="563">
        <f>'цех точка продаж'!U15+Ларь1!U15*3</f>
        <v>1110951.0342598576</v>
      </c>
      <c r="W5" s="563">
        <f>'цех точка продаж'!V15+Ларь1!V15*3</f>
        <v>1110951.0342598576</v>
      </c>
      <c r="X5" s="563">
        <f>'цех точка продаж'!W15+Ларь1!W15*3</f>
        <v>1110951.0342598576</v>
      </c>
      <c r="Y5" s="563">
        <f>'цех точка продаж'!X15+Ларь1!X15*3</f>
        <v>1110951.0342598576</v>
      </c>
      <c r="Z5" s="563">
        <f>'цех точка продаж'!Y15+Ларь1!Y15*3</f>
        <v>1110951.0342598576</v>
      </c>
      <c r="AA5" s="563">
        <f>'цех точка продаж'!Z15+Ларь1!Z15*3</f>
        <v>1110951.0342598576</v>
      </c>
      <c r="AB5" s="563">
        <f>'цех точка продаж'!AA15+Ларь1!AA15*3</f>
        <v>1110951.0342598576</v>
      </c>
      <c r="AC5" s="563">
        <f>'цех точка продаж'!AB15+Ларь1!AB15*3</f>
        <v>1110951.0342598576</v>
      </c>
      <c r="AD5" s="563">
        <f>'цех точка продаж'!AC15+Ларь1!AC15*3</f>
        <v>1110951.0342598576</v>
      </c>
      <c r="AE5" s="563">
        <f>'цех точка продаж'!AD15+Ларь1!AD15*3</f>
        <v>1110951.0342598576</v>
      </c>
      <c r="AF5" s="563">
        <f>'цех точка продаж'!AE15+Ларь1!AE15*3</f>
        <v>1110951.0342598576</v>
      </c>
      <c r="AG5" s="563">
        <f>'цех точка продаж'!AF15+Ларь1!AF15*3</f>
        <v>1110951.0342598576</v>
      </c>
      <c r="AH5" s="563">
        <f>'цех точка продаж'!AG15+Ларь1!AG15*3</f>
        <v>1110951.0342598576</v>
      </c>
      <c r="AI5" s="563">
        <f>'цех точка продаж'!AH15+Ларь1!AH15*3</f>
        <v>1110951.0342598576</v>
      </c>
      <c r="AJ5" s="591">
        <f>'цех точка продаж'!AI15+Ларь1!AI15*3</f>
        <v>1110951.0342598576</v>
      </c>
      <c r="AK5" s="474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</row>
    <row r="6" spans="1:67" ht="16.5" customHeight="1" thickBot="1" x14ac:dyDescent="0.25">
      <c r="A6" s="474"/>
      <c r="B6" s="577" t="s">
        <v>10</v>
      </c>
      <c r="C6" s="568"/>
      <c r="D6" s="592">
        <v>0</v>
      </c>
      <c r="E6" s="570">
        <v>0</v>
      </c>
      <c r="F6" s="569">
        <v>0</v>
      </c>
      <c r="G6" s="571">
        <f>'цех точка продаж'!F19+Ларь1!F19</f>
        <v>1159029.5733678087</v>
      </c>
      <c r="H6" s="571">
        <f>'цех точка продаж'!G19+Ларь1!G19*2</f>
        <v>1539039.2695539754</v>
      </c>
      <c r="I6" s="571">
        <f>'цех точка продаж'!H19+Ларь1!H19*3</f>
        <v>1919048.9657401424</v>
      </c>
      <c r="J6" s="571">
        <f>'цех точка продаж'!I19+Ларь1!I19*3</f>
        <v>1919048.9657401424</v>
      </c>
      <c r="K6" s="571">
        <f>'цех точка продаж'!J19+Ларь1!J19*3</f>
        <v>1919048.9657401424</v>
      </c>
      <c r="L6" s="571">
        <f>'цех точка продаж'!K19+Ларь1!K19*3</f>
        <v>1919048.9657401424</v>
      </c>
      <c r="M6" s="571">
        <f>'цех точка продаж'!L19+Ларь1!L19*3</f>
        <v>1919048.9657401424</v>
      </c>
      <c r="N6" s="571">
        <f>'цех точка продаж'!M19+Ларь1!M19*3</f>
        <v>1919048.9657401424</v>
      </c>
      <c r="O6" s="571">
        <f>'цех точка продаж'!N19+Ларь1!N19*3</f>
        <v>1919048.9657401424</v>
      </c>
      <c r="P6" s="571">
        <f>'цех точка продаж'!O19+Ларь1!O19*3</f>
        <v>1919048.9657401424</v>
      </c>
      <c r="Q6" s="571">
        <f>'цех точка продаж'!P19+Ларь1!P19*3</f>
        <v>1919048.9657401424</v>
      </c>
      <c r="R6" s="571">
        <f>'цех точка продаж'!Q19+Ларь1!Q19*3</f>
        <v>1919048.9657401424</v>
      </c>
      <c r="S6" s="571">
        <f>'цех точка продаж'!R19+Ларь1!R19*3</f>
        <v>1919048.9657401424</v>
      </c>
      <c r="T6" s="571">
        <f>'цех точка продаж'!S19+Ларь1!S19*3</f>
        <v>1919048.9657401424</v>
      </c>
      <c r="U6" s="571">
        <f>'цех точка продаж'!T19+Ларь1!T19*3</f>
        <v>1919048.9657401424</v>
      </c>
      <c r="V6" s="571">
        <f>'цех точка продаж'!U19+Ларь1!U19*3</f>
        <v>1919048.9657401424</v>
      </c>
      <c r="W6" s="571">
        <f>'цех точка продаж'!V19+Ларь1!V19*3</f>
        <v>1919048.9657401424</v>
      </c>
      <c r="X6" s="571">
        <f>'цех точка продаж'!W19+Ларь1!W19*3</f>
        <v>1919048.9657401424</v>
      </c>
      <c r="Y6" s="571">
        <f>'цех точка продаж'!X19+Ларь1!X19*3</f>
        <v>1919048.9657401424</v>
      </c>
      <c r="Z6" s="571">
        <f>'цех точка продаж'!Y19+Ларь1!Y19*3</f>
        <v>1919048.9657401424</v>
      </c>
      <c r="AA6" s="571">
        <f>'цех точка продаж'!Z19+Ларь1!Z19*3</f>
        <v>1919048.9657401424</v>
      </c>
      <c r="AB6" s="571">
        <f>'цех точка продаж'!AA19+Ларь1!AA19*3</f>
        <v>1919048.9657401424</v>
      </c>
      <c r="AC6" s="571">
        <f>'цех точка продаж'!AB19+Ларь1!AB19*3</f>
        <v>1919048.9657401424</v>
      </c>
      <c r="AD6" s="571">
        <f>'цех точка продаж'!AC19+Ларь1!AC19*3</f>
        <v>1919048.9657401424</v>
      </c>
      <c r="AE6" s="571">
        <f>'цех точка продаж'!AD19+Ларь1!AD19*3</f>
        <v>1919048.9657401424</v>
      </c>
      <c r="AF6" s="571">
        <f>'цех точка продаж'!AE19+Ларь1!AE19*3</f>
        <v>1919048.9657401424</v>
      </c>
      <c r="AG6" s="571">
        <f>'цех точка продаж'!AF19+Ларь1!AF19*3</f>
        <v>1919048.9657401424</v>
      </c>
      <c r="AH6" s="571">
        <f>'цех точка продаж'!AG19+Ларь1!AG19*3</f>
        <v>1919048.9657401424</v>
      </c>
      <c r="AI6" s="571">
        <f>'цех точка продаж'!AH19+Ларь1!AH19*3</f>
        <v>1919048.9657401424</v>
      </c>
      <c r="AJ6" s="572">
        <f>'цех точка продаж'!AI19+Ларь1!AI19*3</f>
        <v>1919048.9657401424</v>
      </c>
      <c r="AK6" s="474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19"/>
      <c r="BO6" s="119"/>
    </row>
    <row r="7" spans="1:67" ht="16.5" customHeight="1" x14ac:dyDescent="0.2">
      <c r="A7" s="474"/>
      <c r="B7" s="578" t="s">
        <v>324</v>
      </c>
      <c r="C7" s="561"/>
      <c r="D7" s="593">
        <v>0</v>
      </c>
      <c r="E7" s="562">
        <v>0</v>
      </c>
      <c r="F7" s="562">
        <v>0</v>
      </c>
      <c r="G7" s="563">
        <f>цех!F20+'цех точка продаж'!F24+Ларь1!F24+G21+G22</f>
        <v>813861.23733333335</v>
      </c>
      <c r="H7" s="563">
        <f>цех!G20+'цех точка продаж'!G24+Ларь1!G24*2+H21+H22</f>
        <v>1112237.1840000001</v>
      </c>
      <c r="I7" s="563">
        <f>цех!H20+'цех точка продаж'!H24+Ларь1!H24*3+I21+I22</f>
        <v>1405613.1306666667</v>
      </c>
      <c r="J7" s="563">
        <f>цех!I20+'цех точка продаж'!I24+Ларь1!I24*3+J21+J22</f>
        <v>1405613.1306666667</v>
      </c>
      <c r="K7" s="563">
        <f>цех!J20+'цех точка продаж'!J24+Ларь1!J24*3+K21+K22</f>
        <v>1405613.1306666667</v>
      </c>
      <c r="L7" s="563">
        <f>цех!K20+'цех точка продаж'!K24+Ларь1!K24*3+L21+L22</f>
        <v>1405613.1306666667</v>
      </c>
      <c r="M7" s="563">
        <f>цех!L20+'цех точка продаж'!L24+Ларь1!L24*3+M21+M22</f>
        <v>1405613.1306666667</v>
      </c>
      <c r="N7" s="563">
        <f>цех!M20+'цех точка продаж'!M24+Ларь1!M24*3+N21+N22</f>
        <v>1405613.1306666667</v>
      </c>
      <c r="O7" s="563">
        <f>цех!N20+'цех точка продаж'!N24+Ларь1!N24*3+O21+O22</f>
        <v>1405613.1306666667</v>
      </c>
      <c r="P7" s="563">
        <f>цех!O20+'цех точка продаж'!O24+Ларь1!O24*3+P21+P22</f>
        <v>1405613.1306666667</v>
      </c>
      <c r="Q7" s="563">
        <f>цех!P20+'цех точка продаж'!P24+Ларь1!P24*3+Q21+Q22</f>
        <v>1405613.1306666667</v>
      </c>
      <c r="R7" s="563">
        <f>цех!Q20+'цех точка продаж'!Q24+Ларь1!Q24*3+R21+R22</f>
        <v>1405613.1306666667</v>
      </c>
      <c r="S7" s="563">
        <f>цех!R20+'цех точка продаж'!R24+Ларь1!R24*3+S21+S22</f>
        <v>1405613.1306666667</v>
      </c>
      <c r="T7" s="563">
        <f>цех!S20+'цех точка продаж'!S24+Ларь1!S24*3+T21+T22</f>
        <v>1405613.1306666667</v>
      </c>
      <c r="U7" s="563">
        <f>цех!T20+'цех точка продаж'!T24+Ларь1!T24*3+U21+U22</f>
        <v>1405613.1306666667</v>
      </c>
      <c r="V7" s="563">
        <f>цех!U20+'цех точка продаж'!U24+Ларь1!U24*3+V21+V22</f>
        <v>1405613.1306666667</v>
      </c>
      <c r="W7" s="563">
        <f>цех!V20+'цех точка продаж'!V24+Ларь1!V24*3+W21+W22</f>
        <v>1405613.1306666667</v>
      </c>
      <c r="X7" s="563">
        <f>цех!W20+'цех точка продаж'!W24+Ларь1!W24*3+X21+X22</f>
        <v>1405613.1306666667</v>
      </c>
      <c r="Y7" s="563">
        <f>цех!X20+'цех точка продаж'!X24+Ларь1!X24*3+Y21+Y22</f>
        <v>1405613.1306666667</v>
      </c>
      <c r="Z7" s="563">
        <f>цех!Y20+'цех точка продаж'!Y24+Ларь1!Y24*3+Z21+Z22</f>
        <v>1405613.1306666667</v>
      </c>
      <c r="AA7" s="563">
        <f>цех!Z20+'цех точка продаж'!Z24+Ларь1!Z24*3+AA21+AA22</f>
        <v>1405613.1306666667</v>
      </c>
      <c r="AB7" s="563">
        <f>цех!AA20+'цех точка продаж'!AA24+Ларь1!AA24*3+AB21+AB22</f>
        <v>1405613.1306666667</v>
      </c>
      <c r="AC7" s="563">
        <f>цех!AB20+'цех точка продаж'!AB24+Ларь1!AB24*3+AC21+AC22</f>
        <v>1405613.1306666667</v>
      </c>
      <c r="AD7" s="563">
        <f>цех!AC20+'цех точка продаж'!AC24+Ларь1!AC24*3+AD21+AD22</f>
        <v>1405613.1306666667</v>
      </c>
      <c r="AE7" s="563">
        <f>цех!AD20+'цех точка продаж'!AD24+Ларь1!AD24*3+AE21+AE22</f>
        <v>1405613.1306666667</v>
      </c>
      <c r="AF7" s="563">
        <f>цех!AE20+'цех точка продаж'!AE24+Ларь1!AE24*3+AF21+AF22</f>
        <v>1405613.1306666667</v>
      </c>
      <c r="AG7" s="563">
        <f>цех!AF20+'цех точка продаж'!AF24+Ларь1!AF24*3+AG21+AG22</f>
        <v>1405613.1306666667</v>
      </c>
      <c r="AH7" s="563">
        <f>цех!AG20+'цех точка продаж'!AG24+Ларь1!AG24*3+AH21+AH22</f>
        <v>1405613.1306666667</v>
      </c>
      <c r="AI7" s="563">
        <f>цех!AH20+'цех точка продаж'!AH24+Ларь1!AH24*3+AI21+AI22</f>
        <v>1405613.1306666667</v>
      </c>
      <c r="AJ7" s="591">
        <f>цех!AI20+'цех точка продаж'!AI24+Ларь1!AI24*3+AJ21+AJ22</f>
        <v>1405613.1306666667</v>
      </c>
      <c r="AK7" s="474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</row>
    <row r="8" spans="1:67" ht="16.5" customHeight="1" x14ac:dyDescent="0.25">
      <c r="A8" s="474"/>
      <c r="B8" s="579" t="s">
        <v>311</v>
      </c>
      <c r="C8" s="558"/>
      <c r="D8" s="594">
        <v>0</v>
      </c>
      <c r="E8" s="567">
        <v>0</v>
      </c>
      <c r="F8" s="567">
        <v>0</v>
      </c>
      <c r="G8" s="444">
        <f>цех!F21+'цех точка продаж'!F25+Ларь1!F25</f>
        <v>150000</v>
      </c>
      <c r="H8" s="444">
        <f>цех!G21+'цех точка продаж'!G25+Ларь1!G25*2</f>
        <v>200000</v>
      </c>
      <c r="I8" s="444">
        <f>цех!H21+'цех точка продаж'!H25+Ларь1!H25*3</f>
        <v>250000</v>
      </c>
      <c r="J8" s="444">
        <f>цех!I21+'цех точка продаж'!I25+Ларь1!I25*3</f>
        <v>250000</v>
      </c>
      <c r="K8" s="444">
        <f>цех!J21+'цех точка продаж'!J25+Ларь1!J25*3</f>
        <v>250000</v>
      </c>
      <c r="L8" s="444">
        <f>цех!K21+'цех точка продаж'!K25+Ларь1!K25*3</f>
        <v>250000</v>
      </c>
      <c r="M8" s="444">
        <f>цех!L21+'цех точка продаж'!L25+Ларь1!L25*3</f>
        <v>250000</v>
      </c>
      <c r="N8" s="444">
        <f>цех!M21+'цех точка продаж'!M25+Ларь1!M25*3</f>
        <v>250000</v>
      </c>
      <c r="O8" s="444">
        <f>цех!N21+'цех точка продаж'!N25+Ларь1!N25*3</f>
        <v>250000</v>
      </c>
      <c r="P8" s="444">
        <f>цех!O21+'цех точка продаж'!O25+Ларь1!O25*3</f>
        <v>250000</v>
      </c>
      <c r="Q8" s="444">
        <f>цех!P21+'цех точка продаж'!P25+Ларь1!P25*3</f>
        <v>250000</v>
      </c>
      <c r="R8" s="444">
        <f>цех!Q21+'цех точка продаж'!Q25+Ларь1!Q25*3</f>
        <v>250000</v>
      </c>
      <c r="S8" s="444">
        <f>цех!R21+'цех точка продаж'!R25+Ларь1!R25*3</f>
        <v>250000</v>
      </c>
      <c r="T8" s="444">
        <f>цех!S21+'цех точка продаж'!S25+Ларь1!S25*3</f>
        <v>250000</v>
      </c>
      <c r="U8" s="444">
        <f>цех!T21+'цех точка продаж'!T25+Ларь1!T25*3</f>
        <v>250000</v>
      </c>
      <c r="V8" s="444">
        <f>цех!U21+'цех точка продаж'!U25+Ларь1!U25*3</f>
        <v>250000</v>
      </c>
      <c r="W8" s="444">
        <f>цех!V21+'цех точка продаж'!V25+Ларь1!V25*3</f>
        <v>250000</v>
      </c>
      <c r="X8" s="444">
        <f>цех!W21+'цех точка продаж'!W25+Ларь1!W25*3</f>
        <v>250000</v>
      </c>
      <c r="Y8" s="444">
        <f>цех!X21+'цех точка продаж'!X25+Ларь1!X25*3</f>
        <v>250000</v>
      </c>
      <c r="Z8" s="444">
        <f>цех!Y21+'цех точка продаж'!Y25+Ларь1!Y25*3</f>
        <v>250000</v>
      </c>
      <c r="AA8" s="444">
        <f>цех!Z21+'цех точка продаж'!Z25+Ларь1!Z25*3</f>
        <v>250000</v>
      </c>
      <c r="AB8" s="444">
        <f>цех!AA21+'цех точка продаж'!AA25+Ларь1!AA25*3</f>
        <v>250000</v>
      </c>
      <c r="AC8" s="444">
        <f>цех!AB21+'цех точка продаж'!AB25+Ларь1!AB25*3</f>
        <v>250000</v>
      </c>
      <c r="AD8" s="444">
        <f>цех!AC21+'цех точка продаж'!AC25+Ларь1!AC25*3</f>
        <v>250000</v>
      </c>
      <c r="AE8" s="444">
        <f>цех!AD21+'цех точка продаж'!AD25+Ларь1!AD25*3</f>
        <v>250000</v>
      </c>
      <c r="AF8" s="444">
        <f>цех!AE21+'цех точка продаж'!AE25+Ларь1!AE25*3</f>
        <v>250000</v>
      </c>
      <c r="AG8" s="444">
        <f>цех!AF21+'цех точка продаж'!AF25+Ларь1!AF25*3</f>
        <v>250000</v>
      </c>
      <c r="AH8" s="444">
        <f>цех!AG21+'цех точка продаж'!AG25+Ларь1!AG25*3</f>
        <v>250000</v>
      </c>
      <c r="AI8" s="444">
        <f>цех!AH21+'цех точка продаж'!AH25+Ларь1!AH25*3</f>
        <v>250000</v>
      </c>
      <c r="AJ8" s="479">
        <f>цех!AI21+'цех точка продаж'!AI25+Ларь1!AI25*3</f>
        <v>250000</v>
      </c>
      <c r="AK8" s="474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19"/>
      <c r="BK8" s="119"/>
      <c r="BL8" s="119"/>
      <c r="BM8" s="119"/>
      <c r="BN8" s="119"/>
      <c r="BO8" s="119"/>
    </row>
    <row r="9" spans="1:67" ht="16.5" customHeight="1" x14ac:dyDescent="0.25">
      <c r="A9" s="474"/>
      <c r="B9" s="579" t="s">
        <v>312</v>
      </c>
      <c r="C9" s="558"/>
      <c r="D9" s="594">
        <v>0</v>
      </c>
      <c r="E9" s="567">
        <v>0</v>
      </c>
      <c r="F9" s="567">
        <v>0</v>
      </c>
      <c r="G9" s="444">
        <f>цех!F22+'цех точка продаж'!F26+Ларь1!F26</f>
        <v>30000</v>
      </c>
      <c r="H9" s="444">
        <f>цех!G22+'цех точка продаж'!G26+Ларь1!G26*2</f>
        <v>50000</v>
      </c>
      <c r="I9" s="444">
        <f>цех!H22+'цех точка продаж'!H26+Ларь1!H26*3</f>
        <v>65000</v>
      </c>
      <c r="J9" s="444">
        <f>цех!I22+'цех точка продаж'!I26+Ларь1!I26*3</f>
        <v>65000</v>
      </c>
      <c r="K9" s="444">
        <f>цех!J22+'цех точка продаж'!J26+Ларь1!J26*3</f>
        <v>65000</v>
      </c>
      <c r="L9" s="444">
        <f>цех!K22+'цех точка продаж'!K26+Ларь1!K26*3</f>
        <v>65000</v>
      </c>
      <c r="M9" s="444">
        <f>цех!L22+'цех точка продаж'!L26+Ларь1!L26*3</f>
        <v>65000</v>
      </c>
      <c r="N9" s="444">
        <f>цех!M22+'цех точка продаж'!M26+Ларь1!M26*3</f>
        <v>65000</v>
      </c>
      <c r="O9" s="444">
        <f>цех!N22+'цех точка продаж'!N26+Ларь1!N26*3</f>
        <v>65000</v>
      </c>
      <c r="P9" s="444">
        <f>цех!O22+'цех точка продаж'!O26+Ларь1!O26*3</f>
        <v>65000</v>
      </c>
      <c r="Q9" s="444">
        <f>цех!P22+'цех точка продаж'!P26+Ларь1!P26*3</f>
        <v>65000</v>
      </c>
      <c r="R9" s="444">
        <f>цех!Q22+'цех точка продаж'!Q26+Ларь1!Q26*3</f>
        <v>65000</v>
      </c>
      <c r="S9" s="444">
        <f>цех!R22+'цех точка продаж'!R26+Ларь1!R26*3</f>
        <v>65000</v>
      </c>
      <c r="T9" s="444">
        <f>цех!S22+'цех точка продаж'!S26+Ларь1!S26*3</f>
        <v>65000</v>
      </c>
      <c r="U9" s="444">
        <f>цех!T22+'цех точка продаж'!T26+Ларь1!T26*3</f>
        <v>65000</v>
      </c>
      <c r="V9" s="444">
        <f>цех!U22+'цех точка продаж'!U26+Ларь1!U26*3</f>
        <v>65000</v>
      </c>
      <c r="W9" s="444">
        <f>цех!V22+'цех точка продаж'!V26+Ларь1!V26*3</f>
        <v>65000</v>
      </c>
      <c r="X9" s="444">
        <f>цех!W22+'цех точка продаж'!W26+Ларь1!W26*3</f>
        <v>65000</v>
      </c>
      <c r="Y9" s="444">
        <f>цех!X22+'цех точка продаж'!X26+Ларь1!X26*3</f>
        <v>65000</v>
      </c>
      <c r="Z9" s="444">
        <f>цех!Y22+'цех точка продаж'!Y26+Ларь1!Y26*3</f>
        <v>65000</v>
      </c>
      <c r="AA9" s="444">
        <f>цех!Z22+'цех точка продаж'!Z26+Ларь1!Z26*3</f>
        <v>65000</v>
      </c>
      <c r="AB9" s="444">
        <f>цех!AA22+'цех точка продаж'!AA26+Ларь1!AA26*3</f>
        <v>65000</v>
      </c>
      <c r="AC9" s="444">
        <f>цех!AB22+'цех точка продаж'!AB26+Ларь1!AB26*3</f>
        <v>65000</v>
      </c>
      <c r="AD9" s="444">
        <f>цех!AC22+'цех точка продаж'!AC26+Ларь1!AC26*3</f>
        <v>65000</v>
      </c>
      <c r="AE9" s="444">
        <f>цех!AD22+'цех точка продаж'!AD26+Ларь1!AD26*3</f>
        <v>65000</v>
      </c>
      <c r="AF9" s="444">
        <f>цех!AE22+'цех точка продаж'!AE26+Ларь1!AE26*3</f>
        <v>65000</v>
      </c>
      <c r="AG9" s="444">
        <f>цех!AF22+'цех точка продаж'!AF26+Ларь1!AF26*3</f>
        <v>65000</v>
      </c>
      <c r="AH9" s="444">
        <f>цех!AG22+'цех точка продаж'!AG26+Ларь1!AG26*3</f>
        <v>65000</v>
      </c>
      <c r="AI9" s="444">
        <f>цех!AH22+'цех точка продаж'!AH26+Ларь1!AH26*3</f>
        <v>65000</v>
      </c>
      <c r="AJ9" s="479">
        <f>цех!AI22+'цех точка продаж'!AI26+Ларь1!AI26*3</f>
        <v>65000</v>
      </c>
      <c r="AK9" s="474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  <c r="BM9" s="119"/>
      <c r="BN9" s="119"/>
      <c r="BO9" s="119"/>
    </row>
    <row r="10" spans="1:67" ht="16.5" customHeight="1" x14ac:dyDescent="0.25">
      <c r="A10" s="474"/>
      <c r="B10" s="579" t="s">
        <v>313</v>
      </c>
      <c r="C10" s="558"/>
      <c r="D10" s="594">
        <v>0</v>
      </c>
      <c r="E10" s="567">
        <v>0</v>
      </c>
      <c r="F10" s="567">
        <v>0</v>
      </c>
      <c r="G10" s="444">
        <f>цех!F26+'цех точка продаж'!F28+Ларь1!F28</f>
        <v>283069.12280701753</v>
      </c>
      <c r="H10" s="444">
        <f>цех!G26+'цех точка продаж'!G28+Ларь1!G28*2</f>
        <v>391714.73684210528</v>
      </c>
      <c r="I10" s="444">
        <f>цех!H26+'цех точка продаж'!H28+Ларь1!H28*3</f>
        <v>500360.35087719298</v>
      </c>
      <c r="J10" s="444">
        <f>цех!I26+'цех точка продаж'!I28+Ларь1!I28*3</f>
        <v>500360.35087719298</v>
      </c>
      <c r="K10" s="444">
        <f>цех!J26+'цех точка продаж'!J28+Ларь1!J28*3</f>
        <v>500360.35087719298</v>
      </c>
      <c r="L10" s="444">
        <f>цех!K26+'цех точка продаж'!K28+Ларь1!K28*3</f>
        <v>500360.35087719298</v>
      </c>
      <c r="M10" s="444">
        <f>цех!L26+'цех точка продаж'!L28+Ларь1!L28*3</f>
        <v>500360.35087719298</v>
      </c>
      <c r="N10" s="444">
        <f>цех!M26+'цех точка продаж'!M28+Ларь1!M28*3</f>
        <v>500360.35087719298</v>
      </c>
      <c r="O10" s="444">
        <f>цех!N26+'цех точка продаж'!N28+Ларь1!N28*3</f>
        <v>500360.35087719298</v>
      </c>
      <c r="P10" s="444">
        <f>цех!O26+'цех точка продаж'!O28+Ларь1!O28*3</f>
        <v>500360.35087719298</v>
      </c>
      <c r="Q10" s="444">
        <f>цех!P26+'цех точка продаж'!P28+Ларь1!P28*3</f>
        <v>500360.35087719298</v>
      </c>
      <c r="R10" s="444">
        <f>цех!Q26+'цех точка продаж'!Q28+Ларь1!Q28*3</f>
        <v>500360.35087719298</v>
      </c>
      <c r="S10" s="444">
        <f>цех!R26+'цех точка продаж'!R28+Ларь1!R28*3</f>
        <v>500360.35087719298</v>
      </c>
      <c r="T10" s="444">
        <f>цех!S26+'цех точка продаж'!S28+Ларь1!S28*3</f>
        <v>500360.35087719298</v>
      </c>
      <c r="U10" s="444">
        <f>цех!T26+'цех точка продаж'!T28+Ларь1!T28*3</f>
        <v>500360.35087719298</v>
      </c>
      <c r="V10" s="444">
        <f>цех!U26+'цех точка продаж'!U28+Ларь1!U28*3</f>
        <v>500360.35087719298</v>
      </c>
      <c r="W10" s="444">
        <f>цех!V26+'цех точка продаж'!V28+Ларь1!V28*3</f>
        <v>500360.35087719298</v>
      </c>
      <c r="X10" s="444">
        <f>цех!W26+'цех точка продаж'!W28+Ларь1!W28*3</f>
        <v>500360.35087719298</v>
      </c>
      <c r="Y10" s="444">
        <f>цех!X26+'цех точка продаж'!X28+Ларь1!X28*3</f>
        <v>500360.35087719298</v>
      </c>
      <c r="Z10" s="444">
        <f>цех!Y26+'цех точка продаж'!Y28+Ларь1!Y28*3</f>
        <v>500360.35087719298</v>
      </c>
      <c r="AA10" s="444">
        <f>цех!Z26+'цех точка продаж'!Z28+Ларь1!Z28*3</f>
        <v>500360.35087719298</v>
      </c>
      <c r="AB10" s="444">
        <f>цех!AA26+'цех точка продаж'!AA28+Ларь1!AA28*3</f>
        <v>500360.35087719298</v>
      </c>
      <c r="AC10" s="444">
        <f>цех!AB26+'цех точка продаж'!AB28+Ларь1!AB28*3</f>
        <v>500360.35087719298</v>
      </c>
      <c r="AD10" s="444">
        <f>цех!AC26+'цех точка продаж'!AC28+Ларь1!AC28*3</f>
        <v>500360.35087719298</v>
      </c>
      <c r="AE10" s="444">
        <f>цех!AD26+'цех точка продаж'!AD28+Ларь1!AD28*3</f>
        <v>500360.35087719298</v>
      </c>
      <c r="AF10" s="444">
        <f>цех!AE26+'цех точка продаж'!AE28+Ларь1!AE28*3</f>
        <v>500360.35087719298</v>
      </c>
      <c r="AG10" s="444">
        <f>цех!AF26+'цех точка продаж'!AF28+Ларь1!AF28*3</f>
        <v>500360.35087719298</v>
      </c>
      <c r="AH10" s="444">
        <f>цех!AG26+'цех точка продаж'!AG28+Ларь1!AG28*3</f>
        <v>500360.35087719298</v>
      </c>
      <c r="AI10" s="444">
        <f>цех!AH26+'цех точка продаж'!AH28+Ларь1!AH28*3</f>
        <v>500360.35087719298</v>
      </c>
      <c r="AJ10" s="479">
        <f>цех!AI26+'цех точка продаж'!AI28+Ларь1!AI28*3</f>
        <v>500360.35087719298</v>
      </c>
      <c r="AK10" s="474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  <c r="BC10" s="119"/>
      <c r="BD10" s="119"/>
      <c r="BE10" s="119"/>
      <c r="BF10" s="119"/>
      <c r="BG10" s="119"/>
      <c r="BH10" s="119"/>
      <c r="BI10" s="119"/>
      <c r="BJ10" s="119"/>
      <c r="BK10" s="119"/>
      <c r="BL10" s="119"/>
      <c r="BM10" s="119"/>
      <c r="BN10" s="119"/>
      <c r="BO10" s="119"/>
    </row>
    <row r="11" spans="1:67" ht="16.5" customHeight="1" x14ac:dyDescent="0.25">
      <c r="A11" s="474"/>
      <c r="B11" s="579" t="s">
        <v>323</v>
      </c>
      <c r="C11" s="558" t="e">
        <f>#REF!+#REF!+#REF!</f>
        <v>#REF!</v>
      </c>
      <c r="D11" s="594">
        <v>0</v>
      </c>
      <c r="E11" s="567">
        <v>0</v>
      </c>
      <c r="F11" s="567">
        <v>0</v>
      </c>
      <c r="G11" s="444">
        <f>цех!F33+'цех точка продаж'!F35+Ларь1!F35</f>
        <v>44521.920842105275</v>
      </c>
      <c r="H11" s="444">
        <f>цех!G33+'цех точка продаж'!G35+Ларь1!G35*2</f>
        <v>61614.485052631586</v>
      </c>
      <c r="I11" s="444">
        <f>цех!H33+'цех точка продаж'!H35+Ларь1!H35*3</f>
        <v>78707.049263157911</v>
      </c>
      <c r="J11" s="444">
        <f>цех!I33+'цех точка продаж'!I35+Ларь1!I35*3</f>
        <v>78707.049263157911</v>
      </c>
      <c r="K11" s="444">
        <f>цех!J33+'цех точка продаж'!J35+Ларь1!J35*3</f>
        <v>78707.049263157911</v>
      </c>
      <c r="L11" s="444">
        <f>цех!K33+'цех точка продаж'!K35+Ларь1!K35*3</f>
        <v>78707.049263157911</v>
      </c>
      <c r="M11" s="444">
        <f>цех!L33+'цех точка продаж'!L35+Ларь1!L35*3</f>
        <v>78707.049263157911</v>
      </c>
      <c r="N11" s="444">
        <f>цех!M33+'цех точка продаж'!M35+Ларь1!M35*3</f>
        <v>78707.049263157911</v>
      </c>
      <c r="O11" s="444">
        <f>цех!N33+'цех точка продаж'!N35+Ларь1!N35*3</f>
        <v>78707.049263157911</v>
      </c>
      <c r="P11" s="444">
        <f>цех!O33+'цех точка продаж'!O35+Ларь1!O35*3</f>
        <v>78707.049263157911</v>
      </c>
      <c r="Q11" s="444">
        <f>цех!P33+'цех точка продаж'!P35+Ларь1!P35*3</f>
        <v>78707.049263157911</v>
      </c>
      <c r="R11" s="444">
        <f>цех!Q33+'цех точка продаж'!Q35+Ларь1!Q35*3</f>
        <v>78707.049263157911</v>
      </c>
      <c r="S11" s="444">
        <f>цех!R33+'цех точка продаж'!R35+Ларь1!R35*3</f>
        <v>78707.049263157911</v>
      </c>
      <c r="T11" s="444">
        <f>цех!S33+'цех точка продаж'!S35+Ларь1!S35*3</f>
        <v>78707.049263157911</v>
      </c>
      <c r="U11" s="444">
        <f>цех!T33+'цех точка продаж'!T35+Ларь1!T35*3</f>
        <v>78707.049263157911</v>
      </c>
      <c r="V11" s="444">
        <f>цех!U33+'цех точка продаж'!U35+Ларь1!U35*3</f>
        <v>78707.049263157911</v>
      </c>
      <c r="W11" s="444">
        <f>цех!V33+'цех точка продаж'!V35+Ларь1!V35*3</f>
        <v>78707.049263157911</v>
      </c>
      <c r="X11" s="444">
        <f>цех!W33+'цех точка продаж'!W35+Ларь1!W35*3</f>
        <v>78707.049263157911</v>
      </c>
      <c r="Y11" s="444">
        <f>цех!X33+'цех точка продаж'!X35+Ларь1!X35*3</f>
        <v>78707.049263157911</v>
      </c>
      <c r="Z11" s="444">
        <f>цех!Y33+'цех точка продаж'!Y35+Ларь1!Y35*3</f>
        <v>78707.049263157911</v>
      </c>
      <c r="AA11" s="444">
        <f>цех!Z33+'цех точка продаж'!Z35+Ларь1!Z35*3</f>
        <v>78707.049263157911</v>
      </c>
      <c r="AB11" s="444">
        <f>цех!AA33+'цех точка продаж'!AA35+Ларь1!AA35*3</f>
        <v>78707.049263157911</v>
      </c>
      <c r="AC11" s="444">
        <f>цех!AB33+'цех точка продаж'!AB35+Ларь1!AB35*3</f>
        <v>78707.049263157911</v>
      </c>
      <c r="AD11" s="444">
        <f>цех!AC33+'цех точка продаж'!AC35+Ларь1!AC35*3</f>
        <v>78707.049263157911</v>
      </c>
      <c r="AE11" s="444">
        <f>цех!AD33+'цех точка продаж'!AD35+Ларь1!AD35*3</f>
        <v>78707.049263157911</v>
      </c>
      <c r="AF11" s="444">
        <f>цех!AE33+'цех точка продаж'!AE35+Ларь1!AE35*3</f>
        <v>78707.049263157911</v>
      </c>
      <c r="AG11" s="444">
        <f>цех!AF33+'цех точка продаж'!AF35+Ларь1!AF35*3</f>
        <v>78707.049263157911</v>
      </c>
      <c r="AH11" s="444">
        <f>цех!AG33+'цех точка продаж'!AG35+Ларь1!AG35*3</f>
        <v>78707.049263157911</v>
      </c>
      <c r="AI11" s="444">
        <f>цех!AH33+'цех точка продаж'!AH35+Ларь1!AH35*3</f>
        <v>78707.049263157911</v>
      </c>
      <c r="AJ11" s="479">
        <f>цех!AI33+'цех точка продаж'!AI35+Ларь1!AI35*3</f>
        <v>78707.049263157911</v>
      </c>
      <c r="AK11" s="474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  <c r="BC11" s="119"/>
      <c r="BD11" s="119"/>
      <c r="BE11" s="119"/>
      <c r="BF11" s="119"/>
      <c r="BG11" s="119"/>
      <c r="BH11" s="119"/>
      <c r="BI11" s="119"/>
      <c r="BJ11" s="119"/>
      <c r="BK11" s="119"/>
      <c r="BL11" s="119"/>
      <c r="BM11" s="119"/>
      <c r="BN11" s="119"/>
      <c r="BO11" s="119"/>
    </row>
    <row r="12" spans="1:67" ht="16.5" customHeight="1" x14ac:dyDescent="0.25">
      <c r="A12" s="474"/>
      <c r="B12" s="579" t="s">
        <v>314</v>
      </c>
      <c r="C12" s="558"/>
      <c r="D12" s="594">
        <v>0</v>
      </c>
      <c r="E12" s="567">
        <v>0</v>
      </c>
      <c r="F12" s="567">
        <v>0</v>
      </c>
      <c r="G12" s="444">
        <f>цех!F38+'цех точка продаж'!F39+Ларь1!F39</f>
        <v>4500</v>
      </c>
      <c r="H12" s="444">
        <f>цех!G38+'цех точка продаж'!G39+Ларь1!G39*2</f>
        <v>6000</v>
      </c>
      <c r="I12" s="444">
        <f>цех!H38+'цех точка продаж'!H39+Ларь1!H39*3</f>
        <v>7500</v>
      </c>
      <c r="J12" s="444">
        <f>цех!I38+'цех точка продаж'!I39+Ларь1!I39*3</f>
        <v>7500</v>
      </c>
      <c r="K12" s="444">
        <f>цех!J38+'цех точка продаж'!J39+Ларь1!J39*3</f>
        <v>7500</v>
      </c>
      <c r="L12" s="444">
        <f>цех!K38+'цех точка продаж'!K39+Ларь1!K39*3</f>
        <v>7500</v>
      </c>
      <c r="M12" s="444">
        <f>цех!L38+'цех точка продаж'!L39+Ларь1!L39*3</f>
        <v>7500</v>
      </c>
      <c r="N12" s="444">
        <f>цех!M38+'цех точка продаж'!M39+Ларь1!M39*3</f>
        <v>7500</v>
      </c>
      <c r="O12" s="444">
        <f>цех!N38+'цех точка продаж'!N39+Ларь1!N39*3</f>
        <v>7500</v>
      </c>
      <c r="P12" s="444">
        <f>цех!O38+'цех точка продаж'!O39+Ларь1!O39*3</f>
        <v>7500</v>
      </c>
      <c r="Q12" s="444">
        <f>цех!P38+'цех точка продаж'!P39+Ларь1!P39*3</f>
        <v>7500</v>
      </c>
      <c r="R12" s="444">
        <f>цех!Q38+'цех точка продаж'!Q39+Ларь1!Q39*3</f>
        <v>7500</v>
      </c>
      <c r="S12" s="444">
        <f>цех!R38+'цех точка продаж'!R39+Ларь1!R39*3</f>
        <v>7500</v>
      </c>
      <c r="T12" s="444">
        <f>цех!S38+'цех точка продаж'!S39+Ларь1!S39*3</f>
        <v>7500</v>
      </c>
      <c r="U12" s="444">
        <f>цех!T38+'цех точка продаж'!T39+Ларь1!T39*3</f>
        <v>7500</v>
      </c>
      <c r="V12" s="444">
        <f>цех!U38+'цех точка продаж'!U39+Ларь1!U39*3</f>
        <v>7500</v>
      </c>
      <c r="W12" s="444">
        <f>цех!V38+'цех точка продаж'!V39+Ларь1!V39*3</f>
        <v>7500</v>
      </c>
      <c r="X12" s="444">
        <f>цех!W38+'цех точка продаж'!W39+Ларь1!W39*3</f>
        <v>7500</v>
      </c>
      <c r="Y12" s="444">
        <f>цех!X38+'цех точка продаж'!X39+Ларь1!X39*3</f>
        <v>7500</v>
      </c>
      <c r="Z12" s="444">
        <f>цех!Y38+'цех точка продаж'!Y39+Ларь1!Y39*3</f>
        <v>7500</v>
      </c>
      <c r="AA12" s="444">
        <f>цех!Z38+'цех точка продаж'!Z39+Ларь1!Z39*3</f>
        <v>7500</v>
      </c>
      <c r="AB12" s="444">
        <f>цех!AA38+'цех точка продаж'!AA39+Ларь1!AA39*3</f>
        <v>7500</v>
      </c>
      <c r="AC12" s="444">
        <f>цех!AB38+'цех точка продаж'!AB39+Ларь1!AB39*3</f>
        <v>7500</v>
      </c>
      <c r="AD12" s="444">
        <f>цех!AC38+'цех точка продаж'!AC39+Ларь1!AC39*3</f>
        <v>7500</v>
      </c>
      <c r="AE12" s="444">
        <f>цех!AD38+'цех точка продаж'!AD39+Ларь1!AD39*3</f>
        <v>7500</v>
      </c>
      <c r="AF12" s="444">
        <f>цех!AE38+'цех точка продаж'!AE39+Ларь1!AE39*3</f>
        <v>7500</v>
      </c>
      <c r="AG12" s="444">
        <f>цех!AF38+'цех точка продаж'!AF39+Ларь1!AF39*3</f>
        <v>7500</v>
      </c>
      <c r="AH12" s="444">
        <f>цех!AG38+'цех точка продаж'!AG39+Ларь1!AG39*3</f>
        <v>7500</v>
      </c>
      <c r="AI12" s="444">
        <f>цех!AH38+'цех точка продаж'!AH39+Ларь1!AH39*3</f>
        <v>7500</v>
      </c>
      <c r="AJ12" s="479">
        <f>цех!AI38+'цех точка продаж'!AI39+Ларь1!AI39*3</f>
        <v>7500</v>
      </c>
      <c r="AK12" s="474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  <c r="BN12" s="119"/>
      <c r="BO12" s="119"/>
    </row>
    <row r="13" spans="1:67" ht="16.5" customHeight="1" x14ac:dyDescent="0.25">
      <c r="A13" s="474"/>
      <c r="B13" s="579" t="s">
        <v>315</v>
      </c>
      <c r="C13" s="558"/>
      <c r="D13" s="594">
        <v>0</v>
      </c>
      <c r="E13" s="567">
        <v>0</v>
      </c>
      <c r="F13" s="567">
        <v>0</v>
      </c>
      <c r="G13" s="444">
        <f>цех!F39+'цех точка продаж'!F40+Ларь1!F40</f>
        <v>15000</v>
      </c>
      <c r="H13" s="444">
        <f>цех!G39+'цех точка продаж'!G40+Ларь1!G40*2</f>
        <v>20000</v>
      </c>
      <c r="I13" s="444">
        <f>цех!H39+'цех точка продаж'!H40+Ларь1!H40*3</f>
        <v>25000</v>
      </c>
      <c r="J13" s="444">
        <f>цех!I39+'цех точка продаж'!I40+Ларь1!I40*3</f>
        <v>25000</v>
      </c>
      <c r="K13" s="444">
        <f>цех!J39+'цех точка продаж'!J40+Ларь1!J40*3</f>
        <v>25000</v>
      </c>
      <c r="L13" s="444">
        <f>цех!K39+'цех точка продаж'!K40+Ларь1!K40*3</f>
        <v>25000</v>
      </c>
      <c r="M13" s="444">
        <f>цех!L39+'цех точка продаж'!L40+Ларь1!L40*3</f>
        <v>25000</v>
      </c>
      <c r="N13" s="444">
        <f>цех!M39+'цех точка продаж'!M40+Ларь1!M40*3</f>
        <v>25000</v>
      </c>
      <c r="O13" s="444">
        <f>цех!N39+'цех точка продаж'!N40+Ларь1!N40*3</f>
        <v>25000</v>
      </c>
      <c r="P13" s="444">
        <f>цех!O39+'цех точка продаж'!O40+Ларь1!O40*3</f>
        <v>25000</v>
      </c>
      <c r="Q13" s="444">
        <f>цех!P39+'цех точка продаж'!P40+Ларь1!P40*3</f>
        <v>25000</v>
      </c>
      <c r="R13" s="444">
        <f>цех!Q39+'цех точка продаж'!Q40+Ларь1!Q40*3</f>
        <v>25000</v>
      </c>
      <c r="S13" s="444">
        <f>цех!R39+'цех точка продаж'!R40+Ларь1!R40*3</f>
        <v>25000</v>
      </c>
      <c r="T13" s="444">
        <f>цех!S39+'цех точка продаж'!S40+Ларь1!S40*3</f>
        <v>25000</v>
      </c>
      <c r="U13" s="444">
        <f>цех!T39+'цех точка продаж'!T40+Ларь1!T40*3</f>
        <v>25000</v>
      </c>
      <c r="V13" s="444">
        <f>цех!U39+'цех точка продаж'!U40+Ларь1!U40*3</f>
        <v>25000</v>
      </c>
      <c r="W13" s="444">
        <f>цех!V39+'цех точка продаж'!V40+Ларь1!V40*3</f>
        <v>25000</v>
      </c>
      <c r="X13" s="444">
        <f>цех!W39+'цех точка продаж'!W40+Ларь1!W40*3</f>
        <v>25000</v>
      </c>
      <c r="Y13" s="444">
        <f>цех!X39+'цех точка продаж'!X40+Ларь1!X40*3</f>
        <v>25000</v>
      </c>
      <c r="Z13" s="444">
        <f>цех!Y39+'цех точка продаж'!Y40+Ларь1!Y40*3</f>
        <v>25000</v>
      </c>
      <c r="AA13" s="444">
        <f>цех!Z39+'цех точка продаж'!Z40+Ларь1!Z40*3</f>
        <v>25000</v>
      </c>
      <c r="AB13" s="444">
        <f>цех!AA39+'цех точка продаж'!AA40+Ларь1!AA40*3</f>
        <v>25000</v>
      </c>
      <c r="AC13" s="444">
        <f>цех!AB39+'цех точка продаж'!AB40+Ларь1!AB40*3</f>
        <v>25000</v>
      </c>
      <c r="AD13" s="444">
        <f>цех!AC39+'цех точка продаж'!AC40+Ларь1!AC40*3</f>
        <v>25000</v>
      </c>
      <c r="AE13" s="444">
        <f>цех!AD39+'цех точка продаж'!AD40+Ларь1!AD40*3</f>
        <v>25000</v>
      </c>
      <c r="AF13" s="444">
        <f>цех!AE39+'цех точка продаж'!AE40+Ларь1!AE40*3</f>
        <v>25000</v>
      </c>
      <c r="AG13" s="444">
        <f>цех!AF39+'цех точка продаж'!AF40+Ларь1!AF40*3</f>
        <v>25000</v>
      </c>
      <c r="AH13" s="444">
        <f>цех!AG39+'цех точка продаж'!AG40+Ларь1!AG40*3</f>
        <v>25000</v>
      </c>
      <c r="AI13" s="444">
        <f>цех!AH39+'цех точка продаж'!AH40+Ларь1!AH40*3</f>
        <v>25000</v>
      </c>
      <c r="AJ13" s="479">
        <f>цех!AI39+'цех точка продаж'!AI40+Ларь1!AI40*3</f>
        <v>25000</v>
      </c>
      <c r="AK13" s="474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  <c r="BM13" s="119"/>
      <c r="BN13" s="119"/>
      <c r="BO13" s="119"/>
    </row>
    <row r="14" spans="1:67" ht="16.5" customHeight="1" x14ac:dyDescent="0.25">
      <c r="A14" s="474"/>
      <c r="B14" s="579" t="s">
        <v>316</v>
      </c>
      <c r="C14" s="558"/>
      <c r="D14" s="594">
        <v>0</v>
      </c>
      <c r="E14" s="567">
        <v>0</v>
      </c>
      <c r="F14" s="567">
        <v>0</v>
      </c>
      <c r="G14" s="444">
        <f>цех!F42+'цех точка продаж'!F43+Ларь1!F43</f>
        <v>20000</v>
      </c>
      <c r="H14" s="444">
        <f>цех!G42+'цех точка продаж'!G43+Ларь1!G43*2</f>
        <v>25000</v>
      </c>
      <c r="I14" s="444">
        <f>цех!H42+'цех точка продаж'!H43+Ларь1!H43*3</f>
        <v>30000</v>
      </c>
      <c r="J14" s="444">
        <f>цех!I42+'цех точка продаж'!I43+Ларь1!I43*3</f>
        <v>30000</v>
      </c>
      <c r="K14" s="444">
        <f>цех!J42+'цех точка продаж'!J43+Ларь1!J43*3</f>
        <v>30000</v>
      </c>
      <c r="L14" s="444">
        <f>цех!K42+'цех точка продаж'!K43+Ларь1!K43*3</f>
        <v>30000</v>
      </c>
      <c r="M14" s="444">
        <f>цех!L42+'цех точка продаж'!L43+Ларь1!L43*3</f>
        <v>30000</v>
      </c>
      <c r="N14" s="444">
        <f>цех!M42+'цех точка продаж'!M43+Ларь1!M43*3</f>
        <v>30000</v>
      </c>
      <c r="O14" s="444">
        <f>цех!N42+'цех точка продаж'!N43+Ларь1!N43*3</f>
        <v>30000</v>
      </c>
      <c r="P14" s="444">
        <f>цех!O42+'цех точка продаж'!O43+Ларь1!O43*3</f>
        <v>30000</v>
      </c>
      <c r="Q14" s="444">
        <f>цех!P42+'цех точка продаж'!P43+Ларь1!P43*3</f>
        <v>30000</v>
      </c>
      <c r="R14" s="444">
        <f>цех!Q42+'цех точка продаж'!Q43+Ларь1!Q43*3</f>
        <v>30000</v>
      </c>
      <c r="S14" s="444">
        <f>цех!R42+'цех точка продаж'!R43+Ларь1!R43*3</f>
        <v>30000</v>
      </c>
      <c r="T14" s="444">
        <f>цех!S42+'цех точка продаж'!S43+Ларь1!S43*3</f>
        <v>30000</v>
      </c>
      <c r="U14" s="444">
        <f>цех!T42+'цех точка продаж'!T43+Ларь1!T43*3</f>
        <v>30000</v>
      </c>
      <c r="V14" s="444">
        <f>цех!U42+'цех точка продаж'!U43+Ларь1!U43*3</f>
        <v>30000</v>
      </c>
      <c r="W14" s="444">
        <f>цех!V42+'цех точка продаж'!V43+Ларь1!V43*3</f>
        <v>30000</v>
      </c>
      <c r="X14" s="444">
        <f>цех!W42+'цех точка продаж'!W43+Ларь1!W43*3</f>
        <v>30000</v>
      </c>
      <c r="Y14" s="444">
        <f>цех!X42+'цех точка продаж'!X43+Ларь1!X43*3</f>
        <v>30000</v>
      </c>
      <c r="Z14" s="444">
        <f>цех!Y42+'цех точка продаж'!Y43+Ларь1!Y43*3</f>
        <v>30000</v>
      </c>
      <c r="AA14" s="444">
        <f>цех!Z42+'цех точка продаж'!Z43+Ларь1!Z43*3</f>
        <v>30000</v>
      </c>
      <c r="AB14" s="444">
        <f>цех!AA42+'цех точка продаж'!AA43+Ларь1!AA43*3</f>
        <v>30000</v>
      </c>
      <c r="AC14" s="444">
        <f>цех!AB42+'цех точка продаж'!AB43+Ларь1!AB43*3</f>
        <v>30000</v>
      </c>
      <c r="AD14" s="444">
        <f>цех!AC42+'цех точка продаж'!AC43+Ларь1!AC43*3</f>
        <v>30000</v>
      </c>
      <c r="AE14" s="444">
        <f>цех!AD42+'цех точка продаж'!AD43+Ларь1!AD43*3</f>
        <v>30000</v>
      </c>
      <c r="AF14" s="444">
        <f>цех!AE42+'цех точка продаж'!AE43+Ларь1!AE43*3</f>
        <v>30000</v>
      </c>
      <c r="AG14" s="444">
        <f>цех!AF42+'цех точка продаж'!AF43+Ларь1!AF43*3</f>
        <v>30000</v>
      </c>
      <c r="AH14" s="444">
        <f>цех!AG42+'цех точка продаж'!AG43+Ларь1!AG43*3</f>
        <v>30000</v>
      </c>
      <c r="AI14" s="444">
        <f>цех!AH42+'цех точка продаж'!AH43+Ларь1!AH43*3</f>
        <v>30000</v>
      </c>
      <c r="AJ14" s="479">
        <f>цех!AI42+'цех точка продаж'!AI43+Ларь1!AI43*3</f>
        <v>30000</v>
      </c>
      <c r="AK14" s="474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</row>
    <row r="15" spans="1:67" ht="16.5" customHeight="1" x14ac:dyDescent="0.25">
      <c r="A15" s="474"/>
      <c r="B15" s="579" t="s">
        <v>317</v>
      </c>
      <c r="C15" s="558"/>
      <c r="D15" s="594">
        <v>0</v>
      </c>
      <c r="E15" s="567">
        <v>0</v>
      </c>
      <c r="F15" s="567">
        <v>0</v>
      </c>
      <c r="G15" s="444">
        <f>цех!F43+'цех точка продаж'!F44+Ларь1!F44</f>
        <v>11732.073684210525</v>
      </c>
      <c r="H15" s="444">
        <f>цех!G43+'цех точка продаж'!G44+Ларь1!G44*2</f>
        <v>16611.442105263159</v>
      </c>
      <c r="I15" s="444">
        <f>цех!H43+'цех точка продаж'!H44+Ларь1!H44*3</f>
        <v>21490.810526315789</v>
      </c>
      <c r="J15" s="444">
        <f>цех!I43+'цех точка продаж'!I44+Ларь1!I44*3</f>
        <v>21490.810526315789</v>
      </c>
      <c r="K15" s="444">
        <f>цех!J43+'цех точка продаж'!J44+Ларь1!J44*3</f>
        <v>21490.810526315789</v>
      </c>
      <c r="L15" s="444">
        <f>цех!K43+'цех точка продаж'!K44+Ларь1!K44*3</f>
        <v>21490.810526315789</v>
      </c>
      <c r="M15" s="444">
        <f>цех!L43+'цех точка продаж'!L44+Ларь1!L44*3</f>
        <v>21490.810526315789</v>
      </c>
      <c r="N15" s="444">
        <f>цех!M43+'цех точка продаж'!M44+Ларь1!M44*3</f>
        <v>21490.810526315789</v>
      </c>
      <c r="O15" s="444">
        <f>цех!N43+'цех точка продаж'!N44+Ларь1!N44*3</f>
        <v>21490.810526315789</v>
      </c>
      <c r="P15" s="444">
        <f>цех!O43+'цех точка продаж'!O44+Ларь1!O44*3</f>
        <v>21490.810526315789</v>
      </c>
      <c r="Q15" s="444">
        <f>цех!P43+'цех точка продаж'!P44+Ларь1!P44*3</f>
        <v>21490.810526315789</v>
      </c>
      <c r="R15" s="444">
        <f>цех!Q43+'цех точка продаж'!Q44+Ларь1!Q44*3</f>
        <v>21490.810526315789</v>
      </c>
      <c r="S15" s="444">
        <f>цех!R43+'цех точка продаж'!R44+Ларь1!R44*3</f>
        <v>21490.810526315789</v>
      </c>
      <c r="T15" s="444">
        <f>цех!S43+'цех точка продаж'!S44+Ларь1!S44*3</f>
        <v>21490.810526315789</v>
      </c>
      <c r="U15" s="444">
        <f>цех!T43+'цех точка продаж'!T44+Ларь1!T44*3</f>
        <v>21490.810526315789</v>
      </c>
      <c r="V15" s="444">
        <f>цех!U43+'цех точка продаж'!U44+Ларь1!U44*3</f>
        <v>21490.810526315789</v>
      </c>
      <c r="W15" s="444">
        <f>цех!V43+'цех точка продаж'!V44+Ларь1!V44*3</f>
        <v>21490.810526315789</v>
      </c>
      <c r="X15" s="444">
        <f>цех!W43+'цех точка продаж'!W44+Ларь1!W44*3</f>
        <v>21490.810526315789</v>
      </c>
      <c r="Y15" s="444">
        <f>цех!X43+'цех точка продаж'!X44+Ларь1!X44*3</f>
        <v>21490.810526315789</v>
      </c>
      <c r="Z15" s="444">
        <f>цех!Y43+'цех точка продаж'!Y44+Ларь1!Y44*3</f>
        <v>21490.810526315789</v>
      </c>
      <c r="AA15" s="444">
        <f>цех!Z43+'цех точка продаж'!Z44+Ларь1!Z44*3</f>
        <v>21490.810526315789</v>
      </c>
      <c r="AB15" s="444">
        <f>цех!AA43+'цех точка продаж'!AA44+Ларь1!AA44*3</f>
        <v>21490.810526315789</v>
      </c>
      <c r="AC15" s="444">
        <f>цех!AB43+'цех точка продаж'!AB44+Ларь1!AB44*3</f>
        <v>21490.810526315789</v>
      </c>
      <c r="AD15" s="444">
        <f>цех!AC43+'цех точка продаж'!AC44+Ларь1!AC44*3</f>
        <v>21490.810526315789</v>
      </c>
      <c r="AE15" s="444">
        <f>цех!AD43+'цех точка продаж'!AD44+Ларь1!AD44*3</f>
        <v>21490.810526315789</v>
      </c>
      <c r="AF15" s="444">
        <f>цех!AE43+'цех точка продаж'!AE44+Ларь1!AE44*3</f>
        <v>21490.810526315789</v>
      </c>
      <c r="AG15" s="444">
        <f>цех!AF43+'цех точка продаж'!AF44+Ларь1!AF44*3</f>
        <v>21490.810526315789</v>
      </c>
      <c r="AH15" s="444">
        <f>цех!AG43+'цех точка продаж'!AG44+Ларь1!AG44*3</f>
        <v>21490.810526315789</v>
      </c>
      <c r="AI15" s="444">
        <f>цех!AH43+'цех точка продаж'!AH44+Ларь1!AH44*3</f>
        <v>21490.810526315789</v>
      </c>
      <c r="AJ15" s="479">
        <f>цех!AI43+'цех точка продаж'!AI44+Ларь1!AI44*3</f>
        <v>21490.810526315789</v>
      </c>
      <c r="AK15" s="474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</row>
    <row r="16" spans="1:67" ht="16.5" customHeight="1" x14ac:dyDescent="0.25">
      <c r="A16" s="474"/>
      <c r="B16" s="579" t="s">
        <v>318</v>
      </c>
      <c r="C16" s="558"/>
      <c r="D16" s="594">
        <v>0</v>
      </c>
      <c r="E16" s="567">
        <v>0</v>
      </c>
      <c r="F16" s="567">
        <v>0</v>
      </c>
      <c r="G16" s="444">
        <f>цех!F44+'цех точка продаж'!F45+Ларь1!F45</f>
        <v>24000</v>
      </c>
      <c r="H16" s="444">
        <f>цех!G44+'цех точка продаж'!G45+Ларь1!G45*2</f>
        <v>29000</v>
      </c>
      <c r="I16" s="444">
        <f>цех!H44+'цех точка продаж'!H45+Ларь1!H45*3</f>
        <v>34000</v>
      </c>
      <c r="J16" s="444">
        <f>цех!I44+'цех точка продаж'!I45+Ларь1!I45*3</f>
        <v>34000</v>
      </c>
      <c r="K16" s="444">
        <f>цех!J44+'цех точка продаж'!J45+Ларь1!J45*3</f>
        <v>34000</v>
      </c>
      <c r="L16" s="444">
        <f>цех!K44+'цех точка продаж'!K45+Ларь1!K45*3</f>
        <v>34000</v>
      </c>
      <c r="M16" s="444">
        <f>цех!L44+'цех точка продаж'!L45+Ларь1!L45*3</f>
        <v>34000</v>
      </c>
      <c r="N16" s="444">
        <f>цех!M44+'цех точка продаж'!M45+Ларь1!M45*3</f>
        <v>34000</v>
      </c>
      <c r="O16" s="444">
        <f>цех!N44+'цех точка продаж'!N45+Ларь1!N45*3</f>
        <v>34000</v>
      </c>
      <c r="P16" s="444">
        <f>цех!O44+'цех точка продаж'!O45+Ларь1!O45*3</f>
        <v>34000</v>
      </c>
      <c r="Q16" s="444">
        <f>цех!P44+'цех точка продаж'!P45+Ларь1!P45*3</f>
        <v>34000</v>
      </c>
      <c r="R16" s="444">
        <f>цех!Q44+'цех точка продаж'!Q45+Ларь1!Q45*3</f>
        <v>34000</v>
      </c>
      <c r="S16" s="444">
        <f>цех!R44+'цех точка продаж'!R45+Ларь1!R45*3</f>
        <v>34000</v>
      </c>
      <c r="T16" s="444">
        <f>цех!S44+'цех точка продаж'!S45+Ларь1!S45*3</f>
        <v>34000</v>
      </c>
      <c r="U16" s="444">
        <f>цех!T44+'цех точка продаж'!T45+Ларь1!T45*3</f>
        <v>34000</v>
      </c>
      <c r="V16" s="444">
        <f>цех!U44+'цех точка продаж'!U45+Ларь1!U45*3</f>
        <v>34000</v>
      </c>
      <c r="W16" s="444">
        <f>цех!V44+'цех точка продаж'!V45+Ларь1!V45*3</f>
        <v>34000</v>
      </c>
      <c r="X16" s="444">
        <f>цех!W44+'цех точка продаж'!W45+Ларь1!W45*3</f>
        <v>34000</v>
      </c>
      <c r="Y16" s="444">
        <f>цех!X44+'цех точка продаж'!X45+Ларь1!X45*3</f>
        <v>34000</v>
      </c>
      <c r="Z16" s="444">
        <f>цех!Y44+'цех точка продаж'!Y45+Ларь1!Y45*3</f>
        <v>34000</v>
      </c>
      <c r="AA16" s="444">
        <f>цех!Z44+'цех точка продаж'!Z45+Ларь1!Z45*3</f>
        <v>34000</v>
      </c>
      <c r="AB16" s="444">
        <f>цех!AA44+'цех точка продаж'!AA45+Ларь1!AA45*3</f>
        <v>34000</v>
      </c>
      <c r="AC16" s="444">
        <f>цех!AB44+'цех точка продаж'!AB45+Ларь1!AB45*3</f>
        <v>34000</v>
      </c>
      <c r="AD16" s="444">
        <f>цех!AC44+'цех точка продаж'!AC45+Ларь1!AC45*3</f>
        <v>34000</v>
      </c>
      <c r="AE16" s="444">
        <f>цех!AD44+'цех точка продаж'!AD45+Ларь1!AD45*3</f>
        <v>34000</v>
      </c>
      <c r="AF16" s="444">
        <f>цех!AE44+'цех точка продаж'!AE45+Ларь1!AE45*3</f>
        <v>34000</v>
      </c>
      <c r="AG16" s="444">
        <f>цех!AF44+'цех точка продаж'!AF45+Ларь1!AF45*3</f>
        <v>34000</v>
      </c>
      <c r="AH16" s="444">
        <f>цех!AG44+'цех точка продаж'!AG45+Ларь1!AG45*3</f>
        <v>34000</v>
      </c>
      <c r="AI16" s="444">
        <f>цех!AH44+'цех точка продаж'!AH45+Ларь1!AH45*3</f>
        <v>34000</v>
      </c>
      <c r="AJ16" s="479">
        <f>цех!AI44+'цех точка продаж'!AI45+Ларь1!AI45*3</f>
        <v>34000</v>
      </c>
      <c r="AK16" s="474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19"/>
      <c r="BI16" s="119"/>
      <c r="BJ16" s="119"/>
      <c r="BK16" s="119"/>
      <c r="BL16" s="119"/>
      <c r="BM16" s="119"/>
      <c r="BN16" s="119"/>
      <c r="BO16" s="119"/>
    </row>
    <row r="17" spans="1:70" ht="16.5" customHeight="1" x14ac:dyDescent="0.25">
      <c r="A17" s="474"/>
      <c r="B17" s="579" t="s">
        <v>319</v>
      </c>
      <c r="C17" s="558"/>
      <c r="D17" s="594">
        <v>0</v>
      </c>
      <c r="E17" s="567">
        <v>0</v>
      </c>
      <c r="F17" s="567">
        <v>0</v>
      </c>
      <c r="G17" s="444">
        <f>'цех точка продаж'!F46+Ларь1!F46</f>
        <v>9662.4000000000015</v>
      </c>
      <c r="H17" s="444">
        <f>'цех точка продаж'!G46+Ларь1!G46*2</f>
        <v>12830.400000000001</v>
      </c>
      <c r="I17" s="444">
        <f>'цех точка продаж'!H46+Ларь1!H46*3</f>
        <v>15998.400000000001</v>
      </c>
      <c r="J17" s="444">
        <f>'цех точка продаж'!I46+Ларь1!I46*3</f>
        <v>15998.400000000001</v>
      </c>
      <c r="K17" s="444">
        <f>'цех точка продаж'!J46+Ларь1!J46*3</f>
        <v>15998.400000000001</v>
      </c>
      <c r="L17" s="444">
        <f>'цех точка продаж'!K46+Ларь1!K46*3</f>
        <v>15998.400000000001</v>
      </c>
      <c r="M17" s="444">
        <f>'цех точка продаж'!L46+Ларь1!L46*3</f>
        <v>15998.400000000001</v>
      </c>
      <c r="N17" s="444">
        <f>'цех точка продаж'!M46+Ларь1!M46*3</f>
        <v>15998.400000000001</v>
      </c>
      <c r="O17" s="444">
        <f>'цех точка продаж'!N46+Ларь1!N46*3</f>
        <v>15998.400000000001</v>
      </c>
      <c r="P17" s="444">
        <f>'цех точка продаж'!O46+Ларь1!O46*3</f>
        <v>15998.400000000001</v>
      </c>
      <c r="Q17" s="444">
        <f>'цех точка продаж'!P46+Ларь1!P46*3</f>
        <v>15998.400000000001</v>
      </c>
      <c r="R17" s="444">
        <f>'цех точка продаж'!Q46+Ларь1!Q46*3</f>
        <v>15998.400000000001</v>
      </c>
      <c r="S17" s="444">
        <f>'цех точка продаж'!R46+Ларь1!R46*3</f>
        <v>15998.400000000001</v>
      </c>
      <c r="T17" s="444">
        <f>'цех точка продаж'!S46+Ларь1!S46*3</f>
        <v>15998.400000000001</v>
      </c>
      <c r="U17" s="444">
        <f>'цех точка продаж'!T46+Ларь1!T46*3</f>
        <v>15998.400000000001</v>
      </c>
      <c r="V17" s="444">
        <f>'цех точка продаж'!U46+Ларь1!U46*3</f>
        <v>15998.400000000001</v>
      </c>
      <c r="W17" s="444">
        <f>'цех точка продаж'!V46+Ларь1!V46*3</f>
        <v>15998.400000000001</v>
      </c>
      <c r="X17" s="444">
        <f>'цех точка продаж'!W46+Ларь1!W46*3</f>
        <v>15998.400000000001</v>
      </c>
      <c r="Y17" s="444">
        <f>'цех точка продаж'!X46+Ларь1!X46*3</f>
        <v>15998.400000000001</v>
      </c>
      <c r="Z17" s="444">
        <f>'цех точка продаж'!Y46+Ларь1!Y46*3</f>
        <v>15998.400000000001</v>
      </c>
      <c r="AA17" s="444">
        <f>'цех точка продаж'!Z46+Ларь1!Z46*3</f>
        <v>15998.400000000001</v>
      </c>
      <c r="AB17" s="444">
        <f>'цех точка продаж'!AA46+Ларь1!AA46*3</f>
        <v>15998.400000000001</v>
      </c>
      <c r="AC17" s="444">
        <f>'цех точка продаж'!AB46+Ларь1!AB46*3</f>
        <v>15998.400000000001</v>
      </c>
      <c r="AD17" s="444">
        <f>'цех точка продаж'!AC46+Ларь1!AC46*3</f>
        <v>15998.400000000001</v>
      </c>
      <c r="AE17" s="444">
        <f>'цех точка продаж'!AD46+Ларь1!AD46*3</f>
        <v>15998.400000000001</v>
      </c>
      <c r="AF17" s="444">
        <f>'цех точка продаж'!AE46+Ларь1!AE46*3</f>
        <v>15998.400000000001</v>
      </c>
      <c r="AG17" s="444">
        <f>'цех точка продаж'!AF46+Ларь1!AF46*3</f>
        <v>15998.400000000001</v>
      </c>
      <c r="AH17" s="444">
        <f>'цех точка продаж'!AG46+Ларь1!AG46*3</f>
        <v>15998.400000000001</v>
      </c>
      <c r="AI17" s="444">
        <f>'цех точка продаж'!AH46+Ларь1!AH46*3</f>
        <v>15998.400000000001</v>
      </c>
      <c r="AJ17" s="479">
        <f>'цех точка продаж'!AI46+Ларь1!AI46*3</f>
        <v>15998.400000000001</v>
      </c>
      <c r="AK17" s="474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</row>
    <row r="18" spans="1:70" ht="16.5" customHeight="1" x14ac:dyDescent="0.25">
      <c r="A18" s="474"/>
      <c r="B18" s="579" t="s">
        <v>320</v>
      </c>
      <c r="C18" s="558"/>
      <c r="D18" s="594">
        <v>0</v>
      </c>
      <c r="E18" s="567">
        <v>0</v>
      </c>
      <c r="F18" s="567">
        <v>0</v>
      </c>
      <c r="G18" s="444">
        <f>'цех точка продаж'!F47+Ларь1!F47</f>
        <v>6375.7199999999993</v>
      </c>
      <c r="H18" s="444">
        <f>'цех точка продаж'!G47+Ларь1!G47*2</f>
        <v>8466.119999999999</v>
      </c>
      <c r="I18" s="444">
        <f>'цех точка продаж'!H47+Ларь1!H47*3</f>
        <v>10556.52</v>
      </c>
      <c r="J18" s="444">
        <f>'цех точка продаж'!I47+Ларь1!I47*3</f>
        <v>10556.52</v>
      </c>
      <c r="K18" s="444">
        <f>'цех точка продаж'!J47+Ларь1!J47*3</f>
        <v>10556.52</v>
      </c>
      <c r="L18" s="444">
        <f>'цех точка продаж'!K47+Ларь1!K47*3</f>
        <v>10556.52</v>
      </c>
      <c r="M18" s="444">
        <f>'цех точка продаж'!L47+Ларь1!L47*3</f>
        <v>10556.52</v>
      </c>
      <c r="N18" s="444">
        <f>'цех точка продаж'!M47+Ларь1!M47*3</f>
        <v>10556.52</v>
      </c>
      <c r="O18" s="444">
        <f>'цех точка продаж'!N47+Ларь1!N47*3</f>
        <v>10556.52</v>
      </c>
      <c r="P18" s="444">
        <f>'цех точка продаж'!O47+Ларь1!O47*3</f>
        <v>10556.52</v>
      </c>
      <c r="Q18" s="444">
        <f>'цех точка продаж'!P47+Ларь1!P47*3</f>
        <v>10556.52</v>
      </c>
      <c r="R18" s="444">
        <f>'цех точка продаж'!Q47+Ларь1!Q47*3</f>
        <v>10556.52</v>
      </c>
      <c r="S18" s="444">
        <f>'цех точка продаж'!R47+Ларь1!R47*3</f>
        <v>10556.52</v>
      </c>
      <c r="T18" s="444">
        <f>'цех точка продаж'!S47+Ларь1!S47*3</f>
        <v>10556.52</v>
      </c>
      <c r="U18" s="444">
        <f>'цех точка продаж'!T47+Ларь1!T47*3</f>
        <v>10556.52</v>
      </c>
      <c r="V18" s="444">
        <f>'цех точка продаж'!U47+Ларь1!U47*3</f>
        <v>10556.52</v>
      </c>
      <c r="W18" s="444">
        <f>'цех точка продаж'!V47+Ларь1!V47*3</f>
        <v>10556.52</v>
      </c>
      <c r="X18" s="444">
        <f>'цех точка продаж'!W47+Ларь1!W47*3</f>
        <v>10556.52</v>
      </c>
      <c r="Y18" s="444">
        <f>'цех точка продаж'!X47+Ларь1!X47*3</f>
        <v>10556.52</v>
      </c>
      <c r="Z18" s="444">
        <f>'цех точка продаж'!Y47+Ларь1!Y47*3</f>
        <v>10556.52</v>
      </c>
      <c r="AA18" s="444">
        <f>'цех точка продаж'!Z47+Ларь1!Z47*3</f>
        <v>10556.52</v>
      </c>
      <c r="AB18" s="444">
        <f>'цех точка продаж'!AA47+Ларь1!AA47*3</f>
        <v>10556.52</v>
      </c>
      <c r="AC18" s="444">
        <f>'цех точка продаж'!AB47+Ларь1!AB47*3</f>
        <v>10556.52</v>
      </c>
      <c r="AD18" s="444">
        <f>'цех точка продаж'!AC47+Ларь1!AC47*3</f>
        <v>10556.52</v>
      </c>
      <c r="AE18" s="444">
        <f>'цех точка продаж'!AD47+Ларь1!AD47*3</f>
        <v>10556.52</v>
      </c>
      <c r="AF18" s="444">
        <f>'цех точка продаж'!AE47+Ларь1!AE47*3</f>
        <v>10556.52</v>
      </c>
      <c r="AG18" s="444">
        <f>'цех точка продаж'!AF47+Ларь1!AF47*3</f>
        <v>10556.52</v>
      </c>
      <c r="AH18" s="444">
        <f>'цех точка продаж'!AG47+Ларь1!AG47*3</f>
        <v>10556.52</v>
      </c>
      <c r="AI18" s="444">
        <f>'цех точка продаж'!AH47+Ларь1!AH47*3</f>
        <v>10556.52</v>
      </c>
      <c r="AJ18" s="479">
        <f>'цех точка продаж'!AI47+Ларь1!AI47*3</f>
        <v>10556.52</v>
      </c>
      <c r="AK18" s="474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</row>
    <row r="19" spans="1:70" ht="16.5" customHeight="1" x14ac:dyDescent="0.25">
      <c r="A19" s="474"/>
      <c r="B19" s="579" t="s">
        <v>91</v>
      </c>
      <c r="C19" s="558"/>
      <c r="D19" s="594">
        <v>0</v>
      </c>
      <c r="E19" s="567">
        <v>0</v>
      </c>
      <c r="F19" s="567">
        <v>0</v>
      </c>
      <c r="G19" s="444">
        <f>'цех точка продаж'!F48+Ларь1!F48</f>
        <v>14000</v>
      </c>
      <c r="H19" s="444">
        <f>'цех точка продаж'!G48+Ларь1!G48*2</f>
        <v>21000</v>
      </c>
      <c r="I19" s="444">
        <f>'цех точка продаж'!H48+Ларь1!H48*3</f>
        <v>28000</v>
      </c>
      <c r="J19" s="444">
        <f>'цех точка продаж'!I48+Ларь1!I48*3</f>
        <v>28000</v>
      </c>
      <c r="K19" s="444">
        <f>'цех точка продаж'!J48+Ларь1!J48*3</f>
        <v>28000</v>
      </c>
      <c r="L19" s="444">
        <f>'цех точка продаж'!K48+Ларь1!K48*3</f>
        <v>28000</v>
      </c>
      <c r="M19" s="444">
        <f>'цех точка продаж'!L48+Ларь1!L48*3</f>
        <v>28000</v>
      </c>
      <c r="N19" s="444">
        <f>'цех точка продаж'!M48+Ларь1!M48*3</f>
        <v>28000</v>
      </c>
      <c r="O19" s="444">
        <f>'цех точка продаж'!N48+Ларь1!N48*3</f>
        <v>28000</v>
      </c>
      <c r="P19" s="444">
        <f>'цех точка продаж'!O48+Ларь1!O48*3</f>
        <v>28000</v>
      </c>
      <c r="Q19" s="444">
        <f>'цех точка продаж'!P48+Ларь1!P48*3</f>
        <v>28000</v>
      </c>
      <c r="R19" s="444">
        <f>'цех точка продаж'!Q48+Ларь1!Q48*3</f>
        <v>28000</v>
      </c>
      <c r="S19" s="444">
        <f>'цех точка продаж'!R48+Ларь1!R48*3</f>
        <v>28000</v>
      </c>
      <c r="T19" s="444">
        <f>'цех точка продаж'!S48+Ларь1!S48*3</f>
        <v>28000</v>
      </c>
      <c r="U19" s="444">
        <f>'цех точка продаж'!T48+Ларь1!T48*3</f>
        <v>28000</v>
      </c>
      <c r="V19" s="444">
        <f>'цех точка продаж'!U48+Ларь1!U48*3</f>
        <v>28000</v>
      </c>
      <c r="W19" s="444">
        <f>'цех точка продаж'!V48+Ларь1!V48*3</f>
        <v>28000</v>
      </c>
      <c r="X19" s="444">
        <f>'цех точка продаж'!W48+Ларь1!W48*3</f>
        <v>28000</v>
      </c>
      <c r="Y19" s="444">
        <f>'цех точка продаж'!X48+Ларь1!X48*3</f>
        <v>28000</v>
      </c>
      <c r="Z19" s="444">
        <f>'цех точка продаж'!Y48+Ларь1!Y48*3</f>
        <v>28000</v>
      </c>
      <c r="AA19" s="444">
        <f>'цех точка продаж'!Z48+Ларь1!Z48*3</f>
        <v>28000</v>
      </c>
      <c r="AB19" s="444">
        <f>'цех точка продаж'!AA48+Ларь1!AA48*3</f>
        <v>28000</v>
      </c>
      <c r="AC19" s="444">
        <f>'цех точка продаж'!AB48+Ларь1!AB48*3</f>
        <v>28000</v>
      </c>
      <c r="AD19" s="444">
        <f>'цех точка продаж'!AC48+Ларь1!AC48*3</f>
        <v>28000</v>
      </c>
      <c r="AE19" s="444">
        <f>'цех точка продаж'!AD48+Ларь1!AD48*3</f>
        <v>28000</v>
      </c>
      <c r="AF19" s="444">
        <f>'цех точка продаж'!AE48+Ларь1!AE48*3</f>
        <v>28000</v>
      </c>
      <c r="AG19" s="444">
        <f>'цех точка продаж'!AF48+Ларь1!AF48*3</f>
        <v>28000</v>
      </c>
      <c r="AH19" s="444">
        <f>'цех точка продаж'!AG48+Ларь1!AG48*3</f>
        <v>28000</v>
      </c>
      <c r="AI19" s="444">
        <f>'цех точка продаж'!AH48+Ларь1!AH48*3</f>
        <v>28000</v>
      </c>
      <c r="AJ19" s="479">
        <f>'цех точка продаж'!AI48+Ларь1!AI48*3</f>
        <v>28000</v>
      </c>
      <c r="AK19" s="474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</row>
    <row r="20" spans="1:70" ht="16.5" customHeight="1" x14ac:dyDescent="0.25">
      <c r="A20" s="474"/>
      <c r="B20" s="579" t="s">
        <v>321</v>
      </c>
      <c r="C20" s="558"/>
      <c r="D20" s="594">
        <v>0</v>
      </c>
      <c r="E20" s="567">
        <v>0</v>
      </c>
      <c r="F20" s="567">
        <v>0</v>
      </c>
      <c r="G20" s="444">
        <f>цех!F48+'цех точка продаж'!F49+Ларь1!F49</f>
        <v>3000</v>
      </c>
      <c r="H20" s="444">
        <f>цех!G48+'цех точка продаж'!G49+Ларь1!G49*2</f>
        <v>4000</v>
      </c>
      <c r="I20" s="444">
        <f>цех!H48+'цех точка продаж'!H49+Ларь1!H49*3</f>
        <v>5000</v>
      </c>
      <c r="J20" s="444">
        <f>цех!I48+'цех точка продаж'!I49+Ларь1!I49*3</f>
        <v>5000</v>
      </c>
      <c r="K20" s="444">
        <f>цех!J48+'цех точка продаж'!J49+Ларь1!J49*3</f>
        <v>5000</v>
      </c>
      <c r="L20" s="444">
        <f>цех!K48+'цех точка продаж'!K49+Ларь1!K49*3</f>
        <v>5000</v>
      </c>
      <c r="M20" s="444">
        <f>цех!L48+'цех точка продаж'!L49+Ларь1!L49*3</f>
        <v>5000</v>
      </c>
      <c r="N20" s="444">
        <f>цех!M48+'цех точка продаж'!M49+Ларь1!M49*3</f>
        <v>5000</v>
      </c>
      <c r="O20" s="444">
        <f>цех!N48+'цех точка продаж'!N49+Ларь1!N49*3</f>
        <v>5000</v>
      </c>
      <c r="P20" s="444">
        <f>цех!O48+'цех точка продаж'!O49+Ларь1!O49*3</f>
        <v>5000</v>
      </c>
      <c r="Q20" s="444">
        <f>цех!P48+'цех точка продаж'!P49+Ларь1!P49*3</f>
        <v>5000</v>
      </c>
      <c r="R20" s="444">
        <f>цех!Q48+'цех точка продаж'!Q49+Ларь1!Q49*3</f>
        <v>5000</v>
      </c>
      <c r="S20" s="444">
        <f>цех!R48+'цех точка продаж'!R49+Ларь1!R49*3</f>
        <v>5000</v>
      </c>
      <c r="T20" s="444">
        <f>цех!S48+'цех точка продаж'!S49+Ларь1!S49*3</f>
        <v>5000</v>
      </c>
      <c r="U20" s="444">
        <f>цех!T48+'цех точка продаж'!T49+Ларь1!T49*3</f>
        <v>5000</v>
      </c>
      <c r="V20" s="444">
        <f>цех!U48+'цех точка продаж'!U49+Ларь1!U49*3</f>
        <v>5000</v>
      </c>
      <c r="W20" s="444">
        <f>цех!V48+'цех точка продаж'!V49+Ларь1!V49*3</f>
        <v>5000</v>
      </c>
      <c r="X20" s="444">
        <f>цех!W48+'цех точка продаж'!W49+Ларь1!W49*3</f>
        <v>5000</v>
      </c>
      <c r="Y20" s="444">
        <f>цех!X48+'цех точка продаж'!X49+Ларь1!X49*3</f>
        <v>5000</v>
      </c>
      <c r="Z20" s="444">
        <f>цех!Y48+'цех точка продаж'!Y49+Ларь1!Y49*3</f>
        <v>5000</v>
      </c>
      <c r="AA20" s="444">
        <f>цех!Z48+'цех точка продаж'!Z49+Ларь1!Z49*3</f>
        <v>5000</v>
      </c>
      <c r="AB20" s="444">
        <f>цех!AA48+'цех точка продаж'!AA49+Ларь1!AA49*3</f>
        <v>5000</v>
      </c>
      <c r="AC20" s="444">
        <f>цех!AB48+'цех точка продаж'!AB49+Ларь1!AB49*3</f>
        <v>5000</v>
      </c>
      <c r="AD20" s="444">
        <f>цех!AC48+'цех точка продаж'!AC49+Ларь1!AC49*3</f>
        <v>5000</v>
      </c>
      <c r="AE20" s="444">
        <f>цех!AD48+'цех точка продаж'!AD49+Ларь1!AD49*3</f>
        <v>5000</v>
      </c>
      <c r="AF20" s="444">
        <f>цех!AE48+'цех точка продаж'!AE49+Ларь1!AE49*3</f>
        <v>5000</v>
      </c>
      <c r="AG20" s="444">
        <f>цех!AF48+'цех точка продаж'!AF49+Ларь1!AF49*3</f>
        <v>5000</v>
      </c>
      <c r="AH20" s="444">
        <f>цех!AG48+'цех точка продаж'!AG49+Ларь1!AG49*3</f>
        <v>5000</v>
      </c>
      <c r="AI20" s="444">
        <f>цех!AH48+'цех точка продаж'!AH49+Ларь1!AH49*3</f>
        <v>5000</v>
      </c>
      <c r="AJ20" s="479">
        <f>цех!AI48+'цех точка продаж'!AI49+Ларь1!AI49*3</f>
        <v>5000</v>
      </c>
      <c r="AK20" s="474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</row>
    <row r="21" spans="1:70" ht="16.5" customHeight="1" x14ac:dyDescent="0.25">
      <c r="A21" s="474"/>
      <c r="B21" s="580" t="s">
        <v>33</v>
      </c>
      <c r="C21" s="557"/>
      <c r="D21" s="594">
        <v>0</v>
      </c>
      <c r="E21" s="567">
        <v>0</v>
      </c>
      <c r="F21" s="567">
        <v>0</v>
      </c>
      <c r="G21" s="444">
        <f>Ларь1!F51</f>
        <v>18000</v>
      </c>
      <c r="H21" s="444">
        <f>Ларь1!G51*2</f>
        <v>36000</v>
      </c>
      <c r="I21" s="444">
        <f>Ларь1!H51*3</f>
        <v>54000</v>
      </c>
      <c r="J21" s="444">
        <f>Ларь1!I51*3</f>
        <v>54000</v>
      </c>
      <c r="K21" s="444">
        <f>Ларь1!J51*3</f>
        <v>54000</v>
      </c>
      <c r="L21" s="444">
        <f>Ларь1!K51*3</f>
        <v>54000</v>
      </c>
      <c r="M21" s="444">
        <f>Ларь1!L51*3</f>
        <v>54000</v>
      </c>
      <c r="N21" s="444">
        <f>Ларь1!M51*3</f>
        <v>54000</v>
      </c>
      <c r="O21" s="444">
        <f>Ларь1!N51*3</f>
        <v>54000</v>
      </c>
      <c r="P21" s="444">
        <f>Ларь1!O51*3</f>
        <v>54000</v>
      </c>
      <c r="Q21" s="444">
        <f>Ларь1!P51*3</f>
        <v>54000</v>
      </c>
      <c r="R21" s="444">
        <f>Ларь1!Q51*3</f>
        <v>54000</v>
      </c>
      <c r="S21" s="444">
        <f>Ларь1!R51*3</f>
        <v>54000</v>
      </c>
      <c r="T21" s="444">
        <f>Ларь1!S51*3</f>
        <v>54000</v>
      </c>
      <c r="U21" s="444">
        <f>Ларь1!T51*3</f>
        <v>54000</v>
      </c>
      <c r="V21" s="444">
        <f>Ларь1!U51*3</f>
        <v>54000</v>
      </c>
      <c r="W21" s="444">
        <f>Ларь1!V51*3</f>
        <v>54000</v>
      </c>
      <c r="X21" s="444">
        <f>Ларь1!W51*3</f>
        <v>54000</v>
      </c>
      <c r="Y21" s="444">
        <f>Ларь1!X51*3</f>
        <v>54000</v>
      </c>
      <c r="Z21" s="444">
        <f>Ларь1!Y51*3</f>
        <v>54000</v>
      </c>
      <c r="AA21" s="444">
        <f>Ларь1!Z51*3</f>
        <v>54000</v>
      </c>
      <c r="AB21" s="444">
        <f>Ларь1!AA51*3</f>
        <v>54000</v>
      </c>
      <c r="AC21" s="444">
        <f>Ларь1!AB51*3</f>
        <v>54000</v>
      </c>
      <c r="AD21" s="444">
        <f>Ларь1!AC51*3</f>
        <v>54000</v>
      </c>
      <c r="AE21" s="444">
        <f>Ларь1!AD51*3</f>
        <v>54000</v>
      </c>
      <c r="AF21" s="444">
        <f>Ларь1!AE51*3</f>
        <v>54000</v>
      </c>
      <c r="AG21" s="444">
        <f>Ларь1!AF51*3</f>
        <v>54000</v>
      </c>
      <c r="AH21" s="444">
        <f>Ларь1!AG51*3</f>
        <v>54000</v>
      </c>
      <c r="AI21" s="444">
        <f>Ларь1!AH51*3</f>
        <v>54000</v>
      </c>
      <c r="AJ21" s="479">
        <f>Ларь1!AI51*3</f>
        <v>54000</v>
      </c>
      <c r="AK21" s="474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  <c r="BM21" s="119"/>
      <c r="BN21" s="119"/>
      <c r="BO21" s="119"/>
    </row>
    <row r="22" spans="1:70" ht="16.5" customHeight="1" thickBot="1" x14ac:dyDescent="0.3">
      <c r="A22" s="474"/>
      <c r="B22" s="584" t="s">
        <v>322</v>
      </c>
      <c r="C22" s="559"/>
      <c r="D22" s="595">
        <v>0</v>
      </c>
      <c r="E22" s="573">
        <v>0</v>
      </c>
      <c r="F22" s="573">
        <v>0</v>
      </c>
      <c r="G22" s="574">
        <f>цех!F52+'цех точка продаж'!F55+Ларь1!F55</f>
        <v>180000</v>
      </c>
      <c r="H22" s="574">
        <f>цех!G52+'цех точка продаж'!G55+Ларь1!G55*2</f>
        <v>230000</v>
      </c>
      <c r="I22" s="574">
        <f>цех!H52+'цех точка продаж'!H55+Ларь1!H55*3</f>
        <v>280000</v>
      </c>
      <c r="J22" s="574">
        <f>цех!I52+'цех точка продаж'!I55+Ларь1!I55*3</f>
        <v>280000</v>
      </c>
      <c r="K22" s="574">
        <f>цех!J52+'цех точка продаж'!J55+Ларь1!J55*3</f>
        <v>280000</v>
      </c>
      <c r="L22" s="574">
        <f>цех!K52+'цех точка продаж'!K55+Ларь1!K55*3</f>
        <v>280000</v>
      </c>
      <c r="M22" s="574">
        <f>цех!L52+'цех точка продаж'!L55+Ларь1!L55*3</f>
        <v>280000</v>
      </c>
      <c r="N22" s="574">
        <f>цех!M52+'цех точка продаж'!M55+Ларь1!M55*3</f>
        <v>280000</v>
      </c>
      <c r="O22" s="574">
        <f>цех!N52+'цех точка продаж'!N55+Ларь1!N55*3</f>
        <v>280000</v>
      </c>
      <c r="P22" s="574">
        <f>цех!O52+'цех точка продаж'!O55+Ларь1!O55*3</f>
        <v>280000</v>
      </c>
      <c r="Q22" s="574">
        <f>цех!P52+'цех точка продаж'!P55+Ларь1!P55*3</f>
        <v>280000</v>
      </c>
      <c r="R22" s="574">
        <f>цех!Q52+'цех точка продаж'!Q55+Ларь1!Q55*3</f>
        <v>280000</v>
      </c>
      <c r="S22" s="574">
        <f>цех!R52+'цех точка продаж'!R55+Ларь1!R55*3</f>
        <v>280000</v>
      </c>
      <c r="T22" s="574">
        <f>цех!S52+'цех точка продаж'!S55+Ларь1!S55*3</f>
        <v>280000</v>
      </c>
      <c r="U22" s="574">
        <f>цех!T52+'цех точка продаж'!T55+Ларь1!T55*3</f>
        <v>280000</v>
      </c>
      <c r="V22" s="574">
        <f>цех!U52+'цех точка продаж'!U55+Ларь1!U55*3</f>
        <v>280000</v>
      </c>
      <c r="W22" s="574">
        <f>цех!V52+'цех точка продаж'!V55+Ларь1!V55*3</f>
        <v>280000</v>
      </c>
      <c r="X22" s="574">
        <f>цех!W52+'цех точка продаж'!W55+Ларь1!W55*3</f>
        <v>280000</v>
      </c>
      <c r="Y22" s="574">
        <f>цех!X52+'цех точка продаж'!X55+Ларь1!X55*3</f>
        <v>280000</v>
      </c>
      <c r="Z22" s="574">
        <f>цех!Y52+'цех точка продаж'!Y55+Ларь1!Y55*3</f>
        <v>280000</v>
      </c>
      <c r="AA22" s="574">
        <f>цех!Z52+'цех точка продаж'!Z55+Ларь1!Z55*3</f>
        <v>280000</v>
      </c>
      <c r="AB22" s="574">
        <f>цех!AA52+'цех точка продаж'!AA55+Ларь1!AA55*3</f>
        <v>280000</v>
      </c>
      <c r="AC22" s="574">
        <f>цех!AB52+'цех точка продаж'!AB55+Ларь1!AB55*3</f>
        <v>280000</v>
      </c>
      <c r="AD22" s="574">
        <f>цех!AC52+'цех точка продаж'!AC55+Ларь1!AC55*3</f>
        <v>280000</v>
      </c>
      <c r="AE22" s="574">
        <f>цех!AD52+'цех точка продаж'!AD55+Ларь1!AD55*3</f>
        <v>280000</v>
      </c>
      <c r="AF22" s="574">
        <f>цех!AE52+'цех точка продаж'!AE55+Ларь1!AE55*3</f>
        <v>280000</v>
      </c>
      <c r="AG22" s="574">
        <f>цех!AF52+'цех точка продаж'!AF55+Ларь1!AF55*3</f>
        <v>280000</v>
      </c>
      <c r="AH22" s="574">
        <f>цех!AG52+'цех точка продаж'!AG55+Ларь1!AG55*3</f>
        <v>280000</v>
      </c>
      <c r="AI22" s="574">
        <f>цех!AH52+'цех точка продаж'!AH55+Ларь1!AH55*3</f>
        <v>280000</v>
      </c>
      <c r="AJ22" s="596">
        <f>цех!AI52+'цех точка продаж'!AI55+Ларь1!AI55*3</f>
        <v>280000</v>
      </c>
      <c r="AK22" s="474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</row>
    <row r="23" spans="1:70" ht="16.5" customHeight="1" thickBot="1" x14ac:dyDescent="0.25">
      <c r="A23" s="474"/>
      <c r="B23" s="581" t="s">
        <v>38</v>
      </c>
      <c r="C23" s="560"/>
      <c r="D23" s="597">
        <v>0</v>
      </c>
      <c r="E23" s="575">
        <v>0</v>
      </c>
      <c r="F23" s="575">
        <v>0</v>
      </c>
      <c r="G23" s="571">
        <f t="shared" ref="G23:AJ23" si="0">G6-G7</f>
        <v>345168.33603447536</v>
      </c>
      <c r="H23" s="571">
        <f t="shared" si="0"/>
        <v>426802.08555397531</v>
      </c>
      <c r="I23" s="571">
        <f t="shared" si="0"/>
        <v>513435.83507347573</v>
      </c>
      <c r="J23" s="571">
        <f t="shared" si="0"/>
        <v>513435.83507347573</v>
      </c>
      <c r="K23" s="571">
        <f t="shared" si="0"/>
        <v>513435.83507347573</v>
      </c>
      <c r="L23" s="571">
        <f t="shared" si="0"/>
        <v>513435.83507347573</v>
      </c>
      <c r="M23" s="571">
        <f t="shared" si="0"/>
        <v>513435.83507347573</v>
      </c>
      <c r="N23" s="571">
        <f t="shared" si="0"/>
        <v>513435.83507347573</v>
      </c>
      <c r="O23" s="571">
        <f t="shared" si="0"/>
        <v>513435.83507347573</v>
      </c>
      <c r="P23" s="571">
        <f t="shared" si="0"/>
        <v>513435.83507347573</v>
      </c>
      <c r="Q23" s="571">
        <f t="shared" si="0"/>
        <v>513435.83507347573</v>
      </c>
      <c r="R23" s="571">
        <f t="shared" si="0"/>
        <v>513435.83507347573</v>
      </c>
      <c r="S23" s="571">
        <f t="shared" si="0"/>
        <v>513435.83507347573</v>
      </c>
      <c r="T23" s="571">
        <f t="shared" si="0"/>
        <v>513435.83507347573</v>
      </c>
      <c r="U23" s="571">
        <f t="shared" si="0"/>
        <v>513435.83507347573</v>
      </c>
      <c r="V23" s="571">
        <f t="shared" si="0"/>
        <v>513435.83507347573</v>
      </c>
      <c r="W23" s="571">
        <f t="shared" si="0"/>
        <v>513435.83507347573</v>
      </c>
      <c r="X23" s="571">
        <f t="shared" si="0"/>
        <v>513435.83507347573</v>
      </c>
      <c r="Y23" s="571">
        <f t="shared" si="0"/>
        <v>513435.83507347573</v>
      </c>
      <c r="Z23" s="571">
        <f t="shared" si="0"/>
        <v>513435.83507347573</v>
      </c>
      <c r="AA23" s="571">
        <f t="shared" si="0"/>
        <v>513435.83507347573</v>
      </c>
      <c r="AB23" s="571">
        <f t="shared" si="0"/>
        <v>513435.83507347573</v>
      </c>
      <c r="AC23" s="571">
        <f t="shared" si="0"/>
        <v>513435.83507347573</v>
      </c>
      <c r="AD23" s="571">
        <f t="shared" si="0"/>
        <v>513435.83507347573</v>
      </c>
      <c r="AE23" s="571">
        <f t="shared" si="0"/>
        <v>513435.83507347573</v>
      </c>
      <c r="AF23" s="571">
        <f t="shared" si="0"/>
        <v>513435.83507347573</v>
      </c>
      <c r="AG23" s="571">
        <f t="shared" si="0"/>
        <v>513435.83507347573</v>
      </c>
      <c r="AH23" s="571">
        <f t="shared" si="0"/>
        <v>513435.83507347573</v>
      </c>
      <c r="AI23" s="571">
        <f t="shared" si="0"/>
        <v>513435.83507347573</v>
      </c>
      <c r="AJ23" s="572">
        <f t="shared" si="0"/>
        <v>513435.83507347573</v>
      </c>
      <c r="AK23" s="474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19"/>
      <c r="BI23" s="119"/>
      <c r="BJ23" s="119"/>
      <c r="BK23" s="119"/>
      <c r="BL23" s="119"/>
      <c r="BM23" s="119"/>
      <c r="BN23" s="119"/>
      <c r="BO23" s="119"/>
    </row>
    <row r="24" spans="1:70" ht="16.5" customHeight="1" thickBot="1" x14ac:dyDescent="0.25">
      <c r="A24" s="474"/>
      <c r="B24" s="581" t="s">
        <v>307</v>
      </c>
      <c r="C24" s="560"/>
      <c r="D24" s="597">
        <v>0</v>
      </c>
      <c r="E24" s="575">
        <v>0</v>
      </c>
      <c r="F24" s="575">
        <v>0</v>
      </c>
      <c r="G24" s="571">
        <f>цех!F105</f>
        <v>155325.75121551391</v>
      </c>
      <c r="H24" s="571">
        <f>цех!G105</f>
        <v>192060.93849928895</v>
      </c>
      <c r="I24" s="571">
        <f>цех!H105</f>
        <v>231046.12578306397</v>
      </c>
      <c r="J24" s="571">
        <f>цех!I105</f>
        <v>231046.12578306397</v>
      </c>
      <c r="K24" s="571">
        <f>цех!J105</f>
        <v>231046.12578306397</v>
      </c>
      <c r="L24" s="571">
        <f>цех!K105</f>
        <v>231046.12578306397</v>
      </c>
      <c r="M24" s="571">
        <f>цех!L105</f>
        <v>231046.12578306397</v>
      </c>
      <c r="N24" s="571">
        <f>цех!M105</f>
        <v>231046.12578306397</v>
      </c>
      <c r="O24" s="571">
        <f>цех!N105</f>
        <v>231046.12578306397</v>
      </c>
      <c r="P24" s="571">
        <f>цех!O105</f>
        <v>231046.12578306397</v>
      </c>
      <c r="Q24" s="571">
        <f>цех!P105</f>
        <v>231046.12578306397</v>
      </c>
      <c r="R24" s="571">
        <f>цех!Q105</f>
        <v>231046.12578306397</v>
      </c>
      <c r="S24" s="571">
        <f>цех!R105</f>
        <v>231046.12578306397</v>
      </c>
      <c r="T24" s="571">
        <f>цех!S105</f>
        <v>231046.12578306397</v>
      </c>
      <c r="U24" s="571">
        <f>цех!T105</f>
        <v>231046.12578306397</v>
      </c>
      <c r="V24" s="571">
        <f>цех!U105</f>
        <v>231046.12578306397</v>
      </c>
      <c r="W24" s="571">
        <f>цех!V105</f>
        <v>231046.12578306397</v>
      </c>
      <c r="X24" s="571">
        <f>цех!W105</f>
        <v>231046.12578306397</v>
      </c>
      <c r="Y24" s="571">
        <f>цех!X105</f>
        <v>231046.12578306397</v>
      </c>
      <c r="Z24" s="571">
        <f>цех!Y105</f>
        <v>231046.12578306397</v>
      </c>
      <c r="AA24" s="571">
        <f>цех!Z105</f>
        <v>231046.12578306397</v>
      </c>
      <c r="AB24" s="571">
        <f>цех!AA105</f>
        <v>231046.12578306397</v>
      </c>
      <c r="AC24" s="571">
        <f>цех!AB105</f>
        <v>231046.12578306397</v>
      </c>
      <c r="AD24" s="571">
        <f>цех!AC105</f>
        <v>231046.12578306397</v>
      </c>
      <c r="AE24" s="571">
        <f>цех!AD105</f>
        <v>231046.12578306397</v>
      </c>
      <c r="AF24" s="571">
        <f>цех!AE105</f>
        <v>231046.12578306397</v>
      </c>
      <c r="AG24" s="571">
        <f>цех!AF105</f>
        <v>231046.12578306397</v>
      </c>
      <c r="AH24" s="571">
        <f>цех!AG105</f>
        <v>231046.12578306397</v>
      </c>
      <c r="AI24" s="571">
        <f>цех!AH105</f>
        <v>231046.12578306397</v>
      </c>
      <c r="AJ24" s="572">
        <f>цех!AI105</f>
        <v>231046.12578306397</v>
      </c>
      <c r="AK24" s="474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19"/>
      <c r="BI24" s="119"/>
      <c r="BJ24" s="119"/>
      <c r="BK24" s="119"/>
      <c r="BL24" s="119"/>
      <c r="BM24" s="119"/>
      <c r="BN24" s="119"/>
      <c r="BO24" s="119"/>
    </row>
    <row r="25" spans="1:70" ht="16.5" customHeight="1" thickBot="1" x14ac:dyDescent="0.25">
      <c r="A25" s="474"/>
      <c r="B25" s="582" t="s">
        <v>325</v>
      </c>
      <c r="C25" s="553"/>
      <c r="D25" s="598">
        <f>цех!C106</f>
        <v>0</v>
      </c>
      <c r="E25" s="554">
        <f>цех!D106</f>
        <v>0</v>
      </c>
      <c r="F25" s="554">
        <f>цех!E106</f>
        <v>0</v>
      </c>
      <c r="G25" s="554">
        <f>цех!F106</f>
        <v>155325.75121551391</v>
      </c>
      <c r="H25" s="554">
        <f>цех!G106</f>
        <v>347386.68971480289</v>
      </c>
      <c r="I25" s="554">
        <f>цех!H106</f>
        <v>578432.81549786683</v>
      </c>
      <c r="J25" s="554">
        <f>цех!I106</f>
        <v>809478.94128093077</v>
      </c>
      <c r="K25" s="554">
        <f>цех!J106</f>
        <v>1040525.0670639947</v>
      </c>
      <c r="L25" s="554">
        <f>цех!K106</f>
        <v>1271571.1928470586</v>
      </c>
      <c r="M25" s="554">
        <f>цех!L106</f>
        <v>1502617.3186301226</v>
      </c>
      <c r="N25" s="554">
        <f>цех!M106</f>
        <v>1733663.4444131865</v>
      </c>
      <c r="O25" s="554">
        <f>цех!N106</f>
        <v>1964709.5701962505</v>
      </c>
      <c r="P25" s="554">
        <f>цех!O106</f>
        <v>2195755.6959793144</v>
      </c>
      <c r="Q25" s="554">
        <f>цех!P106</f>
        <v>2426801.8217623783</v>
      </c>
      <c r="R25" s="554">
        <f>цех!Q106</f>
        <v>2657847.9475454423</v>
      </c>
      <c r="S25" s="554">
        <f>цех!R106</f>
        <v>2888894.0733285062</v>
      </c>
      <c r="T25" s="554">
        <f>цех!S106</f>
        <v>3119940.1991115701</v>
      </c>
      <c r="U25" s="554">
        <f>цех!T106</f>
        <v>3350986.3248946341</v>
      </c>
      <c r="V25" s="554">
        <f>цех!U106</f>
        <v>3582032.450677698</v>
      </c>
      <c r="W25" s="554">
        <f>цех!V106</f>
        <v>3813078.5764607619</v>
      </c>
      <c r="X25" s="554">
        <f>цех!W106</f>
        <v>4044124.7022438259</v>
      </c>
      <c r="Y25" s="554">
        <f>цех!X106</f>
        <v>4275170.8280268898</v>
      </c>
      <c r="Z25" s="554">
        <f>цех!Y106</f>
        <v>4506216.9538099542</v>
      </c>
      <c r="AA25" s="554">
        <f>цех!Z106</f>
        <v>4737263.0795930186</v>
      </c>
      <c r="AB25" s="554">
        <f>цех!AA106</f>
        <v>4968309.205376083</v>
      </c>
      <c r="AC25" s="554">
        <f>цех!AB106</f>
        <v>5199355.3311591474</v>
      </c>
      <c r="AD25" s="554">
        <f>цех!AC106</f>
        <v>5430401.4569422118</v>
      </c>
      <c r="AE25" s="554">
        <f>цех!AD106</f>
        <v>5661447.5827252762</v>
      </c>
      <c r="AF25" s="554">
        <f>цех!AE106</f>
        <v>5892493.7085083406</v>
      </c>
      <c r="AG25" s="554">
        <f>цех!AF106</f>
        <v>6123539.834291405</v>
      </c>
      <c r="AH25" s="554">
        <f>цех!AG106</f>
        <v>6354585.9600744694</v>
      </c>
      <c r="AI25" s="554">
        <f>цех!AH106</f>
        <v>6585632.0858575338</v>
      </c>
      <c r="AJ25" s="599">
        <f>цех!AI106</f>
        <v>6816678.2116405983</v>
      </c>
      <c r="AK25" s="474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  <c r="BM25" s="119"/>
      <c r="BN25" s="119"/>
      <c r="BO25" s="119"/>
    </row>
    <row r="26" spans="1:70" ht="16.5" customHeight="1" thickBot="1" x14ac:dyDescent="0.25">
      <c r="A26" s="474"/>
      <c r="B26" s="620" t="s">
        <v>337</v>
      </c>
      <c r="C26" s="555"/>
      <c r="D26" s="609">
        <f>цех!C107</f>
        <v>-2300000</v>
      </c>
      <c r="E26" s="610">
        <f>цех!D107</f>
        <v>-3450000</v>
      </c>
      <c r="F26" s="610">
        <f>цех!E107</f>
        <v>-5450000</v>
      </c>
      <c r="G26" s="610">
        <f>цех!F107</f>
        <v>-6144674.2487844862</v>
      </c>
      <c r="H26" s="610">
        <f>цех!G107</f>
        <v>-6802613.3102851976</v>
      </c>
      <c r="I26" s="610">
        <f>цех!H107</f>
        <v>-6571567.1845021332</v>
      </c>
      <c r="J26" s="610">
        <f>цех!I107</f>
        <v>-6340521.0587190688</v>
      </c>
      <c r="K26" s="610">
        <f>цех!J107</f>
        <v>-6109474.9329360053</v>
      </c>
      <c r="L26" s="610">
        <f>цех!K107</f>
        <v>-5878428.8071529418</v>
      </c>
      <c r="M26" s="610">
        <f>цех!L107</f>
        <v>-5647382.6813698774</v>
      </c>
      <c r="N26" s="610">
        <f>цех!M107</f>
        <v>-5416336.555586813</v>
      </c>
      <c r="O26" s="610">
        <f>цех!N107</f>
        <v>-5185290.4298037495</v>
      </c>
      <c r="P26" s="610">
        <f>цех!O107</f>
        <v>-4954244.3040206861</v>
      </c>
      <c r="Q26" s="610">
        <f>цех!P107</f>
        <v>-4723198.1782376217</v>
      </c>
      <c r="R26" s="610">
        <f>цех!Q107</f>
        <v>-4492152.0524545573</v>
      </c>
      <c r="S26" s="610">
        <f>цех!R107</f>
        <v>-4261105.9266714938</v>
      </c>
      <c r="T26" s="610">
        <f>цех!S107</f>
        <v>-4030059.8008884299</v>
      </c>
      <c r="U26" s="610">
        <f>цех!T107</f>
        <v>-3799013.6751053659</v>
      </c>
      <c r="V26" s="610">
        <f>цех!U107</f>
        <v>-3567967.549322302</v>
      </c>
      <c r="W26" s="610">
        <f>цех!V107</f>
        <v>-3336921.4235392381</v>
      </c>
      <c r="X26" s="610">
        <f>цех!W107</f>
        <v>-3105875.2977561741</v>
      </c>
      <c r="Y26" s="610">
        <f>цех!X107</f>
        <v>-2874829.1719731102</v>
      </c>
      <c r="Z26" s="610">
        <f>цех!Y107</f>
        <v>-2643783.0461900458</v>
      </c>
      <c r="AA26" s="610">
        <f>цех!Z107</f>
        <v>-2412736.9204069814</v>
      </c>
      <c r="AB26" s="610">
        <f>цех!AA107</f>
        <v>-2181690.794623917</v>
      </c>
      <c r="AC26" s="610">
        <f>цех!AB107</f>
        <v>-1950644.6688408526</v>
      </c>
      <c r="AD26" s="610">
        <f>цех!AC107</f>
        <v>-1719598.5430577882</v>
      </c>
      <c r="AE26" s="610">
        <f>цех!AD107</f>
        <v>-1488552.4172747238</v>
      </c>
      <c r="AF26" s="610">
        <f>цех!AE107</f>
        <v>-1257506.2914916594</v>
      </c>
      <c r="AG26" s="610">
        <f>цех!AF107</f>
        <v>-1026460.165708595</v>
      </c>
      <c r="AH26" s="610">
        <f>цех!AG107</f>
        <v>-795414.03992553055</v>
      </c>
      <c r="AI26" s="610">
        <f>цех!AH107</f>
        <v>-564367.91414246615</v>
      </c>
      <c r="AJ26" s="611">
        <f>цех!AI107</f>
        <v>-333321.78835940175</v>
      </c>
      <c r="AK26" s="619">
        <f>AJ26+$AJ$24</f>
        <v>-102275.66257633778</v>
      </c>
      <c r="AL26" s="432">
        <f>AK26+$AJ$24</f>
        <v>128770.46320672618</v>
      </c>
      <c r="AM26" s="432">
        <f>AL26+$AJ$24</f>
        <v>359816.58898979018</v>
      </c>
      <c r="AN26" s="432">
        <f t="shared" ref="AN26:BB26" si="1">AM26+$AJ$24</f>
        <v>590862.71477285412</v>
      </c>
      <c r="AO26" s="432">
        <f t="shared" si="1"/>
        <v>821908.84055591805</v>
      </c>
      <c r="AP26" s="432">
        <f t="shared" si="1"/>
        <v>1052954.9663389821</v>
      </c>
      <c r="AQ26" s="432">
        <f t="shared" si="1"/>
        <v>1284001.092122046</v>
      </c>
      <c r="AR26" s="432">
        <f t="shared" si="1"/>
        <v>1515047.21790511</v>
      </c>
      <c r="AS26" s="432">
        <f t="shared" si="1"/>
        <v>1746093.3436881739</v>
      </c>
      <c r="AT26" s="432">
        <f t="shared" si="1"/>
        <v>1977139.4694712379</v>
      </c>
      <c r="AU26" s="432">
        <f t="shared" si="1"/>
        <v>2208185.595254302</v>
      </c>
      <c r="AV26" s="432">
        <f t="shared" si="1"/>
        <v>2439231.721037366</v>
      </c>
      <c r="AW26" s="432">
        <f t="shared" si="1"/>
        <v>2670277.8468204299</v>
      </c>
      <c r="AX26" s="432">
        <f t="shared" si="1"/>
        <v>2901323.9726034938</v>
      </c>
      <c r="AY26" s="432">
        <f t="shared" si="1"/>
        <v>3132370.0983865578</v>
      </c>
      <c r="AZ26" s="432">
        <f t="shared" si="1"/>
        <v>3363416.2241696217</v>
      </c>
      <c r="BA26" s="432">
        <f t="shared" si="1"/>
        <v>3594462.3499526856</v>
      </c>
      <c r="BB26" s="432">
        <f t="shared" si="1"/>
        <v>3825508.4757357496</v>
      </c>
      <c r="BC26" s="432">
        <f>BB26+$AJ$24</f>
        <v>4056554.6015188135</v>
      </c>
      <c r="BD26" s="432">
        <f>BC26+$AJ$24</f>
        <v>4287600.7273018779</v>
      </c>
      <c r="BE26" s="432">
        <f t="shared" ref="BE26:BO26" si="2">BD26+$AJ$24</f>
        <v>4518646.8530849423</v>
      </c>
      <c r="BF26" s="432">
        <f t="shared" si="2"/>
        <v>4749692.9788680067</v>
      </c>
      <c r="BG26" s="432">
        <f t="shared" si="2"/>
        <v>4980739.1046510711</v>
      </c>
      <c r="BH26" s="432">
        <f t="shared" si="2"/>
        <v>5211785.2304341355</v>
      </c>
      <c r="BI26" s="432">
        <f t="shared" si="2"/>
        <v>5442831.3562171999</v>
      </c>
      <c r="BJ26" s="432">
        <f t="shared" si="2"/>
        <v>5673877.4820002643</v>
      </c>
      <c r="BK26" s="432">
        <f t="shared" si="2"/>
        <v>5904923.6077833287</v>
      </c>
      <c r="BL26" s="432">
        <f t="shared" si="2"/>
        <v>6135969.7335663931</v>
      </c>
      <c r="BM26" s="432">
        <f t="shared" si="2"/>
        <v>6367015.8593494575</v>
      </c>
      <c r="BN26" s="432">
        <f t="shared" si="2"/>
        <v>6598061.9851325219</v>
      </c>
      <c r="BO26" s="432">
        <f t="shared" si="2"/>
        <v>6829108.1109155864</v>
      </c>
      <c r="BP26" s="556"/>
      <c r="BQ26" s="556"/>
      <c r="BR26" s="556"/>
    </row>
    <row r="27" spans="1:70" x14ac:dyDescent="0.2">
      <c r="A27" s="474"/>
      <c r="B27" s="474"/>
      <c r="C27" s="474"/>
      <c r="D27" s="608"/>
      <c r="E27" s="608"/>
      <c r="F27" s="608"/>
      <c r="G27" s="608"/>
      <c r="H27" s="608"/>
      <c r="I27" s="608"/>
      <c r="J27" s="608"/>
      <c r="K27" s="608"/>
      <c r="L27" s="608"/>
      <c r="M27" s="608"/>
      <c r="N27" s="608"/>
      <c r="O27" s="608"/>
      <c r="P27" s="608"/>
      <c r="Q27" s="608"/>
      <c r="R27" s="608"/>
      <c r="S27" s="608"/>
      <c r="T27" s="608"/>
      <c r="U27" s="608"/>
      <c r="V27" s="608"/>
      <c r="W27" s="608"/>
      <c r="X27" s="608"/>
      <c r="Y27" s="608"/>
      <c r="Z27" s="608"/>
      <c r="AA27" s="608"/>
      <c r="AB27" s="608"/>
      <c r="AC27" s="608"/>
      <c r="AD27" s="608"/>
      <c r="AE27" s="608"/>
      <c r="AF27" s="608"/>
      <c r="AG27" s="608"/>
      <c r="AH27" s="608"/>
      <c r="AI27" s="608"/>
      <c r="AJ27" s="608"/>
      <c r="AK27" s="474"/>
    </row>
    <row r="28" spans="1:70" x14ac:dyDescent="0.2">
      <c r="A28" s="474"/>
      <c r="B28" s="474"/>
      <c r="C28" s="474"/>
      <c r="D28" s="608"/>
      <c r="E28" s="608"/>
      <c r="F28" s="608"/>
      <c r="G28" s="608"/>
      <c r="H28" s="608"/>
      <c r="I28" s="608"/>
      <c r="J28" s="608"/>
      <c r="K28" s="608"/>
      <c r="L28" s="608"/>
      <c r="M28" s="608"/>
      <c r="N28" s="608"/>
      <c r="O28" s="608"/>
      <c r="P28" s="608"/>
      <c r="Q28" s="608"/>
      <c r="R28" s="608"/>
      <c r="S28" s="608"/>
      <c r="T28" s="608"/>
      <c r="U28" s="608"/>
      <c r="V28" s="608"/>
      <c r="W28" s="608"/>
      <c r="X28" s="608"/>
      <c r="Y28" s="608"/>
      <c r="Z28" s="608"/>
      <c r="AA28" s="608"/>
      <c r="AB28" s="608"/>
      <c r="AC28" s="608"/>
      <c r="AD28" s="608"/>
      <c r="AE28" s="608"/>
      <c r="AF28" s="608"/>
      <c r="AG28" s="608"/>
      <c r="AH28" s="608"/>
      <c r="AI28" s="608"/>
      <c r="AJ28" s="608"/>
      <c r="AK28" s="474"/>
    </row>
    <row r="29" spans="1:70" x14ac:dyDescent="0.2">
      <c r="A29" s="474"/>
      <c r="B29" s="474"/>
      <c r="C29" s="474"/>
      <c r="D29" s="608"/>
      <c r="E29" s="608"/>
      <c r="F29" s="608"/>
      <c r="G29" s="608"/>
      <c r="H29" s="608"/>
      <c r="I29" s="608"/>
      <c r="J29" s="608"/>
      <c r="K29" s="608"/>
      <c r="L29" s="608"/>
      <c r="M29" s="608"/>
      <c r="N29" s="608"/>
      <c r="O29" s="608"/>
      <c r="P29" s="608"/>
      <c r="Q29" s="608"/>
      <c r="R29" s="608"/>
      <c r="S29" s="608"/>
      <c r="T29" s="608"/>
      <c r="U29" s="608"/>
      <c r="V29" s="608"/>
      <c r="W29" s="608"/>
      <c r="X29" s="608"/>
      <c r="Y29" s="608"/>
      <c r="Z29" s="608"/>
      <c r="AA29" s="608"/>
      <c r="AB29" s="608"/>
      <c r="AC29" s="608"/>
      <c r="AD29" s="608"/>
      <c r="AE29" s="608"/>
      <c r="AF29" s="608"/>
      <c r="AG29" s="608"/>
      <c r="AH29" s="608"/>
      <c r="AI29" s="608"/>
      <c r="AJ29" s="608"/>
      <c r="AK29" s="474"/>
    </row>
    <row r="30" spans="1:70" x14ac:dyDescent="0.2">
      <c r="A30" s="474"/>
      <c r="B30" s="474"/>
      <c r="C30" s="474"/>
      <c r="D30" s="608"/>
      <c r="E30" s="608"/>
      <c r="F30" s="608"/>
      <c r="G30" s="608"/>
      <c r="H30" s="608"/>
      <c r="I30" s="608"/>
      <c r="J30" s="608"/>
      <c r="K30" s="608"/>
      <c r="L30" s="608"/>
      <c r="M30" s="608"/>
      <c r="N30" s="608"/>
      <c r="O30" s="608"/>
      <c r="P30" s="608"/>
      <c r="Q30" s="608"/>
      <c r="R30" s="608"/>
      <c r="S30" s="608"/>
      <c r="T30" s="608"/>
      <c r="U30" s="608"/>
      <c r="V30" s="608"/>
      <c r="W30" s="608"/>
      <c r="X30" s="608"/>
      <c r="Y30" s="608"/>
      <c r="Z30" s="608"/>
      <c r="AA30" s="608"/>
      <c r="AB30" s="608"/>
      <c r="AC30" s="608"/>
      <c r="AD30" s="608"/>
      <c r="AE30" s="608"/>
      <c r="AF30" s="608"/>
      <c r="AG30" s="608"/>
      <c r="AH30" s="608"/>
      <c r="AI30" s="608"/>
      <c r="AJ30" s="608"/>
      <c r="AK30" s="474"/>
    </row>
    <row r="31" spans="1:70" x14ac:dyDescent="0.2">
      <c r="A31" s="474"/>
      <c r="B31" s="474"/>
      <c r="C31" s="474"/>
      <c r="D31" s="608"/>
      <c r="E31" s="608"/>
      <c r="F31" s="608"/>
      <c r="G31" s="608"/>
      <c r="H31" s="608"/>
      <c r="I31" s="608"/>
      <c r="J31" s="608"/>
      <c r="K31" s="608"/>
      <c r="L31" s="608"/>
      <c r="M31" s="608"/>
      <c r="N31" s="608"/>
      <c r="O31" s="608"/>
      <c r="P31" s="608"/>
      <c r="Q31" s="608"/>
      <c r="R31" s="608"/>
      <c r="S31" s="608"/>
      <c r="T31" s="608"/>
      <c r="U31" s="608"/>
      <c r="V31" s="608"/>
      <c r="W31" s="608"/>
      <c r="X31" s="608"/>
      <c r="Y31" s="608"/>
      <c r="Z31" s="608"/>
      <c r="AA31" s="608"/>
      <c r="AB31" s="608"/>
      <c r="AC31" s="608"/>
      <c r="AD31" s="608"/>
      <c r="AE31" s="608"/>
      <c r="AF31" s="608"/>
      <c r="AG31" s="608"/>
      <c r="AH31" s="608"/>
      <c r="AI31" s="608"/>
      <c r="AJ31" s="608"/>
      <c r="AK31" s="474"/>
    </row>
    <row r="32" spans="1:70" x14ac:dyDescent="0.2">
      <c r="A32" s="474"/>
      <c r="B32" s="474"/>
      <c r="C32" s="474"/>
      <c r="D32" s="608"/>
      <c r="E32" s="608"/>
      <c r="F32" s="608"/>
      <c r="G32" s="608"/>
      <c r="H32" s="608"/>
      <c r="I32" s="608"/>
      <c r="J32" s="608"/>
      <c r="K32" s="608"/>
      <c r="L32" s="608"/>
      <c r="M32" s="608"/>
      <c r="N32" s="608"/>
      <c r="O32" s="608"/>
      <c r="P32" s="608"/>
      <c r="Q32" s="608"/>
      <c r="R32" s="608"/>
      <c r="S32" s="608"/>
      <c r="T32" s="608"/>
      <c r="U32" s="608"/>
      <c r="V32" s="608"/>
      <c r="W32" s="608"/>
      <c r="X32" s="608"/>
      <c r="Y32" s="608"/>
      <c r="Z32" s="608"/>
      <c r="AA32" s="608"/>
      <c r="AB32" s="608"/>
      <c r="AC32" s="608"/>
      <c r="AD32" s="608"/>
      <c r="AE32" s="608"/>
      <c r="AF32" s="608"/>
      <c r="AG32" s="608"/>
      <c r="AH32" s="608"/>
      <c r="AI32" s="608"/>
      <c r="AJ32" s="608"/>
      <c r="AK32" s="474"/>
    </row>
    <row r="33" spans="1:37" x14ac:dyDescent="0.2">
      <c r="A33" s="474"/>
      <c r="B33" s="474"/>
      <c r="C33" s="474"/>
      <c r="D33" s="608"/>
      <c r="E33" s="608"/>
      <c r="F33" s="608"/>
      <c r="G33" s="608"/>
      <c r="H33" s="608"/>
      <c r="I33" s="608"/>
      <c r="J33" s="608"/>
      <c r="K33" s="608"/>
      <c r="L33" s="608"/>
      <c r="M33" s="608"/>
      <c r="N33" s="608"/>
      <c r="O33" s="608"/>
      <c r="P33" s="608"/>
      <c r="Q33" s="608"/>
      <c r="R33" s="608"/>
      <c r="S33" s="608"/>
      <c r="T33" s="608"/>
      <c r="U33" s="608"/>
      <c r="V33" s="608"/>
      <c r="W33" s="608"/>
      <c r="X33" s="608"/>
      <c r="Y33" s="608"/>
      <c r="Z33" s="608"/>
      <c r="AA33" s="608"/>
      <c r="AB33" s="608"/>
      <c r="AC33" s="608"/>
      <c r="AD33" s="608"/>
      <c r="AE33" s="608"/>
      <c r="AF33" s="608"/>
      <c r="AG33" s="608"/>
      <c r="AH33" s="608"/>
      <c r="AI33" s="608"/>
      <c r="AJ33" s="608"/>
      <c r="AK33" s="474"/>
    </row>
    <row r="34" spans="1:37" x14ac:dyDescent="0.2">
      <c r="A34" s="474"/>
      <c r="B34" s="474"/>
      <c r="C34" s="474"/>
      <c r="D34" s="608"/>
      <c r="E34" s="608"/>
      <c r="F34" s="608"/>
      <c r="G34" s="608"/>
      <c r="H34" s="608"/>
      <c r="I34" s="608"/>
      <c r="J34" s="608"/>
      <c r="K34" s="608"/>
      <c r="L34" s="608"/>
      <c r="M34" s="608"/>
      <c r="N34" s="608"/>
      <c r="O34" s="608"/>
      <c r="P34" s="608"/>
      <c r="Q34" s="608"/>
      <c r="R34" s="608"/>
      <c r="S34" s="608"/>
      <c r="T34" s="608"/>
      <c r="U34" s="608"/>
      <c r="V34" s="608"/>
      <c r="W34" s="608"/>
      <c r="X34" s="608"/>
      <c r="Y34" s="608"/>
      <c r="Z34" s="608"/>
      <c r="AA34" s="608"/>
      <c r="AB34" s="608"/>
      <c r="AC34" s="608"/>
      <c r="AD34" s="608"/>
      <c r="AE34" s="608"/>
      <c r="AF34" s="608"/>
      <c r="AG34" s="608"/>
      <c r="AH34" s="608"/>
      <c r="AI34" s="608"/>
      <c r="AJ34" s="608"/>
      <c r="AK34" s="474"/>
    </row>
    <row r="35" spans="1:37" x14ac:dyDescent="0.2">
      <c r="A35" s="474"/>
      <c r="B35" s="474"/>
      <c r="C35" s="474"/>
      <c r="D35" s="608"/>
      <c r="E35" s="608"/>
      <c r="F35" s="608"/>
      <c r="G35" s="608"/>
      <c r="H35" s="608"/>
      <c r="I35" s="608"/>
      <c r="J35" s="608"/>
      <c r="K35" s="608"/>
      <c r="L35" s="608"/>
      <c r="M35" s="608"/>
      <c r="N35" s="608"/>
      <c r="O35" s="608"/>
      <c r="P35" s="608"/>
      <c r="Q35" s="608"/>
      <c r="R35" s="608"/>
      <c r="S35" s="608"/>
      <c r="T35" s="608"/>
      <c r="U35" s="608"/>
      <c r="V35" s="608"/>
      <c r="W35" s="608"/>
      <c r="X35" s="608"/>
      <c r="Y35" s="608"/>
      <c r="Z35" s="608"/>
      <c r="AA35" s="608"/>
      <c r="AB35" s="608"/>
      <c r="AC35" s="608"/>
      <c r="AD35" s="608"/>
      <c r="AE35" s="608"/>
      <c r="AF35" s="608"/>
      <c r="AG35" s="608"/>
      <c r="AH35" s="608"/>
      <c r="AI35" s="608"/>
      <c r="AJ35" s="608"/>
      <c r="AK35" s="474"/>
    </row>
    <row r="36" spans="1:37" x14ac:dyDescent="0.2">
      <c r="A36" s="474"/>
      <c r="B36" s="474"/>
      <c r="C36" s="474"/>
      <c r="D36" s="608"/>
      <c r="E36" s="608"/>
      <c r="F36" s="608"/>
      <c r="G36" s="608"/>
      <c r="H36" s="608"/>
      <c r="I36" s="608"/>
      <c r="J36" s="608"/>
      <c r="K36" s="608"/>
      <c r="L36" s="608"/>
      <c r="M36" s="608"/>
      <c r="N36" s="608"/>
      <c r="O36" s="608"/>
      <c r="P36" s="608"/>
      <c r="Q36" s="608"/>
      <c r="R36" s="608"/>
      <c r="S36" s="608"/>
      <c r="T36" s="608"/>
      <c r="U36" s="608"/>
      <c r="V36" s="608"/>
      <c r="W36" s="608"/>
      <c r="X36" s="608"/>
      <c r="Y36" s="608"/>
      <c r="Z36" s="608"/>
      <c r="AA36" s="608"/>
      <c r="AB36" s="608"/>
      <c r="AC36" s="608"/>
      <c r="AD36" s="608"/>
      <c r="AE36" s="608"/>
      <c r="AF36" s="608"/>
      <c r="AG36" s="608"/>
      <c r="AH36" s="608"/>
      <c r="AI36" s="608"/>
      <c r="AJ36" s="608"/>
      <c r="AK36" s="474"/>
    </row>
    <row r="37" spans="1:37" x14ac:dyDescent="0.2">
      <c r="A37" s="474"/>
      <c r="B37" s="474"/>
      <c r="C37" s="474"/>
      <c r="D37" s="608"/>
      <c r="E37" s="608"/>
      <c r="F37" s="608"/>
      <c r="G37" s="608"/>
      <c r="H37" s="608"/>
      <c r="I37" s="608"/>
      <c r="J37" s="608"/>
      <c r="K37" s="608"/>
      <c r="L37" s="608"/>
      <c r="M37" s="608"/>
      <c r="N37" s="608"/>
      <c r="O37" s="608"/>
      <c r="P37" s="608"/>
      <c r="Q37" s="608"/>
      <c r="R37" s="608"/>
      <c r="S37" s="608"/>
      <c r="T37" s="608"/>
      <c r="U37" s="608"/>
      <c r="V37" s="608"/>
      <c r="W37" s="608"/>
      <c r="X37" s="608"/>
      <c r="Y37" s="608"/>
      <c r="Z37" s="608"/>
      <c r="AA37" s="608"/>
      <c r="AB37" s="608"/>
      <c r="AC37" s="608"/>
      <c r="AD37" s="608"/>
      <c r="AE37" s="608"/>
      <c r="AF37" s="608"/>
      <c r="AG37" s="608"/>
      <c r="AH37" s="608"/>
      <c r="AI37" s="608"/>
      <c r="AJ37" s="608"/>
      <c r="AK37" s="474"/>
    </row>
    <row r="38" spans="1:37" x14ac:dyDescent="0.2">
      <c r="A38" s="474"/>
      <c r="B38" s="474"/>
      <c r="C38" s="474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608"/>
      <c r="AB38" s="608"/>
      <c r="AC38" s="608"/>
      <c r="AD38" s="608"/>
      <c r="AE38" s="608"/>
      <c r="AF38" s="608"/>
      <c r="AG38" s="608"/>
      <c r="AH38" s="608"/>
      <c r="AI38" s="608"/>
      <c r="AJ38" s="608"/>
      <c r="AK38" s="474"/>
    </row>
    <row r="39" spans="1:37" x14ac:dyDescent="0.2">
      <c r="A39" s="474"/>
      <c r="B39" s="474"/>
      <c r="C39" s="474"/>
      <c r="D39" s="608"/>
      <c r="E39" s="608"/>
      <c r="F39" s="608"/>
      <c r="G39" s="608"/>
      <c r="H39" s="608"/>
      <c r="I39" s="608"/>
      <c r="J39" s="608"/>
      <c r="K39" s="608"/>
      <c r="L39" s="608"/>
      <c r="M39" s="608"/>
      <c r="N39" s="608"/>
      <c r="O39" s="608"/>
      <c r="P39" s="608"/>
      <c r="Q39" s="608"/>
      <c r="R39" s="608"/>
      <c r="S39" s="608"/>
      <c r="T39" s="608"/>
      <c r="U39" s="608"/>
      <c r="V39" s="608"/>
      <c r="W39" s="608"/>
      <c r="X39" s="608"/>
      <c r="Y39" s="608"/>
      <c r="Z39" s="608"/>
      <c r="AA39" s="608"/>
      <c r="AB39" s="608"/>
      <c r="AC39" s="608"/>
      <c r="AD39" s="608"/>
      <c r="AE39" s="608"/>
      <c r="AF39" s="608"/>
      <c r="AG39" s="608"/>
      <c r="AH39" s="608"/>
      <c r="AI39" s="608"/>
      <c r="AJ39" s="608"/>
      <c r="AK39" s="474"/>
    </row>
    <row r="40" spans="1:37" x14ac:dyDescent="0.2">
      <c r="A40" s="474"/>
      <c r="B40" s="474"/>
      <c r="C40" s="474"/>
      <c r="D40" s="608"/>
      <c r="E40" s="608"/>
      <c r="F40" s="608"/>
      <c r="G40" s="608"/>
      <c r="H40" s="608"/>
      <c r="I40" s="608"/>
      <c r="J40" s="608"/>
      <c r="K40" s="608"/>
      <c r="L40" s="608"/>
      <c r="M40" s="608"/>
      <c r="N40" s="608"/>
      <c r="O40" s="608"/>
      <c r="P40" s="608"/>
      <c r="Q40" s="608"/>
      <c r="R40" s="608"/>
      <c r="S40" s="608"/>
      <c r="T40" s="608"/>
      <c r="U40" s="608"/>
      <c r="V40" s="608"/>
      <c r="W40" s="608"/>
      <c r="X40" s="608"/>
      <c r="Y40" s="608"/>
      <c r="Z40" s="608"/>
      <c r="AA40" s="608"/>
      <c r="AB40" s="608"/>
      <c r="AC40" s="608"/>
      <c r="AD40" s="608"/>
      <c r="AE40" s="608"/>
      <c r="AF40" s="608"/>
      <c r="AG40" s="608"/>
      <c r="AH40" s="608"/>
      <c r="AI40" s="608"/>
      <c r="AJ40" s="608"/>
      <c r="AK40" s="474"/>
    </row>
    <row r="41" spans="1:37" x14ac:dyDescent="0.2">
      <c r="A41" s="474"/>
      <c r="B41" s="474"/>
      <c r="C41" s="474"/>
      <c r="D41" s="608"/>
      <c r="E41" s="608"/>
      <c r="F41" s="608"/>
      <c r="G41" s="608"/>
      <c r="H41" s="608"/>
      <c r="I41" s="608"/>
      <c r="J41" s="608"/>
      <c r="K41" s="608"/>
      <c r="L41" s="608"/>
      <c r="M41" s="608"/>
      <c r="N41" s="608"/>
      <c r="O41" s="608"/>
      <c r="P41" s="608"/>
      <c r="Q41" s="608"/>
      <c r="R41" s="608"/>
      <c r="S41" s="608"/>
      <c r="T41" s="608"/>
      <c r="U41" s="608"/>
      <c r="V41" s="608"/>
      <c r="W41" s="608"/>
      <c r="X41" s="608"/>
      <c r="Y41" s="608"/>
      <c r="Z41" s="608"/>
      <c r="AA41" s="608"/>
      <c r="AB41" s="608"/>
      <c r="AC41" s="608"/>
      <c r="AD41" s="608"/>
      <c r="AE41" s="608"/>
      <c r="AF41" s="608"/>
      <c r="AG41" s="608"/>
      <c r="AH41" s="608"/>
      <c r="AI41" s="608"/>
      <c r="AJ41" s="608"/>
      <c r="AK41" s="474"/>
    </row>
    <row r="42" spans="1:37" x14ac:dyDescent="0.2">
      <c r="A42" s="474"/>
      <c r="B42" s="474"/>
      <c r="C42" s="474"/>
      <c r="D42" s="608"/>
      <c r="E42" s="608"/>
      <c r="F42" s="608"/>
      <c r="G42" s="608"/>
      <c r="H42" s="608"/>
      <c r="I42" s="608"/>
      <c r="J42" s="608"/>
      <c r="K42" s="608"/>
      <c r="L42" s="608"/>
      <c r="M42" s="608"/>
      <c r="N42" s="608"/>
      <c r="O42" s="608"/>
      <c r="P42" s="608"/>
      <c r="Q42" s="608"/>
      <c r="R42" s="608"/>
      <c r="S42" s="608"/>
      <c r="T42" s="608"/>
      <c r="U42" s="608"/>
      <c r="V42" s="608"/>
      <c r="W42" s="608"/>
      <c r="X42" s="608"/>
      <c r="Y42" s="608"/>
      <c r="Z42" s="608"/>
      <c r="AA42" s="608"/>
      <c r="AB42" s="608"/>
      <c r="AC42" s="608"/>
      <c r="AD42" s="608"/>
      <c r="AE42" s="608"/>
      <c r="AF42" s="608"/>
      <c r="AG42" s="608"/>
      <c r="AH42" s="608"/>
      <c r="AI42" s="608"/>
      <c r="AJ42" s="608"/>
      <c r="AK42" s="474"/>
    </row>
    <row r="43" spans="1:37" x14ac:dyDescent="0.2">
      <c r="A43" s="474"/>
      <c r="B43" s="474"/>
      <c r="C43" s="474"/>
      <c r="D43" s="608"/>
      <c r="E43" s="608"/>
      <c r="F43" s="608"/>
      <c r="G43" s="608"/>
      <c r="H43" s="608"/>
      <c r="I43" s="608"/>
      <c r="J43" s="608"/>
      <c r="K43" s="608"/>
      <c r="L43" s="608"/>
      <c r="M43" s="608"/>
      <c r="N43" s="608"/>
      <c r="O43" s="608"/>
      <c r="P43" s="608"/>
      <c r="Q43" s="608"/>
      <c r="R43" s="608"/>
      <c r="S43" s="608"/>
      <c r="T43" s="608"/>
      <c r="U43" s="608"/>
      <c r="V43" s="608"/>
      <c r="W43" s="608"/>
      <c r="X43" s="608"/>
      <c r="Y43" s="608"/>
      <c r="Z43" s="608"/>
      <c r="AA43" s="608"/>
      <c r="AB43" s="608"/>
      <c r="AC43" s="608"/>
      <c r="AD43" s="608"/>
      <c r="AE43" s="608"/>
      <c r="AF43" s="608"/>
      <c r="AG43" s="608"/>
      <c r="AH43" s="608"/>
      <c r="AI43" s="608"/>
      <c r="AJ43" s="608"/>
      <c r="AK43" s="474"/>
    </row>
    <row r="44" spans="1:37" x14ac:dyDescent="0.2">
      <c r="A44" s="474"/>
      <c r="B44" s="474"/>
      <c r="C44" s="474"/>
      <c r="D44" s="608"/>
      <c r="E44" s="608"/>
      <c r="F44" s="608"/>
      <c r="G44" s="608"/>
      <c r="H44" s="608"/>
      <c r="I44" s="608"/>
      <c r="J44" s="608"/>
      <c r="K44" s="608"/>
      <c r="L44" s="608"/>
      <c r="M44" s="608"/>
      <c r="N44" s="608"/>
      <c r="O44" s="608"/>
      <c r="P44" s="608"/>
      <c r="Q44" s="608"/>
      <c r="R44" s="608"/>
      <c r="S44" s="608"/>
      <c r="T44" s="608"/>
      <c r="U44" s="608"/>
      <c r="V44" s="608"/>
      <c r="W44" s="608"/>
      <c r="X44" s="608"/>
      <c r="Y44" s="608"/>
      <c r="Z44" s="608"/>
      <c r="AA44" s="608"/>
      <c r="AB44" s="608"/>
      <c r="AC44" s="608"/>
      <c r="AD44" s="608"/>
      <c r="AE44" s="608"/>
      <c r="AF44" s="608"/>
      <c r="AG44" s="608"/>
      <c r="AH44" s="608"/>
      <c r="AI44" s="608"/>
      <c r="AJ44" s="608"/>
      <c r="AK44" s="474"/>
    </row>
    <row r="45" spans="1:37" x14ac:dyDescent="0.2">
      <c r="A45" s="474"/>
      <c r="B45" s="474"/>
      <c r="C45" s="474"/>
      <c r="D45" s="608"/>
      <c r="E45" s="608"/>
      <c r="F45" s="608"/>
      <c r="G45" s="608"/>
      <c r="H45" s="608"/>
      <c r="I45" s="608"/>
      <c r="J45" s="608"/>
      <c r="K45" s="608"/>
      <c r="L45" s="608"/>
      <c r="M45" s="608"/>
      <c r="N45" s="608"/>
      <c r="O45" s="608"/>
      <c r="P45" s="608"/>
      <c r="Q45" s="608"/>
      <c r="R45" s="608"/>
      <c r="S45" s="608"/>
      <c r="T45" s="608"/>
      <c r="U45" s="608"/>
      <c r="V45" s="608"/>
      <c r="W45" s="608"/>
      <c r="X45" s="608"/>
      <c r="Y45" s="608"/>
      <c r="Z45" s="608"/>
      <c r="AA45" s="608"/>
      <c r="AB45" s="608"/>
      <c r="AC45" s="608"/>
      <c r="AD45" s="608"/>
      <c r="AE45" s="608"/>
      <c r="AF45" s="608"/>
      <c r="AG45" s="608"/>
      <c r="AH45" s="608"/>
      <c r="AI45" s="608"/>
      <c r="AJ45" s="608"/>
      <c r="AK45" s="474"/>
    </row>
    <row r="46" spans="1:37" x14ac:dyDescent="0.2">
      <c r="A46" s="474"/>
      <c r="B46" s="474"/>
      <c r="C46" s="474"/>
      <c r="D46" s="608"/>
      <c r="E46" s="608"/>
      <c r="F46" s="608"/>
      <c r="G46" s="608"/>
      <c r="H46" s="608"/>
      <c r="I46" s="608"/>
      <c r="J46" s="608"/>
      <c r="K46" s="608"/>
      <c r="L46" s="608"/>
      <c r="M46" s="608"/>
      <c r="N46" s="608"/>
      <c r="O46" s="608"/>
      <c r="P46" s="608"/>
      <c r="Q46" s="608"/>
      <c r="R46" s="608"/>
      <c r="S46" s="608"/>
      <c r="T46" s="608"/>
      <c r="U46" s="608"/>
      <c r="V46" s="608"/>
      <c r="W46" s="608"/>
      <c r="X46" s="608"/>
      <c r="Y46" s="608"/>
      <c r="Z46" s="608"/>
      <c r="AA46" s="608"/>
      <c r="AB46" s="608"/>
      <c r="AC46" s="608"/>
      <c r="AD46" s="608"/>
      <c r="AE46" s="608"/>
      <c r="AF46" s="608"/>
      <c r="AG46" s="608"/>
      <c r="AH46" s="608"/>
      <c r="AI46" s="608"/>
      <c r="AJ46" s="608"/>
      <c r="AK46" s="474"/>
    </row>
    <row r="47" spans="1:37" x14ac:dyDescent="0.2">
      <c r="A47" s="474"/>
      <c r="B47" s="474"/>
      <c r="C47" s="474"/>
      <c r="D47" s="608"/>
      <c r="E47" s="608"/>
      <c r="F47" s="608"/>
      <c r="G47" s="608"/>
      <c r="H47" s="608"/>
      <c r="I47" s="608"/>
      <c r="J47" s="608"/>
      <c r="K47" s="608"/>
      <c r="L47" s="608"/>
      <c r="M47" s="608"/>
      <c r="N47" s="608"/>
      <c r="O47" s="608"/>
      <c r="P47" s="608"/>
      <c r="Q47" s="608"/>
      <c r="R47" s="608"/>
      <c r="S47" s="608"/>
      <c r="T47" s="608"/>
      <c r="U47" s="608"/>
      <c r="V47" s="608"/>
      <c r="W47" s="608"/>
      <c r="X47" s="608"/>
      <c r="Y47" s="608"/>
      <c r="Z47" s="608"/>
      <c r="AA47" s="608"/>
      <c r="AB47" s="608"/>
      <c r="AC47" s="608"/>
      <c r="AD47" s="608"/>
      <c r="AE47" s="608"/>
      <c r="AF47" s="608"/>
      <c r="AG47" s="608"/>
      <c r="AH47" s="608"/>
      <c r="AI47" s="608"/>
      <c r="AJ47" s="608"/>
      <c r="AK47" s="474"/>
    </row>
    <row r="48" spans="1:37" x14ac:dyDescent="0.2">
      <c r="A48" s="474"/>
      <c r="B48" s="474"/>
      <c r="C48" s="474"/>
      <c r="D48" s="608"/>
      <c r="E48" s="608"/>
      <c r="F48" s="608"/>
      <c r="G48" s="608"/>
      <c r="H48" s="608"/>
      <c r="I48" s="608"/>
      <c r="J48" s="608"/>
      <c r="K48" s="608"/>
      <c r="L48" s="608"/>
      <c r="M48" s="608"/>
      <c r="N48" s="608"/>
      <c r="O48" s="608"/>
      <c r="P48" s="608"/>
      <c r="Q48" s="608"/>
      <c r="R48" s="608"/>
      <c r="S48" s="608"/>
      <c r="T48" s="608"/>
      <c r="U48" s="608"/>
      <c r="V48" s="608"/>
      <c r="W48" s="608"/>
      <c r="X48" s="608"/>
      <c r="Y48" s="608"/>
      <c r="Z48" s="608"/>
      <c r="AA48" s="608"/>
      <c r="AB48" s="608"/>
      <c r="AC48" s="608"/>
      <c r="AD48" s="608"/>
      <c r="AE48" s="608"/>
      <c r="AF48" s="608"/>
      <c r="AG48" s="608"/>
      <c r="AH48" s="608"/>
      <c r="AI48" s="608"/>
      <c r="AJ48" s="608"/>
      <c r="AK48" s="474"/>
    </row>
    <row r="49" spans="1:37" x14ac:dyDescent="0.2">
      <c r="A49" s="474"/>
      <c r="B49" s="474"/>
      <c r="C49" s="474"/>
      <c r="D49" s="608"/>
      <c r="E49" s="608"/>
      <c r="F49" s="608"/>
      <c r="G49" s="608"/>
      <c r="H49" s="608"/>
      <c r="I49" s="608"/>
      <c r="J49" s="608"/>
      <c r="K49" s="608"/>
      <c r="L49" s="608"/>
      <c r="M49" s="608"/>
      <c r="N49" s="608"/>
      <c r="O49" s="608"/>
      <c r="P49" s="608"/>
      <c r="Q49" s="608"/>
      <c r="R49" s="608"/>
      <c r="S49" s="608"/>
      <c r="T49" s="608"/>
      <c r="U49" s="608"/>
      <c r="V49" s="608"/>
      <c r="W49" s="608"/>
      <c r="X49" s="608"/>
      <c r="Y49" s="608"/>
      <c r="Z49" s="608"/>
      <c r="AA49" s="608"/>
      <c r="AB49" s="608"/>
      <c r="AC49" s="608"/>
      <c r="AD49" s="608"/>
      <c r="AE49" s="608"/>
      <c r="AF49" s="608"/>
      <c r="AG49" s="608"/>
      <c r="AH49" s="608"/>
      <c r="AI49" s="608"/>
      <c r="AJ49" s="608"/>
      <c r="AK49" s="474"/>
    </row>
    <row r="50" spans="1:37" x14ac:dyDescent="0.2">
      <c r="A50" s="474"/>
      <c r="B50" s="474"/>
      <c r="C50" s="474"/>
      <c r="D50" s="608"/>
      <c r="E50" s="608"/>
      <c r="F50" s="608"/>
      <c r="G50" s="608"/>
      <c r="H50" s="608"/>
      <c r="I50" s="608"/>
      <c r="J50" s="608"/>
      <c r="K50" s="608"/>
      <c r="L50" s="608"/>
      <c r="M50" s="608"/>
      <c r="N50" s="608"/>
      <c r="O50" s="608"/>
      <c r="P50" s="608"/>
      <c r="Q50" s="608"/>
      <c r="R50" s="608"/>
      <c r="S50" s="608"/>
      <c r="T50" s="608"/>
      <c r="U50" s="608"/>
      <c r="V50" s="608"/>
      <c r="W50" s="608"/>
      <c r="X50" s="608"/>
      <c r="Y50" s="608"/>
      <c r="Z50" s="608"/>
      <c r="AA50" s="608"/>
      <c r="AB50" s="608"/>
      <c r="AC50" s="608"/>
      <c r="AD50" s="608"/>
      <c r="AE50" s="608"/>
      <c r="AF50" s="608"/>
      <c r="AG50" s="608"/>
      <c r="AH50" s="608"/>
      <c r="AI50" s="608"/>
      <c r="AJ50" s="608"/>
      <c r="AK50" s="474"/>
    </row>
    <row r="51" spans="1:37" x14ac:dyDescent="0.2">
      <c r="A51" s="474"/>
      <c r="B51" s="474"/>
      <c r="C51" s="474"/>
      <c r="D51" s="608"/>
      <c r="E51" s="608"/>
      <c r="F51" s="608"/>
      <c r="G51" s="608"/>
      <c r="H51" s="608"/>
      <c r="I51" s="608"/>
      <c r="J51" s="608"/>
      <c r="K51" s="608"/>
      <c r="L51" s="608"/>
      <c r="M51" s="608"/>
      <c r="N51" s="608"/>
      <c r="O51" s="608"/>
      <c r="P51" s="608"/>
      <c r="Q51" s="608"/>
      <c r="R51" s="608"/>
      <c r="S51" s="608"/>
      <c r="T51" s="608"/>
      <c r="U51" s="608"/>
      <c r="V51" s="608"/>
      <c r="W51" s="608"/>
      <c r="X51" s="608"/>
      <c r="Y51" s="608"/>
      <c r="Z51" s="608"/>
      <c r="AA51" s="608"/>
      <c r="AB51" s="608"/>
      <c r="AC51" s="608"/>
      <c r="AD51" s="608"/>
      <c r="AE51" s="608"/>
      <c r="AF51" s="608"/>
      <c r="AG51" s="608"/>
      <c r="AH51" s="608"/>
      <c r="AI51" s="608"/>
      <c r="AJ51" s="608"/>
      <c r="AK51" s="474"/>
    </row>
    <row r="52" spans="1:37" x14ac:dyDescent="0.2">
      <c r="A52" s="474"/>
      <c r="B52" s="474"/>
      <c r="C52" s="474"/>
      <c r="D52" s="608"/>
      <c r="E52" s="608"/>
      <c r="F52" s="608"/>
      <c r="G52" s="608"/>
      <c r="H52" s="608"/>
      <c r="I52" s="608"/>
      <c r="J52" s="608"/>
      <c r="K52" s="608"/>
      <c r="L52" s="608"/>
      <c r="M52" s="608"/>
      <c r="N52" s="608"/>
      <c r="O52" s="608"/>
      <c r="P52" s="608"/>
      <c r="Q52" s="608"/>
      <c r="R52" s="608"/>
      <c r="S52" s="608"/>
      <c r="T52" s="608"/>
      <c r="U52" s="608"/>
      <c r="V52" s="608"/>
      <c r="W52" s="608"/>
      <c r="X52" s="608"/>
      <c r="Y52" s="608"/>
      <c r="Z52" s="608"/>
      <c r="AA52" s="608"/>
      <c r="AB52" s="608"/>
      <c r="AC52" s="608"/>
      <c r="AD52" s="608"/>
      <c r="AE52" s="608"/>
      <c r="AF52" s="608"/>
      <c r="AG52" s="608"/>
      <c r="AH52" s="608"/>
      <c r="AI52" s="608"/>
      <c r="AJ52" s="608"/>
      <c r="AK52" s="474"/>
    </row>
    <row r="53" spans="1:37" x14ac:dyDescent="0.2">
      <c r="A53" s="474"/>
      <c r="B53" s="474"/>
      <c r="C53" s="474"/>
      <c r="D53" s="608"/>
      <c r="E53" s="608"/>
      <c r="F53" s="608"/>
      <c r="G53" s="608"/>
      <c r="H53" s="608"/>
      <c r="I53" s="608"/>
      <c r="J53" s="608"/>
      <c r="K53" s="608"/>
      <c r="L53" s="608"/>
      <c r="M53" s="608"/>
      <c r="N53" s="608"/>
      <c r="O53" s="608"/>
      <c r="P53" s="608"/>
      <c r="Q53" s="608"/>
      <c r="R53" s="608"/>
      <c r="S53" s="608"/>
      <c r="T53" s="608"/>
      <c r="U53" s="608"/>
      <c r="V53" s="608"/>
      <c r="W53" s="608"/>
      <c r="X53" s="608"/>
      <c r="Y53" s="608"/>
      <c r="Z53" s="608"/>
      <c r="AA53" s="608"/>
      <c r="AB53" s="608"/>
      <c r="AC53" s="608"/>
      <c r="AD53" s="608"/>
      <c r="AE53" s="608"/>
      <c r="AF53" s="608"/>
      <c r="AG53" s="608"/>
      <c r="AH53" s="608"/>
      <c r="AI53" s="608"/>
      <c r="AJ53" s="608"/>
      <c r="AK53" s="474"/>
    </row>
    <row r="54" spans="1:37" x14ac:dyDescent="0.2">
      <c r="A54" s="474"/>
      <c r="B54" s="474"/>
      <c r="C54" s="474"/>
      <c r="D54" s="608"/>
      <c r="E54" s="608"/>
      <c r="F54" s="608"/>
      <c r="G54" s="608"/>
      <c r="H54" s="608"/>
      <c r="I54" s="608"/>
      <c r="J54" s="608"/>
      <c r="K54" s="608"/>
      <c r="L54" s="608"/>
      <c r="M54" s="608"/>
      <c r="N54" s="608"/>
      <c r="O54" s="608"/>
      <c r="P54" s="608"/>
      <c r="Q54" s="608"/>
      <c r="R54" s="608"/>
      <c r="S54" s="608"/>
      <c r="T54" s="608"/>
      <c r="U54" s="608"/>
      <c r="V54" s="608"/>
      <c r="W54" s="608"/>
      <c r="X54" s="608"/>
      <c r="Y54" s="608"/>
      <c r="Z54" s="608"/>
      <c r="AA54" s="608"/>
      <c r="AB54" s="608"/>
      <c r="AC54" s="608"/>
      <c r="AD54" s="608"/>
      <c r="AE54" s="608"/>
      <c r="AF54" s="608"/>
      <c r="AG54" s="608"/>
      <c r="AH54" s="608"/>
      <c r="AI54" s="608"/>
      <c r="AJ54" s="608"/>
      <c r="AK54" s="474"/>
    </row>
    <row r="55" spans="1:37" x14ac:dyDescent="0.2">
      <c r="A55" s="474"/>
      <c r="B55" s="474"/>
      <c r="C55" s="474"/>
      <c r="D55" s="608"/>
      <c r="E55" s="608"/>
      <c r="F55" s="608"/>
      <c r="G55" s="608"/>
      <c r="H55" s="608"/>
      <c r="I55" s="608"/>
      <c r="J55" s="608"/>
      <c r="K55" s="608"/>
      <c r="L55" s="608"/>
      <c r="M55" s="608"/>
      <c r="N55" s="608"/>
      <c r="O55" s="608"/>
      <c r="P55" s="608"/>
      <c r="Q55" s="608"/>
      <c r="R55" s="608"/>
      <c r="S55" s="608"/>
      <c r="T55" s="608"/>
      <c r="U55" s="608"/>
      <c r="V55" s="608"/>
      <c r="W55" s="608"/>
      <c r="X55" s="608"/>
      <c r="Y55" s="608"/>
      <c r="Z55" s="608"/>
      <c r="AA55" s="608"/>
      <c r="AB55" s="608"/>
      <c r="AC55" s="608"/>
      <c r="AD55" s="608"/>
      <c r="AE55" s="608"/>
      <c r="AF55" s="608"/>
      <c r="AG55" s="608"/>
      <c r="AH55" s="608"/>
      <c r="AI55" s="608"/>
      <c r="AJ55" s="608"/>
      <c r="AK55" s="474"/>
    </row>
    <row r="56" spans="1:37" x14ac:dyDescent="0.2">
      <c r="A56" s="474"/>
      <c r="B56" s="474"/>
      <c r="C56" s="474"/>
      <c r="D56" s="608"/>
      <c r="E56" s="608"/>
      <c r="F56" s="608"/>
      <c r="G56" s="608"/>
      <c r="H56" s="608"/>
      <c r="I56" s="608"/>
      <c r="J56" s="608"/>
      <c r="K56" s="608"/>
      <c r="L56" s="608"/>
      <c r="M56" s="608"/>
      <c r="N56" s="608"/>
      <c r="O56" s="608"/>
      <c r="P56" s="608"/>
      <c r="Q56" s="608"/>
      <c r="R56" s="608"/>
      <c r="S56" s="608"/>
      <c r="T56" s="608"/>
      <c r="U56" s="608"/>
      <c r="V56" s="608"/>
      <c r="W56" s="608"/>
      <c r="X56" s="608"/>
      <c r="Y56" s="608"/>
      <c r="Z56" s="608"/>
      <c r="AA56" s="608"/>
      <c r="AB56" s="608"/>
      <c r="AC56" s="608"/>
      <c r="AD56" s="608"/>
      <c r="AE56" s="608"/>
      <c r="AF56" s="608"/>
      <c r="AG56" s="608"/>
      <c r="AH56" s="608"/>
      <c r="AI56" s="608"/>
      <c r="AJ56" s="608"/>
      <c r="AK56" s="474"/>
    </row>
    <row r="57" spans="1:37" x14ac:dyDescent="0.2">
      <c r="A57" s="474"/>
      <c r="B57" s="474"/>
      <c r="C57" s="474"/>
      <c r="D57" s="608"/>
      <c r="E57" s="608"/>
      <c r="F57" s="608"/>
      <c r="G57" s="608"/>
      <c r="H57" s="608"/>
      <c r="I57" s="608"/>
      <c r="J57" s="608"/>
      <c r="K57" s="608"/>
      <c r="L57" s="608"/>
      <c r="M57" s="608"/>
      <c r="N57" s="608"/>
      <c r="O57" s="608"/>
      <c r="P57" s="608"/>
      <c r="Q57" s="608"/>
      <c r="R57" s="608"/>
      <c r="S57" s="608"/>
      <c r="T57" s="608"/>
      <c r="U57" s="608"/>
      <c r="V57" s="608"/>
      <c r="W57" s="608"/>
      <c r="X57" s="608"/>
      <c r="Y57" s="608"/>
      <c r="Z57" s="608"/>
      <c r="AA57" s="608"/>
      <c r="AB57" s="608"/>
      <c r="AC57" s="608"/>
      <c r="AD57" s="608"/>
      <c r="AE57" s="608"/>
      <c r="AF57" s="608"/>
      <c r="AG57" s="608"/>
      <c r="AH57" s="608"/>
      <c r="AI57" s="608"/>
      <c r="AJ57" s="608"/>
      <c r="AK57" s="474"/>
    </row>
    <row r="58" spans="1:37" x14ac:dyDescent="0.2">
      <c r="A58" s="474"/>
      <c r="B58" s="474"/>
      <c r="C58" s="474"/>
      <c r="D58" s="608"/>
      <c r="E58" s="608"/>
      <c r="F58" s="608"/>
      <c r="G58" s="608"/>
      <c r="H58" s="608"/>
      <c r="I58" s="608"/>
      <c r="J58" s="608"/>
      <c r="K58" s="608"/>
      <c r="L58" s="608"/>
      <c r="M58" s="608"/>
      <c r="N58" s="608"/>
      <c r="O58" s="608"/>
      <c r="P58" s="608"/>
      <c r="Q58" s="608"/>
      <c r="R58" s="608"/>
      <c r="S58" s="608"/>
      <c r="T58" s="608"/>
      <c r="U58" s="608"/>
      <c r="V58" s="608"/>
      <c r="W58" s="608"/>
      <c r="X58" s="608"/>
      <c r="Y58" s="608"/>
      <c r="Z58" s="608"/>
      <c r="AA58" s="608"/>
      <c r="AB58" s="608"/>
      <c r="AC58" s="608"/>
      <c r="AD58" s="608"/>
      <c r="AE58" s="608"/>
      <c r="AF58" s="608"/>
      <c r="AG58" s="608"/>
      <c r="AH58" s="608"/>
      <c r="AI58" s="608"/>
      <c r="AJ58" s="608"/>
      <c r="AK58" s="474"/>
    </row>
    <row r="59" spans="1:37" x14ac:dyDescent="0.2">
      <c r="A59" s="474"/>
      <c r="B59" s="474"/>
      <c r="C59" s="474"/>
      <c r="D59" s="608"/>
      <c r="E59" s="608"/>
      <c r="F59" s="608"/>
      <c r="G59" s="608"/>
      <c r="H59" s="608"/>
      <c r="I59" s="608"/>
      <c r="J59" s="608"/>
      <c r="K59" s="608"/>
      <c r="L59" s="608"/>
      <c r="M59" s="608"/>
      <c r="N59" s="608"/>
      <c r="O59" s="608"/>
      <c r="P59" s="608"/>
      <c r="Q59" s="608"/>
      <c r="R59" s="608"/>
      <c r="S59" s="608"/>
      <c r="T59" s="608"/>
      <c r="U59" s="608"/>
      <c r="V59" s="608"/>
      <c r="W59" s="608"/>
      <c r="X59" s="608"/>
      <c r="Y59" s="608"/>
      <c r="Z59" s="608"/>
      <c r="AA59" s="608"/>
      <c r="AB59" s="608"/>
      <c r="AC59" s="608"/>
      <c r="AD59" s="608"/>
      <c r="AE59" s="608"/>
      <c r="AF59" s="608"/>
      <c r="AG59" s="608"/>
      <c r="AH59" s="608"/>
      <c r="AI59" s="608"/>
      <c r="AJ59" s="608"/>
      <c r="AK59" s="474"/>
    </row>
    <row r="60" spans="1:37" x14ac:dyDescent="0.2">
      <c r="A60" s="474"/>
      <c r="B60" s="474"/>
      <c r="C60" s="474"/>
      <c r="D60" s="608"/>
      <c r="E60" s="608"/>
      <c r="F60" s="608"/>
      <c r="G60" s="608"/>
      <c r="H60" s="608"/>
      <c r="I60" s="608"/>
      <c r="J60" s="608"/>
      <c r="K60" s="608"/>
      <c r="L60" s="608"/>
      <c r="M60" s="608"/>
      <c r="N60" s="608"/>
      <c r="O60" s="608"/>
      <c r="P60" s="608"/>
      <c r="Q60" s="608"/>
      <c r="R60" s="608"/>
      <c r="S60" s="608"/>
      <c r="T60" s="608"/>
      <c r="U60" s="608"/>
      <c r="V60" s="608"/>
      <c r="W60" s="608"/>
      <c r="X60" s="608"/>
      <c r="Y60" s="608"/>
      <c r="Z60" s="608"/>
      <c r="AA60" s="608"/>
      <c r="AB60" s="608"/>
      <c r="AC60" s="608"/>
      <c r="AD60" s="608"/>
      <c r="AE60" s="608"/>
      <c r="AF60" s="608"/>
      <c r="AG60" s="608"/>
      <c r="AH60" s="608"/>
      <c r="AI60" s="608"/>
      <c r="AJ60" s="608"/>
      <c r="AK60" s="474"/>
    </row>
    <row r="61" spans="1:37" x14ac:dyDescent="0.2">
      <c r="A61" s="474"/>
      <c r="B61" s="474"/>
      <c r="C61" s="474"/>
      <c r="D61" s="608"/>
      <c r="E61" s="608"/>
      <c r="F61" s="608"/>
      <c r="G61" s="608"/>
      <c r="H61" s="608"/>
      <c r="I61" s="608"/>
      <c r="J61" s="608"/>
      <c r="K61" s="608"/>
      <c r="L61" s="608"/>
      <c r="M61" s="608"/>
      <c r="N61" s="608"/>
      <c r="O61" s="608"/>
      <c r="P61" s="608"/>
      <c r="Q61" s="608"/>
      <c r="R61" s="608"/>
      <c r="S61" s="608"/>
      <c r="T61" s="608"/>
      <c r="U61" s="608"/>
      <c r="V61" s="608"/>
      <c r="W61" s="608"/>
      <c r="X61" s="608"/>
      <c r="Y61" s="608"/>
      <c r="Z61" s="608"/>
      <c r="AA61" s="608"/>
      <c r="AB61" s="608"/>
      <c r="AC61" s="608"/>
      <c r="AD61" s="608"/>
      <c r="AE61" s="608"/>
      <c r="AF61" s="608"/>
      <c r="AG61" s="608"/>
      <c r="AH61" s="608"/>
      <c r="AI61" s="608"/>
      <c r="AJ61" s="608"/>
      <c r="AK61" s="474"/>
    </row>
    <row r="62" spans="1:37" x14ac:dyDescent="0.2">
      <c r="A62" s="474"/>
      <c r="B62" s="474"/>
      <c r="C62" s="474"/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474"/>
    </row>
    <row r="63" spans="1:37" x14ac:dyDescent="0.2">
      <c r="A63" s="474"/>
      <c r="B63" s="474"/>
      <c r="C63" s="474"/>
      <c r="D63" s="608"/>
      <c r="E63" s="608"/>
      <c r="F63" s="608"/>
      <c r="G63" s="608"/>
      <c r="H63" s="608"/>
      <c r="I63" s="608"/>
      <c r="J63" s="608"/>
      <c r="K63" s="608"/>
      <c r="L63" s="608"/>
      <c r="M63" s="608"/>
      <c r="N63" s="608"/>
      <c r="O63" s="608"/>
      <c r="P63" s="608"/>
      <c r="Q63" s="608"/>
      <c r="R63" s="608"/>
      <c r="S63" s="608"/>
      <c r="T63" s="608"/>
      <c r="U63" s="608"/>
      <c r="V63" s="608"/>
      <c r="W63" s="608"/>
      <c r="X63" s="608"/>
      <c r="Y63" s="608"/>
      <c r="Z63" s="608"/>
      <c r="AA63" s="608"/>
      <c r="AB63" s="608"/>
      <c r="AC63" s="608"/>
      <c r="AD63" s="608"/>
      <c r="AE63" s="608"/>
      <c r="AF63" s="608"/>
      <c r="AG63" s="608"/>
      <c r="AH63" s="608"/>
      <c r="AI63" s="608"/>
      <c r="AJ63" s="608"/>
      <c r="AK63" s="474"/>
    </row>
    <row r="64" spans="1:37" x14ac:dyDescent="0.2">
      <c r="A64" s="474"/>
      <c r="B64" s="474"/>
      <c r="C64" s="474"/>
      <c r="D64" s="608"/>
      <c r="E64" s="608"/>
      <c r="F64" s="608"/>
      <c r="G64" s="608"/>
      <c r="H64" s="608"/>
      <c r="I64" s="608"/>
      <c r="J64" s="608"/>
      <c r="K64" s="608"/>
      <c r="L64" s="608"/>
      <c r="M64" s="608"/>
      <c r="N64" s="608"/>
      <c r="O64" s="608"/>
      <c r="P64" s="608"/>
      <c r="Q64" s="608"/>
      <c r="R64" s="608"/>
      <c r="S64" s="608"/>
      <c r="T64" s="608"/>
      <c r="U64" s="608"/>
      <c r="V64" s="608"/>
      <c r="W64" s="608"/>
      <c r="X64" s="608"/>
      <c r="Y64" s="608"/>
      <c r="Z64" s="608"/>
      <c r="AA64" s="608"/>
      <c r="AB64" s="608"/>
      <c r="AC64" s="608"/>
      <c r="AD64" s="608"/>
      <c r="AE64" s="608"/>
      <c r="AF64" s="608"/>
      <c r="AG64" s="608"/>
      <c r="AH64" s="608"/>
      <c r="AI64" s="608"/>
      <c r="AJ64" s="608"/>
      <c r="AK64" s="474"/>
    </row>
  </sheetData>
  <sheetProtection password="CC5E" sheet="1" objects="1" scenarios="1" selectLockedCells="1" selectUnlockedCells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142"/>
  <sheetViews>
    <sheetView topLeftCell="A4" zoomScale="90" zoomScaleNormal="90" workbookViewId="0">
      <selection activeCell="AI96" sqref="AI96"/>
    </sheetView>
  </sheetViews>
  <sheetFormatPr defaultRowHeight="12.75" x14ac:dyDescent="0.2"/>
  <cols>
    <col min="1" max="1" width="6.28515625" style="148" customWidth="1"/>
    <col min="2" max="2" width="35.42578125" style="148" customWidth="1"/>
    <col min="3" max="5" width="10" style="148" customWidth="1"/>
    <col min="6" max="6" width="8.85546875" style="148" customWidth="1"/>
    <col min="7" max="9" width="9.140625" style="148" customWidth="1"/>
    <col min="10" max="10" width="9.42578125" style="196" customWidth="1"/>
    <col min="11" max="11" width="9.5703125" style="148" customWidth="1"/>
    <col min="12" max="12" width="9.7109375" style="148" customWidth="1"/>
    <col min="13" max="14" width="9.5703125" style="148" customWidth="1"/>
    <col min="15" max="15" width="10" style="148" customWidth="1"/>
    <col min="16" max="16" width="9.5703125" style="364" customWidth="1"/>
    <col min="17" max="35" width="10.140625" style="148" customWidth="1"/>
    <col min="36" max="16384" width="9.140625" style="148"/>
  </cols>
  <sheetData>
    <row r="1" spans="1:35" hidden="1" x14ac:dyDescent="0.2">
      <c r="A1" s="667" t="s">
        <v>45</v>
      </c>
      <c r="B1" s="667"/>
      <c r="C1" s="667"/>
      <c r="D1" s="667"/>
      <c r="E1" s="667"/>
      <c r="F1" s="667"/>
      <c r="G1" s="146" t="e">
        <f>G9/(G9-G16)*100</f>
        <v>#DIV/0!</v>
      </c>
      <c r="H1" s="146" t="e">
        <f t="shared" ref="H1:AI1" si="0">H9/(H9-H16)*100</f>
        <v>#DIV/0!</v>
      </c>
      <c r="I1" s="146" t="e">
        <f t="shared" si="0"/>
        <v>#DIV/0!</v>
      </c>
      <c r="J1" s="146" t="e">
        <f t="shared" si="0"/>
        <v>#DIV/0!</v>
      </c>
      <c r="K1" s="146" t="e">
        <f t="shared" si="0"/>
        <v>#DIV/0!</v>
      </c>
      <c r="L1" s="146" t="e">
        <f t="shared" si="0"/>
        <v>#DIV/0!</v>
      </c>
      <c r="M1" s="146" t="e">
        <f t="shared" si="0"/>
        <v>#DIV/0!</v>
      </c>
      <c r="N1" s="146" t="e">
        <f t="shared" si="0"/>
        <v>#DIV/0!</v>
      </c>
      <c r="O1" s="146" t="e">
        <f t="shared" si="0"/>
        <v>#DIV/0!</v>
      </c>
      <c r="P1" s="147" t="e">
        <f t="shared" si="0"/>
        <v>#DIV/0!</v>
      </c>
      <c r="Q1" s="146" t="e">
        <f t="shared" si="0"/>
        <v>#DIV/0!</v>
      </c>
      <c r="R1" s="146" t="e">
        <f t="shared" si="0"/>
        <v>#DIV/0!</v>
      </c>
      <c r="S1" s="146" t="e">
        <f t="shared" si="0"/>
        <v>#DIV/0!</v>
      </c>
      <c r="T1" s="146" t="e">
        <f t="shared" si="0"/>
        <v>#DIV/0!</v>
      </c>
      <c r="U1" s="146" t="e">
        <f t="shared" si="0"/>
        <v>#DIV/0!</v>
      </c>
      <c r="V1" s="146" t="e">
        <f t="shared" si="0"/>
        <v>#DIV/0!</v>
      </c>
      <c r="W1" s="146" t="e">
        <f t="shared" si="0"/>
        <v>#DIV/0!</v>
      </c>
      <c r="X1" s="146" t="e">
        <f t="shared" si="0"/>
        <v>#DIV/0!</v>
      </c>
      <c r="Y1" s="146" t="e">
        <f t="shared" si="0"/>
        <v>#DIV/0!</v>
      </c>
      <c r="Z1" s="146" t="e">
        <f t="shared" si="0"/>
        <v>#DIV/0!</v>
      </c>
      <c r="AA1" s="146" t="e">
        <f t="shared" si="0"/>
        <v>#DIV/0!</v>
      </c>
      <c r="AB1" s="146" t="e">
        <f t="shared" si="0"/>
        <v>#DIV/0!</v>
      </c>
      <c r="AC1" s="146" t="e">
        <f t="shared" si="0"/>
        <v>#DIV/0!</v>
      </c>
      <c r="AD1" s="146" t="e">
        <f t="shared" si="0"/>
        <v>#DIV/0!</v>
      </c>
      <c r="AE1" s="146" t="e">
        <f t="shared" si="0"/>
        <v>#DIV/0!</v>
      </c>
      <c r="AF1" s="146" t="e">
        <f t="shared" si="0"/>
        <v>#DIV/0!</v>
      </c>
      <c r="AG1" s="146" t="e">
        <f t="shared" si="0"/>
        <v>#DIV/0!</v>
      </c>
      <c r="AH1" s="146" t="e">
        <f t="shared" si="0"/>
        <v>#DIV/0!</v>
      </c>
      <c r="AI1" s="146" t="e">
        <f t="shared" si="0"/>
        <v>#DIV/0!</v>
      </c>
    </row>
    <row r="2" spans="1:35" hidden="1" x14ac:dyDescent="0.2">
      <c r="A2" s="667" t="s">
        <v>46</v>
      </c>
      <c r="B2" s="667"/>
      <c r="C2" s="667"/>
      <c r="D2" s="667"/>
      <c r="E2" s="667"/>
      <c r="F2" s="667"/>
      <c r="G2" s="146" t="e">
        <f>G11/(G11-G17)*100</f>
        <v>#DIV/0!</v>
      </c>
      <c r="H2" s="146" t="e">
        <f t="shared" ref="H2:AI2" si="1">H11/(H11-H17)*100</f>
        <v>#DIV/0!</v>
      </c>
      <c r="I2" s="146" t="e">
        <f t="shared" si="1"/>
        <v>#DIV/0!</v>
      </c>
      <c r="J2" s="146" t="e">
        <f t="shared" si="1"/>
        <v>#DIV/0!</v>
      </c>
      <c r="K2" s="146" t="e">
        <f t="shared" si="1"/>
        <v>#DIV/0!</v>
      </c>
      <c r="L2" s="146" t="e">
        <f t="shared" si="1"/>
        <v>#DIV/0!</v>
      </c>
      <c r="M2" s="146" t="e">
        <f t="shared" si="1"/>
        <v>#DIV/0!</v>
      </c>
      <c r="N2" s="146" t="e">
        <f t="shared" si="1"/>
        <v>#DIV/0!</v>
      </c>
      <c r="O2" s="146" t="e">
        <f t="shared" si="1"/>
        <v>#DIV/0!</v>
      </c>
      <c r="P2" s="147" t="e">
        <f t="shared" si="1"/>
        <v>#DIV/0!</v>
      </c>
      <c r="Q2" s="146" t="e">
        <f t="shared" si="1"/>
        <v>#DIV/0!</v>
      </c>
      <c r="R2" s="146" t="e">
        <f t="shared" si="1"/>
        <v>#DIV/0!</v>
      </c>
      <c r="S2" s="146" t="e">
        <f t="shared" si="1"/>
        <v>#DIV/0!</v>
      </c>
      <c r="T2" s="146" t="e">
        <f t="shared" si="1"/>
        <v>#DIV/0!</v>
      </c>
      <c r="U2" s="146" t="e">
        <f t="shared" si="1"/>
        <v>#DIV/0!</v>
      </c>
      <c r="V2" s="146" t="e">
        <f t="shared" si="1"/>
        <v>#DIV/0!</v>
      </c>
      <c r="W2" s="146" t="e">
        <f t="shared" si="1"/>
        <v>#DIV/0!</v>
      </c>
      <c r="X2" s="146" t="e">
        <f t="shared" si="1"/>
        <v>#DIV/0!</v>
      </c>
      <c r="Y2" s="146" t="e">
        <f t="shared" si="1"/>
        <v>#DIV/0!</v>
      </c>
      <c r="Z2" s="146" t="e">
        <f t="shared" si="1"/>
        <v>#DIV/0!</v>
      </c>
      <c r="AA2" s="146" t="e">
        <f t="shared" si="1"/>
        <v>#DIV/0!</v>
      </c>
      <c r="AB2" s="146" t="e">
        <f t="shared" si="1"/>
        <v>#DIV/0!</v>
      </c>
      <c r="AC2" s="146" t="e">
        <f t="shared" si="1"/>
        <v>#DIV/0!</v>
      </c>
      <c r="AD2" s="146" t="e">
        <f t="shared" si="1"/>
        <v>#DIV/0!</v>
      </c>
      <c r="AE2" s="146" t="e">
        <f t="shared" si="1"/>
        <v>#DIV/0!</v>
      </c>
      <c r="AF2" s="146" t="e">
        <f t="shared" si="1"/>
        <v>#DIV/0!</v>
      </c>
      <c r="AG2" s="146" t="e">
        <f t="shared" si="1"/>
        <v>#DIV/0!</v>
      </c>
      <c r="AH2" s="146" t="e">
        <f t="shared" si="1"/>
        <v>#DIV/0!</v>
      </c>
      <c r="AI2" s="146" t="e">
        <f t="shared" si="1"/>
        <v>#DIV/0!</v>
      </c>
    </row>
    <row r="3" spans="1:35" hidden="1" x14ac:dyDescent="0.2">
      <c r="A3" s="667" t="s">
        <v>47</v>
      </c>
      <c r="B3" s="667"/>
      <c r="C3" s="667"/>
      <c r="D3" s="667"/>
      <c r="E3" s="667"/>
      <c r="F3" s="667"/>
      <c r="G3" s="146" t="e">
        <f>G13/(G13-G18)*100</f>
        <v>#DIV/0!</v>
      </c>
      <c r="H3" s="146" t="e">
        <f t="shared" ref="H3:AI3" si="2">H13/(H13-H18)*100</f>
        <v>#DIV/0!</v>
      </c>
      <c r="I3" s="146" t="e">
        <f t="shared" si="2"/>
        <v>#DIV/0!</v>
      </c>
      <c r="J3" s="146" t="e">
        <f t="shared" si="2"/>
        <v>#DIV/0!</v>
      </c>
      <c r="K3" s="146" t="e">
        <f t="shared" si="2"/>
        <v>#DIV/0!</v>
      </c>
      <c r="L3" s="146" t="e">
        <f t="shared" si="2"/>
        <v>#DIV/0!</v>
      </c>
      <c r="M3" s="146" t="e">
        <f t="shared" si="2"/>
        <v>#DIV/0!</v>
      </c>
      <c r="N3" s="146" t="e">
        <f t="shared" si="2"/>
        <v>#DIV/0!</v>
      </c>
      <c r="O3" s="146" t="e">
        <f t="shared" si="2"/>
        <v>#DIV/0!</v>
      </c>
      <c r="P3" s="147" t="e">
        <f t="shared" si="2"/>
        <v>#DIV/0!</v>
      </c>
      <c r="Q3" s="146" t="e">
        <f t="shared" si="2"/>
        <v>#DIV/0!</v>
      </c>
      <c r="R3" s="146" t="e">
        <f t="shared" si="2"/>
        <v>#DIV/0!</v>
      </c>
      <c r="S3" s="146" t="e">
        <f t="shared" si="2"/>
        <v>#DIV/0!</v>
      </c>
      <c r="T3" s="146" t="e">
        <f t="shared" si="2"/>
        <v>#DIV/0!</v>
      </c>
      <c r="U3" s="146" t="e">
        <f t="shared" si="2"/>
        <v>#DIV/0!</v>
      </c>
      <c r="V3" s="146" t="e">
        <f t="shared" si="2"/>
        <v>#DIV/0!</v>
      </c>
      <c r="W3" s="146" t="e">
        <f t="shared" si="2"/>
        <v>#DIV/0!</v>
      </c>
      <c r="X3" s="146" t="e">
        <f t="shared" si="2"/>
        <v>#DIV/0!</v>
      </c>
      <c r="Y3" s="146" t="e">
        <f t="shared" si="2"/>
        <v>#DIV/0!</v>
      </c>
      <c r="Z3" s="146" t="e">
        <f t="shared" si="2"/>
        <v>#DIV/0!</v>
      </c>
      <c r="AA3" s="146" t="e">
        <f t="shared" si="2"/>
        <v>#DIV/0!</v>
      </c>
      <c r="AB3" s="146" t="e">
        <f t="shared" si="2"/>
        <v>#DIV/0!</v>
      </c>
      <c r="AC3" s="146" t="e">
        <f t="shared" si="2"/>
        <v>#DIV/0!</v>
      </c>
      <c r="AD3" s="146" t="e">
        <f t="shared" si="2"/>
        <v>#DIV/0!</v>
      </c>
      <c r="AE3" s="146" t="e">
        <f t="shared" si="2"/>
        <v>#DIV/0!</v>
      </c>
      <c r="AF3" s="146" t="e">
        <f t="shared" si="2"/>
        <v>#DIV/0!</v>
      </c>
      <c r="AG3" s="146" t="e">
        <f t="shared" si="2"/>
        <v>#DIV/0!</v>
      </c>
      <c r="AH3" s="146" t="e">
        <f t="shared" si="2"/>
        <v>#DIV/0!</v>
      </c>
      <c r="AI3" s="146" t="e">
        <f t="shared" si="2"/>
        <v>#DIV/0!</v>
      </c>
    </row>
    <row r="4" spans="1:35" s="151" customFormat="1" x14ac:dyDescent="0.2">
      <c r="A4" s="149"/>
      <c r="B4" s="149"/>
      <c r="C4" s="149"/>
      <c r="D4" s="149"/>
      <c r="E4" s="149"/>
      <c r="F4" s="150" t="s">
        <v>73</v>
      </c>
      <c r="G4" s="150" t="s">
        <v>74</v>
      </c>
      <c r="H4" s="150" t="s">
        <v>75</v>
      </c>
      <c r="I4" s="150" t="s">
        <v>76</v>
      </c>
      <c r="J4" s="150" t="s">
        <v>66</v>
      </c>
      <c r="K4" s="150" t="s">
        <v>63</v>
      </c>
      <c r="L4" s="150" t="s">
        <v>67</v>
      </c>
      <c r="M4" s="150" t="s">
        <v>68</v>
      </c>
      <c r="N4" s="150" t="s">
        <v>69</v>
      </c>
      <c r="O4" s="150" t="s">
        <v>70</v>
      </c>
      <c r="P4" s="150" t="s">
        <v>71</v>
      </c>
      <c r="Q4" s="150" t="s">
        <v>72</v>
      </c>
      <c r="R4" s="150" t="s">
        <v>73</v>
      </c>
      <c r="S4" s="150" t="s">
        <v>74</v>
      </c>
      <c r="T4" s="150" t="s">
        <v>75</v>
      </c>
      <c r="U4" s="150" t="s">
        <v>76</v>
      </c>
      <c r="V4" s="150" t="s">
        <v>66</v>
      </c>
      <c r="W4" s="150" t="s">
        <v>63</v>
      </c>
      <c r="X4" s="150" t="s">
        <v>67</v>
      </c>
      <c r="Y4" s="150" t="s">
        <v>68</v>
      </c>
      <c r="Z4" s="150" t="s">
        <v>69</v>
      </c>
      <c r="AA4" s="150" t="s">
        <v>70</v>
      </c>
      <c r="AB4" s="150" t="s">
        <v>71</v>
      </c>
      <c r="AC4" s="150" t="s">
        <v>72</v>
      </c>
      <c r="AD4" s="150" t="s">
        <v>73</v>
      </c>
      <c r="AE4" s="150" t="s">
        <v>74</v>
      </c>
      <c r="AF4" s="150" t="s">
        <v>75</v>
      </c>
      <c r="AG4" s="150" t="s">
        <v>76</v>
      </c>
      <c r="AH4" s="150" t="s">
        <v>66</v>
      </c>
      <c r="AI4" s="150" t="s">
        <v>63</v>
      </c>
    </row>
    <row r="5" spans="1:35" ht="14.25" customHeight="1" x14ac:dyDescent="0.3">
      <c r="A5" s="152" t="s">
        <v>202</v>
      </c>
      <c r="B5" s="153"/>
      <c r="C5" s="153"/>
      <c r="D5" s="153"/>
      <c r="E5" s="154">
        <v>1</v>
      </c>
      <c r="F5" s="154">
        <v>2</v>
      </c>
      <c r="G5" s="154">
        <v>3</v>
      </c>
      <c r="H5" s="154">
        <v>4</v>
      </c>
      <c r="I5" s="154">
        <v>5</v>
      </c>
      <c r="J5" s="154">
        <v>6</v>
      </c>
      <c r="K5" s="154">
        <v>7</v>
      </c>
      <c r="L5" s="154">
        <v>8</v>
      </c>
      <c r="M5" s="154">
        <v>9</v>
      </c>
      <c r="N5" s="154">
        <v>10</v>
      </c>
      <c r="O5" s="154">
        <v>11</v>
      </c>
      <c r="P5" s="154">
        <v>12</v>
      </c>
      <c r="Q5" s="154">
        <v>13</v>
      </c>
      <c r="R5" s="154">
        <v>14</v>
      </c>
      <c r="S5" s="154">
        <v>15</v>
      </c>
      <c r="T5" s="154">
        <v>16</v>
      </c>
      <c r="U5" s="154">
        <v>17</v>
      </c>
      <c r="V5" s="154">
        <v>18</v>
      </c>
      <c r="W5" s="154">
        <v>19</v>
      </c>
      <c r="X5" s="154">
        <v>20</v>
      </c>
      <c r="Y5" s="154">
        <v>21</v>
      </c>
      <c r="Z5" s="154">
        <v>22</v>
      </c>
      <c r="AA5" s="154">
        <v>23</v>
      </c>
      <c r="AB5" s="154">
        <v>24</v>
      </c>
      <c r="AC5" s="154">
        <v>25</v>
      </c>
      <c r="AD5" s="154">
        <v>26</v>
      </c>
      <c r="AE5" s="154">
        <v>27</v>
      </c>
      <c r="AF5" s="154">
        <v>28</v>
      </c>
      <c r="AG5" s="154">
        <v>29</v>
      </c>
      <c r="AH5" s="154">
        <v>30</v>
      </c>
      <c r="AI5" s="154">
        <v>31</v>
      </c>
    </row>
    <row r="6" spans="1:35" ht="14.25" hidden="1" customHeight="1" x14ac:dyDescent="0.3">
      <c r="A6" s="152"/>
      <c r="B6" s="153"/>
      <c r="C6" s="153"/>
      <c r="D6" s="155"/>
      <c r="E6" s="149" t="s">
        <v>54</v>
      </c>
      <c r="F6" s="156">
        <v>500000</v>
      </c>
      <c r="G6" s="157"/>
      <c r="H6" s="157"/>
      <c r="I6" s="157"/>
      <c r="J6" s="158"/>
      <c r="K6" s="157"/>
      <c r="L6" s="157"/>
      <c r="M6" s="157"/>
      <c r="N6" s="157"/>
      <c r="O6" s="157"/>
      <c r="P6" s="159"/>
      <c r="Q6" s="157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</row>
    <row r="7" spans="1:35" ht="15.75" thickBot="1" x14ac:dyDescent="0.3">
      <c r="A7" s="157"/>
      <c r="B7" s="153"/>
      <c r="C7" s="153"/>
      <c r="D7" s="160"/>
      <c r="E7" s="156">
        <v>0</v>
      </c>
      <c r="F7" s="156">
        <v>0</v>
      </c>
      <c r="G7" s="161"/>
      <c r="H7" s="161"/>
      <c r="I7" s="161"/>
      <c r="J7" s="162"/>
      <c r="K7" s="161"/>
      <c r="L7" s="161"/>
      <c r="M7" s="161"/>
      <c r="N7" s="161"/>
      <c r="O7" s="161"/>
      <c r="P7" s="163"/>
      <c r="Q7" s="161"/>
      <c r="R7" s="161"/>
      <c r="S7" s="164"/>
      <c r="T7" s="164"/>
      <c r="U7" s="164"/>
    </row>
    <row r="8" spans="1:35" ht="13.5" hidden="1" thickBot="1" x14ac:dyDescent="0.25">
      <c r="A8" s="165" t="s">
        <v>1</v>
      </c>
      <c r="B8" s="166"/>
      <c r="C8" s="166"/>
      <c r="D8" s="166"/>
      <c r="E8" s="166"/>
      <c r="F8" s="167"/>
      <c r="G8" s="168">
        <v>0</v>
      </c>
      <c r="H8" s="168">
        <v>0</v>
      </c>
      <c r="I8" s="168">
        <v>0</v>
      </c>
      <c r="J8" s="168">
        <v>0</v>
      </c>
      <c r="K8" s="168">
        <v>0</v>
      </c>
      <c r="L8" s="168">
        <v>0</v>
      </c>
      <c r="M8" s="168">
        <v>0</v>
      </c>
      <c r="N8" s="168">
        <v>0</v>
      </c>
      <c r="O8" s="168">
        <v>0</v>
      </c>
      <c r="P8" s="168">
        <v>0</v>
      </c>
      <c r="Q8" s="168">
        <v>0</v>
      </c>
      <c r="R8" s="168">
        <v>0</v>
      </c>
      <c r="S8" s="168">
        <v>0</v>
      </c>
      <c r="T8" s="168">
        <v>0</v>
      </c>
      <c r="U8" s="168">
        <v>0</v>
      </c>
      <c r="V8" s="168">
        <v>0</v>
      </c>
      <c r="W8" s="168">
        <v>0</v>
      </c>
      <c r="X8" s="168">
        <v>0</v>
      </c>
      <c r="Y8" s="168">
        <v>0</v>
      </c>
      <c r="Z8" s="168">
        <v>0</v>
      </c>
      <c r="AA8" s="168">
        <v>0</v>
      </c>
      <c r="AB8" s="168">
        <v>0</v>
      </c>
      <c r="AC8" s="168">
        <v>0</v>
      </c>
      <c r="AD8" s="168">
        <v>0</v>
      </c>
      <c r="AE8" s="168">
        <v>0</v>
      </c>
      <c r="AF8" s="168">
        <v>0</v>
      </c>
      <c r="AG8" s="168">
        <v>0</v>
      </c>
      <c r="AH8" s="168">
        <v>0</v>
      </c>
      <c r="AI8" s="169">
        <v>0</v>
      </c>
    </row>
    <row r="9" spans="1:35" ht="13.5" hidden="1" thickBot="1" x14ac:dyDescent="0.25">
      <c r="A9" s="170" t="s">
        <v>2</v>
      </c>
      <c r="B9" s="171"/>
      <c r="C9" s="171"/>
      <c r="D9" s="171"/>
      <c r="E9" s="171"/>
      <c r="F9" s="172"/>
      <c r="G9" s="173">
        <f>G8*30</f>
        <v>0</v>
      </c>
      <c r="H9" s="172">
        <f t="shared" ref="H9:AI9" si="3">H8*30</f>
        <v>0</v>
      </c>
      <c r="I9" s="172">
        <f t="shared" si="3"/>
        <v>0</v>
      </c>
      <c r="J9" s="174">
        <f t="shared" si="3"/>
        <v>0</v>
      </c>
      <c r="K9" s="172">
        <f t="shared" si="3"/>
        <v>0</v>
      </c>
      <c r="L9" s="172">
        <f t="shared" si="3"/>
        <v>0</v>
      </c>
      <c r="M9" s="172">
        <f t="shared" si="3"/>
        <v>0</v>
      </c>
      <c r="N9" s="172">
        <f t="shared" si="3"/>
        <v>0</v>
      </c>
      <c r="O9" s="172">
        <f>O8*30</f>
        <v>0</v>
      </c>
      <c r="P9" s="172">
        <f t="shared" si="3"/>
        <v>0</v>
      </c>
      <c r="Q9" s="172">
        <f t="shared" si="3"/>
        <v>0</v>
      </c>
      <c r="R9" s="172">
        <f t="shared" si="3"/>
        <v>0</v>
      </c>
      <c r="S9" s="172">
        <f t="shared" si="3"/>
        <v>0</v>
      </c>
      <c r="T9" s="172">
        <f t="shared" si="3"/>
        <v>0</v>
      </c>
      <c r="U9" s="172">
        <f t="shared" si="3"/>
        <v>0</v>
      </c>
      <c r="V9" s="172">
        <f t="shared" si="3"/>
        <v>0</v>
      </c>
      <c r="W9" s="172">
        <f t="shared" si="3"/>
        <v>0</v>
      </c>
      <c r="X9" s="172">
        <f t="shared" si="3"/>
        <v>0</v>
      </c>
      <c r="Y9" s="172">
        <f t="shared" si="3"/>
        <v>0</v>
      </c>
      <c r="Z9" s="172">
        <f t="shared" si="3"/>
        <v>0</v>
      </c>
      <c r="AA9" s="172">
        <f t="shared" si="3"/>
        <v>0</v>
      </c>
      <c r="AB9" s="172">
        <f t="shared" si="3"/>
        <v>0</v>
      </c>
      <c r="AC9" s="172">
        <f t="shared" si="3"/>
        <v>0</v>
      </c>
      <c r="AD9" s="172">
        <f t="shared" si="3"/>
        <v>0</v>
      </c>
      <c r="AE9" s="172">
        <f t="shared" si="3"/>
        <v>0</v>
      </c>
      <c r="AF9" s="172">
        <f t="shared" si="3"/>
        <v>0</v>
      </c>
      <c r="AG9" s="172">
        <f t="shared" si="3"/>
        <v>0</v>
      </c>
      <c r="AH9" s="172">
        <f t="shared" si="3"/>
        <v>0</v>
      </c>
      <c r="AI9" s="175">
        <f t="shared" si="3"/>
        <v>0</v>
      </c>
    </row>
    <row r="10" spans="1:35" hidden="1" x14ac:dyDescent="0.2">
      <c r="A10" s="165" t="s">
        <v>3</v>
      </c>
      <c r="B10" s="166"/>
      <c r="C10" s="166"/>
      <c r="D10" s="166"/>
      <c r="E10" s="166"/>
      <c r="F10" s="167"/>
      <c r="G10" s="176"/>
      <c r="H10" s="177"/>
      <c r="I10" s="177"/>
      <c r="J10" s="178"/>
      <c r="K10" s="177"/>
      <c r="L10" s="177"/>
      <c r="M10" s="177"/>
      <c r="N10" s="177"/>
      <c r="O10" s="177"/>
      <c r="P10" s="177"/>
      <c r="Q10" s="177"/>
      <c r="R10" s="177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9"/>
    </row>
    <row r="11" spans="1:35" hidden="1" x14ac:dyDescent="0.2">
      <c r="A11" s="180" t="s">
        <v>4</v>
      </c>
      <c r="B11" s="181"/>
      <c r="C11" s="181" t="s">
        <v>5</v>
      </c>
      <c r="D11" s="182">
        <v>0.96</v>
      </c>
      <c r="E11" s="181"/>
      <c r="F11" s="177"/>
      <c r="G11" s="183">
        <f>G9*$D11</f>
        <v>0</v>
      </c>
      <c r="H11" s="177">
        <f>H9*$D11</f>
        <v>0</v>
      </c>
      <c r="I11" s="177">
        <f>I9*$D11</f>
        <v>0</v>
      </c>
      <c r="J11" s="178">
        <f>J9*$D11</f>
        <v>0</v>
      </c>
      <c r="K11" s="177">
        <f t="shared" ref="K11:AI11" si="4">K9*$D11</f>
        <v>0</v>
      </c>
      <c r="L11" s="177">
        <f t="shared" si="4"/>
        <v>0</v>
      </c>
      <c r="M11" s="177">
        <f t="shared" si="4"/>
        <v>0</v>
      </c>
      <c r="N11" s="177">
        <f t="shared" si="4"/>
        <v>0</v>
      </c>
      <c r="O11" s="177">
        <f t="shared" si="4"/>
        <v>0</v>
      </c>
      <c r="P11" s="177">
        <f t="shared" si="4"/>
        <v>0</v>
      </c>
      <c r="Q11" s="177">
        <f t="shared" si="4"/>
        <v>0</v>
      </c>
      <c r="R11" s="177">
        <f t="shared" si="4"/>
        <v>0</v>
      </c>
      <c r="S11" s="178">
        <f t="shared" si="4"/>
        <v>0</v>
      </c>
      <c r="T11" s="178">
        <f t="shared" si="4"/>
        <v>0</v>
      </c>
      <c r="U11" s="178">
        <f t="shared" si="4"/>
        <v>0</v>
      </c>
      <c r="V11" s="178">
        <f t="shared" si="4"/>
        <v>0</v>
      </c>
      <c r="W11" s="178">
        <f t="shared" si="4"/>
        <v>0</v>
      </c>
      <c r="X11" s="178">
        <f t="shared" si="4"/>
        <v>0</v>
      </c>
      <c r="Y11" s="178">
        <f t="shared" si="4"/>
        <v>0</v>
      </c>
      <c r="Z11" s="178">
        <f t="shared" si="4"/>
        <v>0</v>
      </c>
      <c r="AA11" s="178">
        <f t="shared" si="4"/>
        <v>0</v>
      </c>
      <c r="AB11" s="178">
        <f t="shared" si="4"/>
        <v>0</v>
      </c>
      <c r="AC11" s="178">
        <f t="shared" si="4"/>
        <v>0</v>
      </c>
      <c r="AD11" s="178">
        <f t="shared" si="4"/>
        <v>0</v>
      </c>
      <c r="AE11" s="178">
        <f t="shared" si="4"/>
        <v>0</v>
      </c>
      <c r="AF11" s="178">
        <f t="shared" si="4"/>
        <v>0</v>
      </c>
      <c r="AG11" s="178">
        <f t="shared" si="4"/>
        <v>0</v>
      </c>
      <c r="AH11" s="178">
        <f t="shared" si="4"/>
        <v>0</v>
      </c>
      <c r="AI11" s="179">
        <f t="shared" si="4"/>
        <v>0</v>
      </c>
    </row>
    <row r="12" spans="1:35" hidden="1" x14ac:dyDescent="0.2">
      <c r="A12" s="180" t="s">
        <v>6</v>
      </c>
      <c r="B12" s="181"/>
      <c r="C12" s="181" t="s">
        <v>5</v>
      </c>
      <c r="D12" s="182">
        <v>0.16669999999999999</v>
      </c>
      <c r="E12" s="181"/>
      <c r="F12" s="177"/>
      <c r="G12" s="183">
        <f>G11*$D12</f>
        <v>0</v>
      </c>
      <c r="H12" s="177">
        <f>H11*$D12</f>
        <v>0</v>
      </c>
      <c r="I12" s="177">
        <f>I11*$D12</f>
        <v>0</v>
      </c>
      <c r="J12" s="178">
        <f>J11*$D12</f>
        <v>0</v>
      </c>
      <c r="K12" s="177">
        <f t="shared" ref="K12:AI12" si="5">K11*$D12</f>
        <v>0</v>
      </c>
      <c r="L12" s="177">
        <f t="shared" si="5"/>
        <v>0</v>
      </c>
      <c r="M12" s="177">
        <f t="shared" si="5"/>
        <v>0</v>
      </c>
      <c r="N12" s="177">
        <f t="shared" si="5"/>
        <v>0</v>
      </c>
      <c r="O12" s="177">
        <f t="shared" si="5"/>
        <v>0</v>
      </c>
      <c r="P12" s="177">
        <f t="shared" si="5"/>
        <v>0</v>
      </c>
      <c r="Q12" s="177">
        <f t="shared" si="5"/>
        <v>0</v>
      </c>
      <c r="R12" s="177">
        <f t="shared" si="5"/>
        <v>0</v>
      </c>
      <c r="S12" s="178">
        <f t="shared" si="5"/>
        <v>0</v>
      </c>
      <c r="T12" s="178">
        <f t="shared" si="5"/>
        <v>0</v>
      </c>
      <c r="U12" s="178">
        <f t="shared" si="5"/>
        <v>0</v>
      </c>
      <c r="V12" s="178">
        <f t="shared" si="5"/>
        <v>0</v>
      </c>
      <c r="W12" s="178">
        <f t="shared" si="5"/>
        <v>0</v>
      </c>
      <c r="X12" s="178">
        <f t="shared" si="5"/>
        <v>0</v>
      </c>
      <c r="Y12" s="178">
        <f t="shared" si="5"/>
        <v>0</v>
      </c>
      <c r="Z12" s="178">
        <f t="shared" si="5"/>
        <v>0</v>
      </c>
      <c r="AA12" s="178">
        <f t="shared" si="5"/>
        <v>0</v>
      </c>
      <c r="AB12" s="178">
        <f t="shared" si="5"/>
        <v>0</v>
      </c>
      <c r="AC12" s="178">
        <f t="shared" si="5"/>
        <v>0</v>
      </c>
      <c r="AD12" s="178">
        <f t="shared" si="5"/>
        <v>0</v>
      </c>
      <c r="AE12" s="178">
        <f t="shared" si="5"/>
        <v>0</v>
      </c>
      <c r="AF12" s="178">
        <f t="shared" si="5"/>
        <v>0</v>
      </c>
      <c r="AG12" s="178">
        <f t="shared" si="5"/>
        <v>0</v>
      </c>
      <c r="AH12" s="178">
        <f t="shared" si="5"/>
        <v>0</v>
      </c>
      <c r="AI12" s="179">
        <f t="shared" si="5"/>
        <v>0</v>
      </c>
    </row>
    <row r="13" spans="1:35" ht="13.5" hidden="1" thickBot="1" x14ac:dyDescent="0.25">
      <c r="A13" s="170" t="s">
        <v>7</v>
      </c>
      <c r="B13" s="171"/>
      <c r="C13" s="171" t="s">
        <v>5</v>
      </c>
      <c r="D13" s="184">
        <v>0.04</v>
      </c>
      <c r="E13" s="171"/>
      <c r="F13" s="172"/>
      <c r="G13" s="173">
        <f t="shared" ref="G13:AI13" si="6">G9*$D13</f>
        <v>0</v>
      </c>
      <c r="H13" s="172">
        <f t="shared" si="6"/>
        <v>0</v>
      </c>
      <c r="I13" s="172">
        <f t="shared" si="6"/>
        <v>0</v>
      </c>
      <c r="J13" s="174">
        <f t="shared" si="6"/>
        <v>0</v>
      </c>
      <c r="K13" s="172">
        <f t="shared" si="6"/>
        <v>0</v>
      </c>
      <c r="L13" s="172">
        <f t="shared" si="6"/>
        <v>0</v>
      </c>
      <c r="M13" s="172">
        <f t="shared" si="6"/>
        <v>0</v>
      </c>
      <c r="N13" s="172">
        <f t="shared" si="6"/>
        <v>0</v>
      </c>
      <c r="O13" s="172">
        <f t="shared" si="6"/>
        <v>0</v>
      </c>
      <c r="P13" s="172">
        <f t="shared" si="6"/>
        <v>0</v>
      </c>
      <c r="Q13" s="172">
        <f t="shared" si="6"/>
        <v>0</v>
      </c>
      <c r="R13" s="172">
        <f t="shared" si="6"/>
        <v>0</v>
      </c>
      <c r="S13" s="174">
        <f t="shared" si="6"/>
        <v>0</v>
      </c>
      <c r="T13" s="174">
        <f t="shared" si="6"/>
        <v>0</v>
      </c>
      <c r="U13" s="174">
        <f t="shared" si="6"/>
        <v>0</v>
      </c>
      <c r="V13" s="174">
        <f t="shared" si="6"/>
        <v>0</v>
      </c>
      <c r="W13" s="174">
        <f t="shared" si="6"/>
        <v>0</v>
      </c>
      <c r="X13" s="174">
        <f t="shared" si="6"/>
        <v>0</v>
      </c>
      <c r="Y13" s="174">
        <f t="shared" si="6"/>
        <v>0</v>
      </c>
      <c r="Z13" s="174">
        <f t="shared" si="6"/>
        <v>0</v>
      </c>
      <c r="AA13" s="174">
        <f t="shared" si="6"/>
        <v>0</v>
      </c>
      <c r="AB13" s="174">
        <f t="shared" si="6"/>
        <v>0</v>
      </c>
      <c r="AC13" s="174">
        <f t="shared" si="6"/>
        <v>0</v>
      </c>
      <c r="AD13" s="174">
        <f t="shared" si="6"/>
        <v>0</v>
      </c>
      <c r="AE13" s="174">
        <f t="shared" si="6"/>
        <v>0</v>
      </c>
      <c r="AF13" s="174">
        <f t="shared" si="6"/>
        <v>0</v>
      </c>
      <c r="AG13" s="174">
        <f t="shared" si="6"/>
        <v>0</v>
      </c>
      <c r="AH13" s="174">
        <f t="shared" si="6"/>
        <v>0</v>
      </c>
      <c r="AI13" s="185">
        <f t="shared" si="6"/>
        <v>0</v>
      </c>
    </row>
    <row r="14" spans="1:35" hidden="1" x14ac:dyDescent="0.2">
      <c r="A14" s="165" t="s">
        <v>8</v>
      </c>
      <c r="B14" s="166"/>
      <c r="C14" s="166" t="s">
        <v>5</v>
      </c>
      <c r="D14" s="186">
        <v>0.2</v>
      </c>
      <c r="E14" s="166"/>
      <c r="F14" s="167"/>
      <c r="G14" s="187">
        <f>G9*$D14</f>
        <v>0</v>
      </c>
      <c r="H14" s="167">
        <f t="shared" ref="H14:AI14" si="7">H9*$D14</f>
        <v>0</v>
      </c>
      <c r="I14" s="167">
        <f t="shared" si="7"/>
        <v>0</v>
      </c>
      <c r="J14" s="188">
        <f t="shared" si="7"/>
        <v>0</v>
      </c>
      <c r="K14" s="167">
        <f t="shared" si="7"/>
        <v>0</v>
      </c>
      <c r="L14" s="167">
        <f t="shared" si="7"/>
        <v>0</v>
      </c>
      <c r="M14" s="167">
        <f t="shared" si="7"/>
        <v>0</v>
      </c>
      <c r="N14" s="167">
        <f t="shared" si="7"/>
        <v>0</v>
      </c>
      <c r="O14" s="167">
        <f t="shared" si="7"/>
        <v>0</v>
      </c>
      <c r="P14" s="167">
        <f t="shared" si="7"/>
        <v>0</v>
      </c>
      <c r="Q14" s="167">
        <f t="shared" si="7"/>
        <v>0</v>
      </c>
      <c r="R14" s="167">
        <f t="shared" si="7"/>
        <v>0</v>
      </c>
      <c r="S14" s="188">
        <f t="shared" si="7"/>
        <v>0</v>
      </c>
      <c r="T14" s="188">
        <f t="shared" si="7"/>
        <v>0</v>
      </c>
      <c r="U14" s="188">
        <f t="shared" si="7"/>
        <v>0</v>
      </c>
      <c r="V14" s="188">
        <f t="shared" si="7"/>
        <v>0</v>
      </c>
      <c r="W14" s="188">
        <f t="shared" si="7"/>
        <v>0</v>
      </c>
      <c r="X14" s="188">
        <f t="shared" si="7"/>
        <v>0</v>
      </c>
      <c r="Y14" s="188">
        <f t="shared" si="7"/>
        <v>0</v>
      </c>
      <c r="Z14" s="188">
        <f t="shared" si="7"/>
        <v>0</v>
      </c>
      <c r="AA14" s="188">
        <f t="shared" si="7"/>
        <v>0</v>
      </c>
      <c r="AB14" s="188">
        <f t="shared" si="7"/>
        <v>0</v>
      </c>
      <c r="AC14" s="188">
        <f t="shared" si="7"/>
        <v>0</v>
      </c>
      <c r="AD14" s="188">
        <f t="shared" si="7"/>
        <v>0</v>
      </c>
      <c r="AE14" s="188">
        <f t="shared" si="7"/>
        <v>0</v>
      </c>
      <c r="AF14" s="188">
        <f t="shared" si="7"/>
        <v>0</v>
      </c>
      <c r="AG14" s="188">
        <f t="shared" si="7"/>
        <v>0</v>
      </c>
      <c r="AH14" s="188">
        <f t="shared" si="7"/>
        <v>0</v>
      </c>
      <c r="AI14" s="189">
        <f t="shared" si="7"/>
        <v>0</v>
      </c>
    </row>
    <row r="15" spans="1:35" ht="13.5" hidden="1" thickBot="1" x14ac:dyDescent="0.25">
      <c r="A15" s="170" t="s">
        <v>9</v>
      </c>
      <c r="B15" s="171"/>
      <c r="C15" s="171" t="s">
        <v>5</v>
      </c>
      <c r="D15" s="190">
        <v>0.6</v>
      </c>
      <c r="E15" s="171"/>
      <c r="F15" s="172"/>
      <c r="G15" s="173">
        <f>G9*$D15</f>
        <v>0</v>
      </c>
      <c r="H15" s="172">
        <f t="shared" ref="H15:AI15" si="8">H9*$D15</f>
        <v>0</v>
      </c>
      <c r="I15" s="172">
        <f t="shared" si="8"/>
        <v>0</v>
      </c>
      <c r="J15" s="174">
        <f t="shared" si="8"/>
        <v>0</v>
      </c>
      <c r="K15" s="172">
        <f t="shared" si="8"/>
        <v>0</v>
      </c>
      <c r="L15" s="172">
        <f t="shared" si="8"/>
        <v>0</v>
      </c>
      <c r="M15" s="172">
        <f t="shared" si="8"/>
        <v>0</v>
      </c>
      <c r="N15" s="172">
        <f t="shared" si="8"/>
        <v>0</v>
      </c>
      <c r="O15" s="172">
        <f t="shared" si="8"/>
        <v>0</v>
      </c>
      <c r="P15" s="172">
        <f t="shared" si="8"/>
        <v>0</v>
      </c>
      <c r="Q15" s="172">
        <f t="shared" si="8"/>
        <v>0</v>
      </c>
      <c r="R15" s="172">
        <f t="shared" si="8"/>
        <v>0</v>
      </c>
      <c r="S15" s="174">
        <f t="shared" si="8"/>
        <v>0</v>
      </c>
      <c r="T15" s="174">
        <f t="shared" si="8"/>
        <v>0</v>
      </c>
      <c r="U15" s="174">
        <f t="shared" si="8"/>
        <v>0</v>
      </c>
      <c r="V15" s="174">
        <f t="shared" si="8"/>
        <v>0</v>
      </c>
      <c r="W15" s="174">
        <f t="shared" si="8"/>
        <v>0</v>
      </c>
      <c r="X15" s="174">
        <f t="shared" si="8"/>
        <v>0</v>
      </c>
      <c r="Y15" s="174">
        <f t="shared" si="8"/>
        <v>0</v>
      </c>
      <c r="Z15" s="174">
        <f t="shared" si="8"/>
        <v>0</v>
      </c>
      <c r="AA15" s="174">
        <f t="shared" si="8"/>
        <v>0</v>
      </c>
      <c r="AB15" s="174">
        <f t="shared" si="8"/>
        <v>0</v>
      </c>
      <c r="AC15" s="174">
        <f t="shared" si="8"/>
        <v>0</v>
      </c>
      <c r="AD15" s="174">
        <f t="shared" si="8"/>
        <v>0</v>
      </c>
      <c r="AE15" s="174">
        <f t="shared" si="8"/>
        <v>0</v>
      </c>
      <c r="AF15" s="174">
        <f t="shared" si="8"/>
        <v>0</v>
      </c>
      <c r="AG15" s="174">
        <f t="shared" si="8"/>
        <v>0</v>
      </c>
      <c r="AH15" s="174">
        <f t="shared" si="8"/>
        <v>0</v>
      </c>
      <c r="AI15" s="185">
        <f t="shared" si="8"/>
        <v>0</v>
      </c>
    </row>
    <row r="16" spans="1:35" s="196" customFormat="1" hidden="1" x14ac:dyDescent="0.2">
      <c r="A16" s="191" t="s">
        <v>10</v>
      </c>
      <c r="B16" s="192"/>
      <c r="C16" s="193" t="s">
        <v>49</v>
      </c>
      <c r="D16" s="194" t="e">
        <f>G9/(G9-G16)*100</f>
        <v>#DIV/0!</v>
      </c>
      <c r="E16" s="192"/>
      <c r="F16" s="188"/>
      <c r="G16" s="195">
        <f>SUM(G17:G18)</f>
        <v>0</v>
      </c>
      <c r="H16" s="188">
        <f>SUM(H17:H18)</f>
        <v>0</v>
      </c>
      <c r="I16" s="188">
        <f>SUM(I17:I18)</f>
        <v>0</v>
      </c>
      <c r="J16" s="188">
        <f>SUM(J17:J18)</f>
        <v>0</v>
      </c>
      <c r="K16" s="188">
        <f t="shared" ref="K16:AI16" si="9">SUM(K17:K18)</f>
        <v>0</v>
      </c>
      <c r="L16" s="188">
        <f t="shared" si="9"/>
        <v>0</v>
      </c>
      <c r="M16" s="188">
        <f t="shared" si="9"/>
        <v>0</v>
      </c>
      <c r="N16" s="188">
        <f t="shared" si="9"/>
        <v>0</v>
      </c>
      <c r="O16" s="188">
        <f t="shared" si="9"/>
        <v>0</v>
      </c>
      <c r="P16" s="188">
        <f t="shared" si="9"/>
        <v>0</v>
      </c>
      <c r="Q16" s="188">
        <f t="shared" si="9"/>
        <v>0</v>
      </c>
      <c r="R16" s="188">
        <f t="shared" si="9"/>
        <v>0</v>
      </c>
      <c r="S16" s="188">
        <f t="shared" si="9"/>
        <v>0</v>
      </c>
      <c r="T16" s="188">
        <f t="shared" si="9"/>
        <v>0</v>
      </c>
      <c r="U16" s="188">
        <f t="shared" si="9"/>
        <v>0</v>
      </c>
      <c r="V16" s="188">
        <f t="shared" si="9"/>
        <v>0</v>
      </c>
      <c r="W16" s="188">
        <f t="shared" si="9"/>
        <v>0</v>
      </c>
      <c r="X16" s="188">
        <f t="shared" si="9"/>
        <v>0</v>
      </c>
      <c r="Y16" s="188">
        <f t="shared" si="9"/>
        <v>0</v>
      </c>
      <c r="Z16" s="188">
        <f t="shared" si="9"/>
        <v>0</v>
      </c>
      <c r="AA16" s="188">
        <f t="shared" si="9"/>
        <v>0</v>
      </c>
      <c r="AB16" s="188">
        <f t="shared" si="9"/>
        <v>0</v>
      </c>
      <c r="AC16" s="188">
        <f t="shared" si="9"/>
        <v>0</v>
      </c>
      <c r="AD16" s="188">
        <f t="shared" si="9"/>
        <v>0</v>
      </c>
      <c r="AE16" s="188">
        <f t="shared" si="9"/>
        <v>0</v>
      </c>
      <c r="AF16" s="188">
        <f t="shared" si="9"/>
        <v>0</v>
      </c>
      <c r="AG16" s="188">
        <f t="shared" si="9"/>
        <v>0</v>
      </c>
      <c r="AH16" s="188">
        <f t="shared" si="9"/>
        <v>0</v>
      </c>
      <c r="AI16" s="189">
        <f t="shared" si="9"/>
        <v>0</v>
      </c>
    </row>
    <row r="17" spans="1:35" hidden="1" x14ac:dyDescent="0.2">
      <c r="A17" s="180" t="s">
        <v>4</v>
      </c>
      <c r="B17" s="181"/>
      <c r="C17" s="197">
        <v>0.77100000000000002</v>
      </c>
      <c r="D17" s="198" t="e">
        <f>G11/(G11-G17)*100</f>
        <v>#DIV/0!</v>
      </c>
      <c r="E17" s="181"/>
      <c r="F17" s="177"/>
      <c r="G17" s="183">
        <f>G11*$C17</f>
        <v>0</v>
      </c>
      <c r="H17" s="177">
        <f t="shared" ref="H17:AI17" si="10">H11*$C17</f>
        <v>0</v>
      </c>
      <c r="I17" s="177">
        <f t="shared" si="10"/>
        <v>0</v>
      </c>
      <c r="J17" s="178">
        <f t="shared" si="10"/>
        <v>0</v>
      </c>
      <c r="K17" s="177">
        <f t="shared" si="10"/>
        <v>0</v>
      </c>
      <c r="L17" s="177">
        <f t="shared" si="10"/>
        <v>0</v>
      </c>
      <c r="M17" s="177">
        <f t="shared" si="10"/>
        <v>0</v>
      </c>
      <c r="N17" s="177">
        <f t="shared" si="10"/>
        <v>0</v>
      </c>
      <c r="O17" s="177">
        <f t="shared" si="10"/>
        <v>0</v>
      </c>
      <c r="P17" s="177">
        <f t="shared" si="10"/>
        <v>0</v>
      </c>
      <c r="Q17" s="177">
        <f t="shared" si="10"/>
        <v>0</v>
      </c>
      <c r="R17" s="177">
        <f t="shared" si="10"/>
        <v>0</v>
      </c>
      <c r="S17" s="178">
        <f t="shared" si="10"/>
        <v>0</v>
      </c>
      <c r="T17" s="178">
        <f t="shared" si="10"/>
        <v>0</v>
      </c>
      <c r="U17" s="178">
        <f t="shared" si="10"/>
        <v>0</v>
      </c>
      <c r="V17" s="178">
        <f t="shared" si="10"/>
        <v>0</v>
      </c>
      <c r="W17" s="178">
        <f t="shared" si="10"/>
        <v>0</v>
      </c>
      <c r="X17" s="178">
        <f t="shared" si="10"/>
        <v>0</v>
      </c>
      <c r="Y17" s="178">
        <f t="shared" si="10"/>
        <v>0</v>
      </c>
      <c r="Z17" s="178">
        <f t="shared" si="10"/>
        <v>0</v>
      </c>
      <c r="AA17" s="178">
        <f t="shared" si="10"/>
        <v>0</v>
      </c>
      <c r="AB17" s="178">
        <f t="shared" si="10"/>
        <v>0</v>
      </c>
      <c r="AC17" s="178">
        <f t="shared" si="10"/>
        <v>0</v>
      </c>
      <c r="AD17" s="178">
        <f t="shared" si="10"/>
        <v>0</v>
      </c>
      <c r="AE17" s="178">
        <f t="shared" si="10"/>
        <v>0</v>
      </c>
      <c r="AF17" s="178">
        <f t="shared" si="10"/>
        <v>0</v>
      </c>
      <c r="AG17" s="178">
        <f t="shared" si="10"/>
        <v>0</v>
      </c>
      <c r="AH17" s="178">
        <f t="shared" si="10"/>
        <v>0</v>
      </c>
      <c r="AI17" s="179">
        <f t="shared" si="10"/>
        <v>0</v>
      </c>
    </row>
    <row r="18" spans="1:35" ht="13.5" hidden="1" thickBot="1" x14ac:dyDescent="0.25">
      <c r="A18" s="170" t="s">
        <v>7</v>
      </c>
      <c r="B18" s="171"/>
      <c r="C18" s="199">
        <v>0.25</v>
      </c>
      <c r="D18" s="200" t="e">
        <f>G13/(G13-G18)*100</f>
        <v>#DIV/0!</v>
      </c>
      <c r="E18" s="171"/>
      <c r="F18" s="172"/>
      <c r="G18" s="173">
        <f>G13*$C18</f>
        <v>0</v>
      </c>
      <c r="H18" s="172">
        <f>H13*$C18</f>
        <v>0</v>
      </c>
      <c r="I18" s="172">
        <f>I13*$C18</f>
        <v>0</v>
      </c>
      <c r="J18" s="174">
        <f t="shared" ref="J18:AI18" si="11">J13*$C18</f>
        <v>0</v>
      </c>
      <c r="K18" s="172">
        <f t="shared" si="11"/>
        <v>0</v>
      </c>
      <c r="L18" s="172">
        <f t="shared" si="11"/>
        <v>0</v>
      </c>
      <c r="M18" s="172">
        <f t="shared" si="11"/>
        <v>0</v>
      </c>
      <c r="N18" s="172">
        <f t="shared" si="11"/>
        <v>0</v>
      </c>
      <c r="O18" s="172">
        <f t="shared" si="11"/>
        <v>0</v>
      </c>
      <c r="P18" s="172">
        <f t="shared" si="11"/>
        <v>0</v>
      </c>
      <c r="Q18" s="172">
        <f t="shared" si="11"/>
        <v>0</v>
      </c>
      <c r="R18" s="172">
        <f t="shared" si="11"/>
        <v>0</v>
      </c>
      <c r="S18" s="174">
        <f t="shared" si="11"/>
        <v>0</v>
      </c>
      <c r="T18" s="174">
        <f t="shared" si="11"/>
        <v>0</v>
      </c>
      <c r="U18" s="174">
        <f t="shared" si="11"/>
        <v>0</v>
      </c>
      <c r="V18" s="174">
        <f t="shared" si="11"/>
        <v>0</v>
      </c>
      <c r="W18" s="174">
        <f t="shared" si="11"/>
        <v>0</v>
      </c>
      <c r="X18" s="174">
        <f t="shared" si="11"/>
        <v>0</v>
      </c>
      <c r="Y18" s="174">
        <f t="shared" si="11"/>
        <v>0</v>
      </c>
      <c r="Z18" s="174">
        <f t="shared" si="11"/>
        <v>0</v>
      </c>
      <c r="AA18" s="174">
        <f t="shared" si="11"/>
        <v>0</v>
      </c>
      <c r="AB18" s="174">
        <f t="shared" si="11"/>
        <v>0</v>
      </c>
      <c r="AC18" s="174">
        <f t="shared" si="11"/>
        <v>0</v>
      </c>
      <c r="AD18" s="174">
        <f t="shared" si="11"/>
        <v>0</v>
      </c>
      <c r="AE18" s="174">
        <f t="shared" si="11"/>
        <v>0</v>
      </c>
      <c r="AF18" s="174">
        <f t="shared" si="11"/>
        <v>0</v>
      </c>
      <c r="AG18" s="174">
        <f t="shared" si="11"/>
        <v>0</v>
      </c>
      <c r="AH18" s="174">
        <f t="shared" si="11"/>
        <v>0</v>
      </c>
      <c r="AI18" s="185">
        <f t="shared" si="11"/>
        <v>0</v>
      </c>
    </row>
    <row r="19" spans="1:35" ht="13.5" hidden="1" thickBot="1" x14ac:dyDescent="0.25">
      <c r="A19" s="165" t="s">
        <v>11</v>
      </c>
      <c r="B19" s="166"/>
      <c r="C19" s="166"/>
      <c r="D19" s="166"/>
      <c r="E19" s="166"/>
      <c r="F19" s="167"/>
      <c r="G19" s="187"/>
      <c r="H19" s="167"/>
      <c r="I19" s="167"/>
      <c r="J19" s="188"/>
      <c r="K19" s="167"/>
      <c r="L19" s="167"/>
      <c r="M19" s="167"/>
      <c r="N19" s="167"/>
      <c r="O19" s="167"/>
      <c r="P19" s="167"/>
      <c r="Q19" s="167"/>
      <c r="R19" s="167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  <c r="AE19" s="188"/>
      <c r="AF19" s="188"/>
      <c r="AG19" s="188"/>
      <c r="AH19" s="188"/>
      <c r="AI19" s="189"/>
    </row>
    <row r="20" spans="1:35" ht="13.5" thickBot="1" x14ac:dyDescent="0.25">
      <c r="A20" s="180" t="s">
        <v>203</v>
      </c>
      <c r="B20" s="181"/>
      <c r="C20" s="181"/>
      <c r="D20" s="181"/>
      <c r="E20" s="177">
        <f>SUM(E21:E26,E33,E38:E39,E42:E48)</f>
        <v>0</v>
      </c>
      <c r="F20" s="201">
        <f>SUM(F21:F26,F33,F38:F39,F42:F49)</f>
        <v>378327.11733333336</v>
      </c>
      <c r="G20" s="202">
        <f>SUM(G21:G29,G33:G36,G38:G39,G42:G49)</f>
        <v>467696.66400000005</v>
      </c>
      <c r="H20" s="203">
        <f t="shared" ref="H20:AI20" si="12">SUM(H21:H29,H33:H36,H38:H39,H42:H49)</f>
        <v>552066.21066666674</v>
      </c>
      <c r="I20" s="203">
        <f t="shared" si="12"/>
        <v>552066.21066666674</v>
      </c>
      <c r="J20" s="203">
        <f>SUM(J21:J29,J33:J36,J38:J39,J42:J49)</f>
        <v>552066.21066666674</v>
      </c>
      <c r="K20" s="203">
        <f t="shared" si="12"/>
        <v>552066.21066666674</v>
      </c>
      <c r="L20" s="203">
        <f>SUM(L21:L29,L33:L36,L38:L39,L42:L49)</f>
        <v>552066.21066666674</v>
      </c>
      <c r="M20" s="203">
        <f>SUM(M21:M29,M33:M36,M38:M39,M42:M49)</f>
        <v>552066.21066666674</v>
      </c>
      <c r="N20" s="203">
        <f>SUM(N21:N29,N33:N36,N38:N39,N42:N49)</f>
        <v>552066.21066666674</v>
      </c>
      <c r="O20" s="203">
        <f t="shared" si="12"/>
        <v>552066.21066666674</v>
      </c>
      <c r="P20" s="203">
        <f t="shared" si="12"/>
        <v>552066.21066666674</v>
      </c>
      <c r="Q20" s="203">
        <f t="shared" si="12"/>
        <v>552066.21066666674</v>
      </c>
      <c r="R20" s="203">
        <f t="shared" si="12"/>
        <v>552066.21066666674</v>
      </c>
      <c r="S20" s="203">
        <f t="shared" si="12"/>
        <v>552066.21066666674</v>
      </c>
      <c r="T20" s="203">
        <f t="shared" si="12"/>
        <v>552066.21066666674</v>
      </c>
      <c r="U20" s="203">
        <f t="shared" si="12"/>
        <v>552066.21066666674</v>
      </c>
      <c r="V20" s="203">
        <f t="shared" si="12"/>
        <v>552066.21066666674</v>
      </c>
      <c r="W20" s="203">
        <f t="shared" si="12"/>
        <v>552066.21066666674</v>
      </c>
      <c r="X20" s="203">
        <f t="shared" si="12"/>
        <v>552066.21066666674</v>
      </c>
      <c r="Y20" s="203">
        <f t="shared" si="12"/>
        <v>552066.21066666674</v>
      </c>
      <c r="Z20" s="203">
        <f t="shared" si="12"/>
        <v>552066.21066666674</v>
      </c>
      <c r="AA20" s="203">
        <f t="shared" si="12"/>
        <v>552066.21066666674</v>
      </c>
      <c r="AB20" s="203">
        <f t="shared" si="12"/>
        <v>552066.21066666674</v>
      </c>
      <c r="AC20" s="203">
        <f t="shared" si="12"/>
        <v>552066.21066666674</v>
      </c>
      <c r="AD20" s="203">
        <f t="shared" si="12"/>
        <v>552066.21066666674</v>
      </c>
      <c r="AE20" s="203">
        <f t="shared" si="12"/>
        <v>552066.21066666674</v>
      </c>
      <c r="AF20" s="203">
        <f t="shared" si="12"/>
        <v>552066.21066666674</v>
      </c>
      <c r="AG20" s="203">
        <f t="shared" si="12"/>
        <v>552066.21066666674</v>
      </c>
      <c r="AH20" s="203">
        <f t="shared" si="12"/>
        <v>552066.21066666674</v>
      </c>
      <c r="AI20" s="201">
        <f t="shared" si="12"/>
        <v>552066.21066666674</v>
      </c>
    </row>
    <row r="21" spans="1:35" ht="13.5" thickBot="1" x14ac:dyDescent="0.25">
      <c r="A21" s="180" t="s">
        <v>12</v>
      </c>
      <c r="B21" s="181"/>
      <c r="C21" s="204" t="s">
        <v>51</v>
      </c>
      <c r="D21" s="181"/>
      <c r="E21" s="177">
        <v>0</v>
      </c>
      <c r="F21" s="205">
        <f>'Параметры проекта'!$B$12</f>
        <v>100000</v>
      </c>
      <c r="G21" s="167">
        <f>'Параметры проекта'!$B$12</f>
        <v>100000</v>
      </c>
      <c r="H21" s="167">
        <f>'Параметры проекта'!$B$12</f>
        <v>100000</v>
      </c>
      <c r="I21" s="167">
        <f>'Параметры проекта'!$B$12</f>
        <v>100000</v>
      </c>
      <c r="J21" s="167">
        <f>'Параметры проекта'!$B$12</f>
        <v>100000</v>
      </c>
      <c r="K21" s="167">
        <f>'Параметры проекта'!$B$12</f>
        <v>100000</v>
      </c>
      <c r="L21" s="167">
        <f>'Параметры проекта'!$B$12</f>
        <v>100000</v>
      </c>
      <c r="M21" s="167">
        <f>'Параметры проекта'!$B$12</f>
        <v>100000</v>
      </c>
      <c r="N21" s="167">
        <f>'Параметры проекта'!$B$12</f>
        <v>100000</v>
      </c>
      <c r="O21" s="167">
        <f>'Параметры проекта'!$B$12</f>
        <v>100000</v>
      </c>
      <c r="P21" s="167">
        <f>'Параметры проекта'!$B$12</f>
        <v>100000</v>
      </c>
      <c r="Q21" s="167">
        <f>'Параметры проекта'!$B$12</f>
        <v>100000</v>
      </c>
      <c r="R21" s="167">
        <f>'Параметры проекта'!$B$12</f>
        <v>100000</v>
      </c>
      <c r="S21" s="167">
        <f>'Параметры проекта'!$B$12</f>
        <v>100000</v>
      </c>
      <c r="T21" s="167">
        <f>'Параметры проекта'!$B$12</f>
        <v>100000</v>
      </c>
      <c r="U21" s="167">
        <f>'Параметры проекта'!$B$12</f>
        <v>100000</v>
      </c>
      <c r="V21" s="167">
        <f>'Параметры проекта'!$B$12</f>
        <v>100000</v>
      </c>
      <c r="W21" s="167">
        <f>'Параметры проекта'!$B$12</f>
        <v>100000</v>
      </c>
      <c r="X21" s="167">
        <f>'Параметры проекта'!$B$12</f>
        <v>100000</v>
      </c>
      <c r="Y21" s="167">
        <f>'Параметры проекта'!$B$12</f>
        <v>100000</v>
      </c>
      <c r="Z21" s="167">
        <f>'Параметры проекта'!$B$12</f>
        <v>100000</v>
      </c>
      <c r="AA21" s="167">
        <f>'Параметры проекта'!$B$12</f>
        <v>100000</v>
      </c>
      <c r="AB21" s="167">
        <f>'Параметры проекта'!$B$12</f>
        <v>100000</v>
      </c>
      <c r="AC21" s="167">
        <f>'Параметры проекта'!$B$12</f>
        <v>100000</v>
      </c>
      <c r="AD21" s="167">
        <f>'Параметры проекта'!$B$12</f>
        <v>100000</v>
      </c>
      <c r="AE21" s="167">
        <f>'Параметры проекта'!$B$12</f>
        <v>100000</v>
      </c>
      <c r="AF21" s="167">
        <f>'Параметры проекта'!$B$12</f>
        <v>100000</v>
      </c>
      <c r="AG21" s="167">
        <f>'Параметры проекта'!$B$12</f>
        <v>100000</v>
      </c>
      <c r="AH21" s="167">
        <f>'Параметры проекта'!$B$12</f>
        <v>100000</v>
      </c>
      <c r="AI21" s="206">
        <f>'Параметры проекта'!$B$12</f>
        <v>100000</v>
      </c>
    </row>
    <row r="22" spans="1:35" ht="11.25" customHeight="1" thickBot="1" x14ac:dyDescent="0.25">
      <c r="A22" s="180" t="s">
        <v>13</v>
      </c>
      <c r="B22" s="181"/>
      <c r="C22" s="204"/>
      <c r="D22" s="207" t="s">
        <v>57</v>
      </c>
      <c r="E22" s="177"/>
      <c r="F22" s="208">
        <f>H22/2</f>
        <v>25000</v>
      </c>
      <c r="G22" s="209">
        <f>H22-10000</f>
        <v>40000</v>
      </c>
      <c r="H22" s="210">
        <f>'Параметры проекта'!$B$13</f>
        <v>50000</v>
      </c>
      <c r="I22" s="210">
        <f>'Параметры проекта'!$B$13</f>
        <v>50000</v>
      </c>
      <c r="J22" s="210">
        <f>'Параметры проекта'!$B$13</f>
        <v>50000</v>
      </c>
      <c r="K22" s="210">
        <f>'Параметры проекта'!$B$13</f>
        <v>50000</v>
      </c>
      <c r="L22" s="210">
        <f>'Параметры проекта'!$B$13</f>
        <v>50000</v>
      </c>
      <c r="M22" s="210">
        <f>'Параметры проекта'!$B$13</f>
        <v>50000</v>
      </c>
      <c r="N22" s="210">
        <f>'Параметры проекта'!$B$13</f>
        <v>50000</v>
      </c>
      <c r="O22" s="210">
        <f>'Параметры проекта'!$B$13</f>
        <v>50000</v>
      </c>
      <c r="P22" s="210">
        <f>'Параметры проекта'!$B$13</f>
        <v>50000</v>
      </c>
      <c r="Q22" s="210">
        <f>'Параметры проекта'!$B$13</f>
        <v>50000</v>
      </c>
      <c r="R22" s="210">
        <f>'Параметры проекта'!$B$13</f>
        <v>50000</v>
      </c>
      <c r="S22" s="210">
        <f>'Параметры проекта'!$B$13</f>
        <v>50000</v>
      </c>
      <c r="T22" s="210">
        <f>'Параметры проекта'!$B$13</f>
        <v>50000</v>
      </c>
      <c r="U22" s="210">
        <f>'Параметры проекта'!$B$13</f>
        <v>50000</v>
      </c>
      <c r="V22" s="210">
        <f>'Параметры проекта'!$B$13</f>
        <v>50000</v>
      </c>
      <c r="W22" s="210">
        <f>'Параметры проекта'!$B$13</f>
        <v>50000</v>
      </c>
      <c r="X22" s="210">
        <f>'Параметры проекта'!$B$13</f>
        <v>50000</v>
      </c>
      <c r="Y22" s="210">
        <f>'Параметры проекта'!$B$13</f>
        <v>50000</v>
      </c>
      <c r="Z22" s="210">
        <f>'Параметры проекта'!$B$13</f>
        <v>50000</v>
      </c>
      <c r="AA22" s="210">
        <f>'Параметры проекта'!$B$13</f>
        <v>50000</v>
      </c>
      <c r="AB22" s="210">
        <f>'Параметры проекта'!$B$13</f>
        <v>50000</v>
      </c>
      <c r="AC22" s="210">
        <f>'Параметры проекта'!$B$13</f>
        <v>50000</v>
      </c>
      <c r="AD22" s="210">
        <f>'Параметры проекта'!$B$13</f>
        <v>50000</v>
      </c>
      <c r="AE22" s="210">
        <f>'Параметры проекта'!$B$13</f>
        <v>50000</v>
      </c>
      <c r="AF22" s="210">
        <f>'Параметры проекта'!$B$13</f>
        <v>50000</v>
      </c>
      <c r="AG22" s="210">
        <f>'Параметры проекта'!$B$13</f>
        <v>50000</v>
      </c>
      <c r="AH22" s="210">
        <f>'Параметры проекта'!$B$13</f>
        <v>50000</v>
      </c>
      <c r="AI22" s="210">
        <f>'Параметры проекта'!$B$13</f>
        <v>50000</v>
      </c>
    </row>
    <row r="23" spans="1:35" ht="11.25" hidden="1" customHeight="1" x14ac:dyDescent="0.2">
      <c r="A23" s="180"/>
      <c r="B23" s="181"/>
      <c r="C23" s="181"/>
      <c r="D23" s="211" t="s">
        <v>59</v>
      </c>
      <c r="E23" s="177"/>
      <c r="F23" s="212"/>
      <c r="G23" s="213"/>
      <c r="H23" s="213">
        <v>0</v>
      </c>
      <c r="I23" s="214">
        <v>0</v>
      </c>
      <c r="J23" s="214">
        <v>0</v>
      </c>
      <c r="K23" s="214">
        <v>0</v>
      </c>
      <c r="L23" s="214">
        <v>0</v>
      </c>
      <c r="M23" s="214">
        <v>0</v>
      </c>
      <c r="N23" s="214">
        <v>0</v>
      </c>
      <c r="O23" s="214">
        <v>0</v>
      </c>
      <c r="P23" s="214">
        <v>0</v>
      </c>
      <c r="Q23" s="214">
        <v>0</v>
      </c>
      <c r="R23" s="214">
        <v>0</v>
      </c>
      <c r="S23" s="214">
        <v>0</v>
      </c>
      <c r="T23" s="214">
        <v>0</v>
      </c>
      <c r="U23" s="214">
        <v>0</v>
      </c>
      <c r="V23" s="214">
        <v>0</v>
      </c>
      <c r="W23" s="214">
        <v>0</v>
      </c>
      <c r="X23" s="214">
        <v>0</v>
      </c>
      <c r="Y23" s="214">
        <v>0</v>
      </c>
      <c r="Z23" s="214">
        <v>0</v>
      </c>
      <c r="AA23" s="214">
        <v>0</v>
      </c>
      <c r="AB23" s="214">
        <v>0</v>
      </c>
      <c r="AC23" s="214">
        <v>0</v>
      </c>
      <c r="AD23" s="214">
        <v>0</v>
      </c>
      <c r="AE23" s="214">
        <v>0</v>
      </c>
      <c r="AF23" s="214">
        <v>0</v>
      </c>
      <c r="AG23" s="214">
        <v>0</v>
      </c>
      <c r="AH23" s="214">
        <v>0</v>
      </c>
      <c r="AI23" s="215">
        <v>0</v>
      </c>
    </row>
    <row r="24" spans="1:35" ht="11.25" hidden="1" customHeight="1" thickBot="1" x14ac:dyDescent="0.25">
      <c r="A24" s="180"/>
      <c r="B24" s="181"/>
      <c r="C24" s="181"/>
      <c r="D24" s="211" t="s">
        <v>59</v>
      </c>
      <c r="E24" s="177"/>
      <c r="F24" s="216"/>
      <c r="G24" s="217"/>
      <c r="H24" s="217"/>
      <c r="I24" s="214">
        <v>0</v>
      </c>
      <c r="J24" s="214">
        <v>0</v>
      </c>
      <c r="K24" s="214">
        <v>0</v>
      </c>
      <c r="L24" s="214">
        <v>0</v>
      </c>
      <c r="M24" s="214">
        <v>0</v>
      </c>
      <c r="N24" s="214">
        <v>0</v>
      </c>
      <c r="O24" s="214">
        <v>0</v>
      </c>
      <c r="P24" s="214">
        <v>0</v>
      </c>
      <c r="Q24" s="214">
        <v>0</v>
      </c>
      <c r="R24" s="214">
        <v>0</v>
      </c>
      <c r="S24" s="214">
        <v>0</v>
      </c>
      <c r="T24" s="214">
        <v>0</v>
      </c>
      <c r="U24" s="214">
        <v>0</v>
      </c>
      <c r="V24" s="214">
        <v>0</v>
      </c>
      <c r="W24" s="214">
        <v>0</v>
      </c>
      <c r="X24" s="214">
        <v>0</v>
      </c>
      <c r="Y24" s="214">
        <v>0</v>
      </c>
      <c r="Z24" s="214">
        <v>0</v>
      </c>
      <c r="AA24" s="214">
        <v>0</v>
      </c>
      <c r="AB24" s="214">
        <v>0</v>
      </c>
      <c r="AC24" s="214">
        <v>0</v>
      </c>
      <c r="AD24" s="214">
        <v>0</v>
      </c>
      <c r="AE24" s="214">
        <v>0</v>
      </c>
      <c r="AF24" s="214">
        <v>0</v>
      </c>
      <c r="AG24" s="214">
        <v>0</v>
      </c>
      <c r="AH24" s="214">
        <v>0</v>
      </c>
      <c r="AI24" s="215">
        <v>0</v>
      </c>
    </row>
    <row r="25" spans="1:35" ht="13.5" hidden="1" thickBot="1" x14ac:dyDescent="0.25">
      <c r="A25" s="180"/>
      <c r="B25" s="181"/>
      <c r="C25" s="181"/>
      <c r="D25" s="181"/>
      <c r="E25" s="177"/>
      <c r="F25" s="205"/>
      <c r="G25" s="218"/>
      <c r="H25" s="218"/>
      <c r="I25" s="177"/>
      <c r="J25" s="178"/>
      <c r="K25" s="177"/>
      <c r="L25" s="177"/>
      <c r="M25" s="177"/>
      <c r="N25" s="177"/>
      <c r="O25" s="177"/>
      <c r="P25" s="177"/>
      <c r="Q25" s="177"/>
      <c r="R25" s="177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9"/>
    </row>
    <row r="26" spans="1:35" ht="13.5" thickBot="1" x14ac:dyDescent="0.25">
      <c r="A26" s="219" t="s">
        <v>82</v>
      </c>
      <c r="B26" s="181"/>
      <c r="C26" s="204"/>
      <c r="D26" s="207" t="s">
        <v>58</v>
      </c>
      <c r="E26" s="177">
        <v>0</v>
      </c>
      <c r="F26" s="220">
        <f t="shared" ref="F26:N26" si="13">$G$113*F95/K95</f>
        <v>191069.12280701753</v>
      </c>
      <c r="G26" s="221">
        <f t="shared" si="13"/>
        <v>253714.73684210525</v>
      </c>
      <c r="H26" s="222">
        <f t="shared" si="13"/>
        <v>316360.35087719298</v>
      </c>
      <c r="I26" s="222">
        <f t="shared" si="13"/>
        <v>316360.35087719298</v>
      </c>
      <c r="J26" s="222">
        <f t="shared" si="13"/>
        <v>316360.35087719298</v>
      </c>
      <c r="K26" s="222">
        <f t="shared" si="13"/>
        <v>316360.35087719298</v>
      </c>
      <c r="L26" s="222">
        <f t="shared" si="13"/>
        <v>316360.35087719298</v>
      </c>
      <c r="M26" s="222">
        <f t="shared" si="13"/>
        <v>316360.35087719298</v>
      </c>
      <c r="N26" s="222">
        <f t="shared" si="13"/>
        <v>316360.35087719298</v>
      </c>
      <c r="O26" s="223">
        <f>$G$113</f>
        <v>316360.35087719298</v>
      </c>
      <c r="P26" s="223">
        <f t="shared" ref="P26:AI26" si="14">$G$113</f>
        <v>316360.35087719298</v>
      </c>
      <c r="Q26" s="223">
        <f t="shared" si="14"/>
        <v>316360.35087719298</v>
      </c>
      <c r="R26" s="223">
        <f t="shared" si="14"/>
        <v>316360.35087719298</v>
      </c>
      <c r="S26" s="223">
        <f t="shared" si="14"/>
        <v>316360.35087719298</v>
      </c>
      <c r="T26" s="223">
        <f t="shared" si="14"/>
        <v>316360.35087719298</v>
      </c>
      <c r="U26" s="223">
        <f t="shared" si="14"/>
        <v>316360.35087719298</v>
      </c>
      <c r="V26" s="223">
        <f t="shared" si="14"/>
        <v>316360.35087719298</v>
      </c>
      <c r="W26" s="223">
        <f t="shared" si="14"/>
        <v>316360.35087719298</v>
      </c>
      <c r="X26" s="223">
        <f t="shared" si="14"/>
        <v>316360.35087719298</v>
      </c>
      <c r="Y26" s="223">
        <f t="shared" si="14"/>
        <v>316360.35087719298</v>
      </c>
      <c r="Z26" s="223">
        <f t="shared" si="14"/>
        <v>316360.35087719298</v>
      </c>
      <c r="AA26" s="223">
        <f t="shared" si="14"/>
        <v>316360.35087719298</v>
      </c>
      <c r="AB26" s="223">
        <f t="shared" si="14"/>
        <v>316360.35087719298</v>
      </c>
      <c r="AC26" s="223">
        <f t="shared" si="14"/>
        <v>316360.35087719298</v>
      </c>
      <c r="AD26" s="223">
        <f t="shared" si="14"/>
        <v>316360.35087719298</v>
      </c>
      <c r="AE26" s="223">
        <f t="shared" si="14"/>
        <v>316360.35087719298</v>
      </c>
      <c r="AF26" s="223">
        <f t="shared" si="14"/>
        <v>316360.35087719298</v>
      </c>
      <c r="AG26" s="223">
        <f t="shared" si="14"/>
        <v>316360.35087719298</v>
      </c>
      <c r="AH26" s="223">
        <f t="shared" si="14"/>
        <v>316360.35087719298</v>
      </c>
      <c r="AI26" s="224">
        <f t="shared" si="14"/>
        <v>316360.35087719298</v>
      </c>
    </row>
    <row r="27" spans="1:35" hidden="1" x14ac:dyDescent="0.2">
      <c r="A27" s="219" t="s">
        <v>82</v>
      </c>
      <c r="B27" s="225">
        <v>0</v>
      </c>
      <c r="C27" s="225">
        <v>32000</v>
      </c>
      <c r="D27" s="225">
        <f>B27*C27</f>
        <v>0</v>
      </c>
      <c r="E27" s="177"/>
      <c r="F27" s="226"/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27">
        <v>0</v>
      </c>
      <c r="R27" s="227">
        <v>0</v>
      </c>
      <c r="S27" s="227">
        <v>0</v>
      </c>
      <c r="T27" s="227">
        <v>0</v>
      </c>
      <c r="U27" s="227">
        <v>0</v>
      </c>
      <c r="V27" s="227">
        <v>0</v>
      </c>
      <c r="W27" s="227">
        <v>0</v>
      </c>
      <c r="X27" s="227">
        <v>0</v>
      </c>
      <c r="Y27" s="227">
        <v>0</v>
      </c>
      <c r="Z27" s="227">
        <v>0</v>
      </c>
      <c r="AA27" s="227">
        <v>0</v>
      </c>
      <c r="AB27" s="227">
        <v>0</v>
      </c>
      <c r="AC27" s="227">
        <v>0</v>
      </c>
      <c r="AD27" s="227">
        <v>0</v>
      </c>
      <c r="AE27" s="227">
        <v>0</v>
      </c>
      <c r="AF27" s="227">
        <v>0</v>
      </c>
      <c r="AG27" s="227">
        <v>0</v>
      </c>
      <c r="AH27" s="227">
        <v>0</v>
      </c>
      <c r="AI27" s="228">
        <v>0</v>
      </c>
    </row>
    <row r="28" spans="1:35" hidden="1" x14ac:dyDescent="0.2">
      <c r="A28" s="219" t="s">
        <v>82</v>
      </c>
      <c r="B28" s="225">
        <v>4</v>
      </c>
      <c r="C28" s="225">
        <v>37000</v>
      </c>
      <c r="D28" s="225">
        <f t="shared" ref="D28:D29" si="15">B28*C28</f>
        <v>148000</v>
      </c>
      <c r="E28" s="177"/>
      <c r="F28" s="226"/>
      <c r="G28" s="227">
        <v>0</v>
      </c>
      <c r="H28" s="227">
        <v>0</v>
      </c>
      <c r="I28" s="227">
        <v>0</v>
      </c>
      <c r="J28" s="227">
        <v>0</v>
      </c>
      <c r="K28" s="227">
        <v>0</v>
      </c>
      <c r="L28" s="227">
        <v>0</v>
      </c>
      <c r="M28" s="227">
        <v>0</v>
      </c>
      <c r="N28" s="227">
        <v>0</v>
      </c>
      <c r="O28" s="227">
        <v>0</v>
      </c>
      <c r="P28" s="227">
        <v>0</v>
      </c>
      <c r="Q28" s="227">
        <v>0</v>
      </c>
      <c r="R28" s="227">
        <v>0</v>
      </c>
      <c r="S28" s="227">
        <v>0</v>
      </c>
      <c r="T28" s="227">
        <v>0</v>
      </c>
      <c r="U28" s="227">
        <v>0</v>
      </c>
      <c r="V28" s="227">
        <v>0</v>
      </c>
      <c r="W28" s="227">
        <v>0</v>
      </c>
      <c r="X28" s="227">
        <v>0</v>
      </c>
      <c r="Y28" s="227">
        <v>0</v>
      </c>
      <c r="Z28" s="227">
        <v>0</v>
      </c>
      <c r="AA28" s="227">
        <v>0</v>
      </c>
      <c r="AB28" s="227">
        <v>0</v>
      </c>
      <c r="AC28" s="227">
        <v>0</v>
      </c>
      <c r="AD28" s="227">
        <v>0</v>
      </c>
      <c r="AE28" s="227">
        <v>0</v>
      </c>
      <c r="AF28" s="227">
        <v>0</v>
      </c>
      <c r="AG28" s="227">
        <v>0</v>
      </c>
      <c r="AH28" s="227">
        <v>0</v>
      </c>
      <c r="AI28" s="228">
        <v>0</v>
      </c>
    </row>
    <row r="29" spans="1:35" ht="13.5" hidden="1" thickBot="1" x14ac:dyDescent="0.25">
      <c r="A29" s="219" t="s">
        <v>82</v>
      </c>
      <c r="B29" s="225">
        <v>2</v>
      </c>
      <c r="C29" s="225">
        <v>24000</v>
      </c>
      <c r="D29" s="225">
        <f t="shared" si="15"/>
        <v>48000</v>
      </c>
      <c r="E29" s="177"/>
      <c r="F29" s="229"/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30">
        <v>0</v>
      </c>
      <c r="M29" s="230">
        <v>0</v>
      </c>
      <c r="N29" s="230">
        <v>0</v>
      </c>
      <c r="O29" s="230">
        <v>0</v>
      </c>
      <c r="P29" s="230">
        <v>0</v>
      </c>
      <c r="Q29" s="230">
        <v>0</v>
      </c>
      <c r="R29" s="230">
        <v>0</v>
      </c>
      <c r="S29" s="230">
        <v>0</v>
      </c>
      <c r="T29" s="230">
        <v>0</v>
      </c>
      <c r="U29" s="230">
        <v>0</v>
      </c>
      <c r="V29" s="230">
        <v>0</v>
      </c>
      <c r="W29" s="230">
        <v>0</v>
      </c>
      <c r="X29" s="230">
        <v>0</v>
      </c>
      <c r="Y29" s="230">
        <v>0</v>
      </c>
      <c r="Z29" s="230">
        <v>0</v>
      </c>
      <c r="AA29" s="230">
        <v>0</v>
      </c>
      <c r="AB29" s="230">
        <v>0</v>
      </c>
      <c r="AC29" s="230">
        <v>0</v>
      </c>
      <c r="AD29" s="230">
        <v>0</v>
      </c>
      <c r="AE29" s="230">
        <v>0</v>
      </c>
      <c r="AF29" s="230">
        <v>0</v>
      </c>
      <c r="AG29" s="230">
        <v>0</v>
      </c>
      <c r="AH29" s="230">
        <v>0</v>
      </c>
      <c r="AI29" s="231">
        <v>0</v>
      </c>
    </row>
    <row r="30" spans="1:35" hidden="1" x14ac:dyDescent="0.2">
      <c r="A30" s="219" t="s">
        <v>82</v>
      </c>
      <c r="B30" s="225">
        <v>0</v>
      </c>
      <c r="C30" s="225"/>
      <c r="D30" s="225">
        <f>B30*C30</f>
        <v>0</v>
      </c>
      <c r="E30" s="177"/>
      <c r="F30" s="183"/>
      <c r="G30" s="177"/>
      <c r="H30" s="218"/>
      <c r="I30" s="177"/>
      <c r="J30" s="178"/>
      <c r="K30" s="177"/>
      <c r="L30" s="177"/>
      <c r="M30" s="177"/>
      <c r="N30" s="177"/>
      <c r="O30" s="177"/>
      <c r="P30" s="177"/>
      <c r="Q30" s="177"/>
      <c r="R30" s="177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9"/>
    </row>
    <row r="31" spans="1:35" hidden="1" x14ac:dyDescent="0.2">
      <c r="A31" s="219" t="s">
        <v>82</v>
      </c>
      <c r="B31" s="232"/>
      <c r="C31" s="233"/>
      <c r="D31" s="225">
        <f>SUM(D27:D30)</f>
        <v>196000</v>
      </c>
      <c r="E31" s="177"/>
      <c r="F31" s="183"/>
      <c r="G31" s="177"/>
      <c r="H31" s="218"/>
      <c r="I31" s="177"/>
      <c r="J31" s="178"/>
      <c r="K31" s="177"/>
      <c r="L31" s="177"/>
      <c r="M31" s="177"/>
      <c r="N31" s="177"/>
      <c r="O31" s="177"/>
      <c r="P31" s="177"/>
      <c r="Q31" s="177"/>
      <c r="R31" s="177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9"/>
    </row>
    <row r="32" spans="1:35" ht="13.5" hidden="1" thickBot="1" x14ac:dyDescent="0.25">
      <c r="A32" s="219" t="s">
        <v>82</v>
      </c>
      <c r="B32" s="232"/>
      <c r="C32" s="233"/>
      <c r="D32" s="225">
        <f>D31-D30</f>
        <v>196000</v>
      </c>
      <c r="E32" s="177"/>
      <c r="F32" s="183"/>
      <c r="G32" s="177"/>
      <c r="H32" s="218"/>
      <c r="I32" s="177"/>
      <c r="J32" s="178"/>
      <c r="K32" s="177"/>
      <c r="L32" s="177"/>
      <c r="M32" s="177"/>
      <c r="N32" s="177"/>
      <c r="O32" s="177"/>
      <c r="P32" s="177"/>
      <c r="Q32" s="177"/>
      <c r="R32" s="177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9"/>
    </row>
    <row r="33" spans="1:35" ht="13.5" collapsed="1" thickBot="1" x14ac:dyDescent="0.25">
      <c r="A33" s="234" t="s">
        <v>83</v>
      </c>
      <c r="B33" s="204">
        <f>B27+B28+B29</f>
        <v>6</v>
      </c>
      <c r="C33" s="204">
        <v>11000</v>
      </c>
      <c r="D33" s="235">
        <v>0.30199999999999999</v>
      </c>
      <c r="E33" s="177"/>
      <c r="F33" s="221">
        <f t="shared" ref="F33:K33" si="16">$G$115*F95/K95</f>
        <v>30025.920842105272</v>
      </c>
      <c r="G33" s="221">
        <f t="shared" si="16"/>
        <v>39870.485052631586</v>
      </c>
      <c r="H33" s="222">
        <f t="shared" si="16"/>
        <v>49715.049263157904</v>
      </c>
      <c r="I33" s="222">
        <f t="shared" si="16"/>
        <v>49715.049263157904</v>
      </c>
      <c r="J33" s="222">
        <f t="shared" si="16"/>
        <v>49715.049263157904</v>
      </c>
      <c r="K33" s="222">
        <f t="shared" si="16"/>
        <v>49715.049263157904</v>
      </c>
      <c r="L33" s="222">
        <f t="shared" ref="L33:AI33" si="17">$G$115</f>
        <v>49715.049263157904</v>
      </c>
      <c r="M33" s="222">
        <f t="shared" si="17"/>
        <v>49715.049263157904</v>
      </c>
      <c r="N33" s="222">
        <f t="shared" si="17"/>
        <v>49715.049263157904</v>
      </c>
      <c r="O33" s="222">
        <f t="shared" si="17"/>
        <v>49715.049263157904</v>
      </c>
      <c r="P33" s="222">
        <f t="shared" si="17"/>
        <v>49715.049263157904</v>
      </c>
      <c r="Q33" s="222">
        <f t="shared" si="17"/>
        <v>49715.049263157904</v>
      </c>
      <c r="R33" s="222">
        <f t="shared" si="17"/>
        <v>49715.049263157904</v>
      </c>
      <c r="S33" s="222">
        <f t="shared" si="17"/>
        <v>49715.049263157904</v>
      </c>
      <c r="T33" s="222">
        <f t="shared" si="17"/>
        <v>49715.049263157904</v>
      </c>
      <c r="U33" s="222">
        <f t="shared" si="17"/>
        <v>49715.049263157904</v>
      </c>
      <c r="V33" s="222">
        <f t="shared" si="17"/>
        <v>49715.049263157904</v>
      </c>
      <c r="W33" s="222">
        <f t="shared" si="17"/>
        <v>49715.049263157904</v>
      </c>
      <c r="X33" s="222">
        <f t="shared" si="17"/>
        <v>49715.049263157904</v>
      </c>
      <c r="Y33" s="222">
        <f t="shared" si="17"/>
        <v>49715.049263157904</v>
      </c>
      <c r="Z33" s="222">
        <f t="shared" si="17"/>
        <v>49715.049263157904</v>
      </c>
      <c r="AA33" s="222">
        <f t="shared" si="17"/>
        <v>49715.049263157904</v>
      </c>
      <c r="AB33" s="222">
        <f t="shared" si="17"/>
        <v>49715.049263157904</v>
      </c>
      <c r="AC33" s="222">
        <f t="shared" si="17"/>
        <v>49715.049263157904</v>
      </c>
      <c r="AD33" s="222">
        <f t="shared" si="17"/>
        <v>49715.049263157904</v>
      </c>
      <c r="AE33" s="222">
        <f t="shared" si="17"/>
        <v>49715.049263157904</v>
      </c>
      <c r="AF33" s="222">
        <f t="shared" si="17"/>
        <v>49715.049263157904</v>
      </c>
      <c r="AG33" s="222">
        <f t="shared" si="17"/>
        <v>49715.049263157904</v>
      </c>
      <c r="AH33" s="222">
        <f t="shared" si="17"/>
        <v>49715.049263157904</v>
      </c>
      <c r="AI33" s="236">
        <f t="shared" si="17"/>
        <v>49715.049263157904</v>
      </c>
    </row>
    <row r="34" spans="1:35" ht="13.5" hidden="1" thickBot="1" x14ac:dyDescent="0.25">
      <c r="A34" s="237"/>
      <c r="B34" s="204"/>
      <c r="C34" s="204" t="s">
        <v>21</v>
      </c>
      <c r="D34" s="204">
        <f>SUM(B27:B30)-B30</f>
        <v>6</v>
      </c>
      <c r="E34" s="177"/>
      <c r="F34" s="238"/>
      <c r="G34" s="239">
        <v>0</v>
      </c>
      <c r="H34" s="239">
        <v>0</v>
      </c>
      <c r="I34" s="239">
        <v>0</v>
      </c>
      <c r="J34" s="239">
        <v>0</v>
      </c>
      <c r="K34" s="239">
        <v>0</v>
      </c>
      <c r="L34" s="239">
        <v>0</v>
      </c>
      <c r="M34" s="239">
        <v>0</v>
      </c>
      <c r="N34" s="239">
        <v>0</v>
      </c>
      <c r="O34" s="239">
        <v>0</v>
      </c>
      <c r="P34" s="239">
        <v>0</v>
      </c>
      <c r="Q34" s="239">
        <v>0</v>
      </c>
      <c r="R34" s="239">
        <v>0</v>
      </c>
      <c r="S34" s="239">
        <v>0</v>
      </c>
      <c r="T34" s="239">
        <v>0</v>
      </c>
      <c r="U34" s="239">
        <v>0</v>
      </c>
      <c r="V34" s="239">
        <v>0</v>
      </c>
      <c r="W34" s="239">
        <v>0</v>
      </c>
      <c r="X34" s="239">
        <v>0</v>
      </c>
      <c r="Y34" s="239">
        <v>0</v>
      </c>
      <c r="Z34" s="239">
        <v>0</v>
      </c>
      <c r="AA34" s="239">
        <v>0</v>
      </c>
      <c r="AB34" s="239">
        <v>0</v>
      </c>
      <c r="AC34" s="239">
        <v>0</v>
      </c>
      <c r="AD34" s="239">
        <v>0</v>
      </c>
      <c r="AE34" s="239">
        <v>0</v>
      </c>
      <c r="AF34" s="239">
        <v>0</v>
      </c>
      <c r="AG34" s="239">
        <v>0</v>
      </c>
      <c r="AH34" s="239">
        <v>0</v>
      </c>
      <c r="AI34" s="240">
        <v>0</v>
      </c>
    </row>
    <row r="35" spans="1:35" ht="13.5" hidden="1" thickBot="1" x14ac:dyDescent="0.25">
      <c r="A35" s="237"/>
      <c r="B35" s="204"/>
      <c r="C35" s="204" t="s">
        <v>22</v>
      </c>
      <c r="D35" s="204">
        <v>10000</v>
      </c>
      <c r="E35" s="177"/>
      <c r="F35" s="238"/>
      <c r="G35" s="239">
        <v>0</v>
      </c>
      <c r="H35" s="239">
        <v>0</v>
      </c>
      <c r="I35" s="239">
        <v>0</v>
      </c>
      <c r="J35" s="239">
        <v>0</v>
      </c>
      <c r="K35" s="239">
        <v>0</v>
      </c>
      <c r="L35" s="239">
        <v>0</v>
      </c>
      <c r="M35" s="239">
        <v>0</v>
      </c>
      <c r="N35" s="239">
        <v>0</v>
      </c>
      <c r="O35" s="239">
        <v>0</v>
      </c>
      <c r="P35" s="239">
        <v>0</v>
      </c>
      <c r="Q35" s="239">
        <v>0</v>
      </c>
      <c r="R35" s="239">
        <v>0</v>
      </c>
      <c r="S35" s="239">
        <v>0</v>
      </c>
      <c r="T35" s="239">
        <v>0</v>
      </c>
      <c r="U35" s="239">
        <v>0</v>
      </c>
      <c r="V35" s="239">
        <v>0</v>
      </c>
      <c r="W35" s="239">
        <v>0</v>
      </c>
      <c r="X35" s="239">
        <v>0</v>
      </c>
      <c r="Y35" s="239">
        <v>0</v>
      </c>
      <c r="Z35" s="239">
        <v>0</v>
      </c>
      <c r="AA35" s="239">
        <v>0</v>
      </c>
      <c r="AB35" s="239">
        <v>0</v>
      </c>
      <c r="AC35" s="239">
        <v>0</v>
      </c>
      <c r="AD35" s="239">
        <v>0</v>
      </c>
      <c r="AE35" s="239">
        <v>0</v>
      </c>
      <c r="AF35" s="239">
        <v>0</v>
      </c>
      <c r="AG35" s="239">
        <v>0</v>
      </c>
      <c r="AH35" s="239">
        <v>0</v>
      </c>
      <c r="AI35" s="240">
        <v>0</v>
      </c>
    </row>
    <row r="36" spans="1:35" ht="13.5" hidden="1" thickBot="1" x14ac:dyDescent="0.25">
      <c r="A36" s="237"/>
      <c r="B36" s="204"/>
      <c r="C36" s="204" t="s">
        <v>23</v>
      </c>
      <c r="D36" s="241">
        <v>0.30199999999999999</v>
      </c>
      <c r="E36" s="177"/>
      <c r="F36" s="242"/>
      <c r="G36" s="243">
        <v>0</v>
      </c>
      <c r="H36" s="243">
        <v>0</v>
      </c>
      <c r="I36" s="243">
        <v>0</v>
      </c>
      <c r="J36" s="243">
        <v>0</v>
      </c>
      <c r="K36" s="243">
        <v>0</v>
      </c>
      <c r="L36" s="243">
        <v>0</v>
      </c>
      <c r="M36" s="243">
        <v>0</v>
      </c>
      <c r="N36" s="243">
        <v>0</v>
      </c>
      <c r="O36" s="243">
        <v>0</v>
      </c>
      <c r="P36" s="243">
        <v>0</v>
      </c>
      <c r="Q36" s="243">
        <v>0</v>
      </c>
      <c r="R36" s="243">
        <v>0</v>
      </c>
      <c r="S36" s="243">
        <v>0</v>
      </c>
      <c r="T36" s="243">
        <v>0</v>
      </c>
      <c r="U36" s="243">
        <v>0</v>
      </c>
      <c r="V36" s="243">
        <v>0</v>
      </c>
      <c r="W36" s="243">
        <v>0</v>
      </c>
      <c r="X36" s="243">
        <v>0</v>
      </c>
      <c r="Y36" s="243">
        <v>0</v>
      </c>
      <c r="Z36" s="243">
        <v>0</v>
      </c>
      <c r="AA36" s="243">
        <v>0</v>
      </c>
      <c r="AB36" s="243">
        <v>0</v>
      </c>
      <c r="AC36" s="243">
        <v>0</v>
      </c>
      <c r="AD36" s="243">
        <v>0</v>
      </c>
      <c r="AE36" s="243">
        <v>0</v>
      </c>
      <c r="AF36" s="243">
        <v>0</v>
      </c>
      <c r="AG36" s="243">
        <v>0</v>
      </c>
      <c r="AH36" s="243">
        <v>0</v>
      </c>
      <c r="AI36" s="244">
        <v>0</v>
      </c>
    </row>
    <row r="37" spans="1:35" ht="13.5" hidden="1" thickBot="1" x14ac:dyDescent="0.25">
      <c r="A37" s="237"/>
      <c r="B37" s="204"/>
      <c r="C37" s="204"/>
      <c r="D37" s="241"/>
      <c r="E37" s="177"/>
      <c r="F37" s="205"/>
      <c r="G37" s="177"/>
      <c r="H37" s="218"/>
      <c r="I37" s="177"/>
      <c r="J37" s="178"/>
      <c r="K37" s="177"/>
      <c r="L37" s="177"/>
      <c r="M37" s="177"/>
      <c r="N37" s="177"/>
      <c r="O37" s="177"/>
      <c r="P37" s="177"/>
      <c r="Q37" s="177"/>
      <c r="R37" s="177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9"/>
    </row>
    <row r="38" spans="1:35" collapsed="1" x14ac:dyDescent="0.2">
      <c r="A38" s="180" t="s">
        <v>24</v>
      </c>
      <c r="B38" s="181"/>
      <c r="C38" s="181"/>
      <c r="D38" s="181"/>
      <c r="E38" s="177"/>
      <c r="F38" s="205">
        <v>1500</v>
      </c>
      <c r="G38" s="187">
        <v>1500</v>
      </c>
      <c r="H38" s="167">
        <f t="shared" ref="H38:AI38" si="18">1300+200</f>
        <v>1500</v>
      </c>
      <c r="I38" s="167">
        <f t="shared" si="18"/>
        <v>1500</v>
      </c>
      <c r="J38" s="167">
        <f t="shared" si="18"/>
        <v>1500</v>
      </c>
      <c r="K38" s="167">
        <f t="shared" si="18"/>
        <v>1500</v>
      </c>
      <c r="L38" s="167">
        <f t="shared" si="18"/>
        <v>1500</v>
      </c>
      <c r="M38" s="167">
        <f t="shared" si="18"/>
        <v>1500</v>
      </c>
      <c r="N38" s="167">
        <f t="shared" si="18"/>
        <v>1500</v>
      </c>
      <c r="O38" s="167">
        <f t="shared" si="18"/>
        <v>1500</v>
      </c>
      <c r="P38" s="167">
        <f t="shared" si="18"/>
        <v>1500</v>
      </c>
      <c r="Q38" s="167">
        <f t="shared" si="18"/>
        <v>1500</v>
      </c>
      <c r="R38" s="167">
        <f t="shared" si="18"/>
        <v>1500</v>
      </c>
      <c r="S38" s="167">
        <f t="shared" si="18"/>
        <v>1500</v>
      </c>
      <c r="T38" s="167">
        <f t="shared" si="18"/>
        <v>1500</v>
      </c>
      <c r="U38" s="167">
        <f t="shared" si="18"/>
        <v>1500</v>
      </c>
      <c r="V38" s="167">
        <f t="shared" si="18"/>
        <v>1500</v>
      </c>
      <c r="W38" s="167">
        <f t="shared" si="18"/>
        <v>1500</v>
      </c>
      <c r="X38" s="167">
        <f t="shared" si="18"/>
        <v>1500</v>
      </c>
      <c r="Y38" s="167">
        <f t="shared" si="18"/>
        <v>1500</v>
      </c>
      <c r="Z38" s="167">
        <f t="shared" si="18"/>
        <v>1500</v>
      </c>
      <c r="AA38" s="167">
        <f t="shared" si="18"/>
        <v>1500</v>
      </c>
      <c r="AB38" s="167">
        <f t="shared" si="18"/>
        <v>1500</v>
      </c>
      <c r="AC38" s="167">
        <f t="shared" si="18"/>
        <v>1500</v>
      </c>
      <c r="AD38" s="167">
        <f t="shared" si="18"/>
        <v>1500</v>
      </c>
      <c r="AE38" s="167">
        <f t="shared" si="18"/>
        <v>1500</v>
      </c>
      <c r="AF38" s="167">
        <f t="shared" si="18"/>
        <v>1500</v>
      </c>
      <c r="AG38" s="167">
        <f t="shared" si="18"/>
        <v>1500</v>
      </c>
      <c r="AH38" s="167">
        <f t="shared" si="18"/>
        <v>1500</v>
      </c>
      <c r="AI38" s="206">
        <f t="shared" si="18"/>
        <v>1500</v>
      </c>
    </row>
    <row r="39" spans="1:35" x14ac:dyDescent="0.2">
      <c r="A39" s="180" t="s">
        <v>25</v>
      </c>
      <c r="B39" s="181"/>
      <c r="C39" s="181"/>
      <c r="D39" s="181"/>
      <c r="E39" s="177"/>
      <c r="F39" s="205">
        <f>F40+F41</f>
        <v>5000</v>
      </c>
      <c r="G39" s="183">
        <f t="shared" ref="G39:AI39" si="19">G40+G41</f>
        <v>5000</v>
      </c>
      <c r="H39" s="177">
        <f t="shared" si="19"/>
        <v>5000</v>
      </c>
      <c r="I39" s="177">
        <f t="shared" si="19"/>
        <v>5000</v>
      </c>
      <c r="J39" s="177">
        <f t="shared" si="19"/>
        <v>5000</v>
      </c>
      <c r="K39" s="177">
        <f t="shared" si="19"/>
        <v>5000</v>
      </c>
      <c r="L39" s="177">
        <f t="shared" si="19"/>
        <v>5000</v>
      </c>
      <c r="M39" s="177">
        <f t="shared" si="19"/>
        <v>5000</v>
      </c>
      <c r="N39" s="177">
        <f t="shared" si="19"/>
        <v>5000</v>
      </c>
      <c r="O39" s="177">
        <f t="shared" si="19"/>
        <v>5000</v>
      </c>
      <c r="P39" s="177">
        <f t="shared" si="19"/>
        <v>5000</v>
      </c>
      <c r="Q39" s="177">
        <f t="shared" si="19"/>
        <v>5000</v>
      </c>
      <c r="R39" s="177">
        <f t="shared" si="19"/>
        <v>5000</v>
      </c>
      <c r="S39" s="177">
        <f t="shared" si="19"/>
        <v>5000</v>
      </c>
      <c r="T39" s="177">
        <f t="shared" si="19"/>
        <v>5000</v>
      </c>
      <c r="U39" s="177">
        <f t="shared" si="19"/>
        <v>5000</v>
      </c>
      <c r="V39" s="177">
        <f t="shared" si="19"/>
        <v>5000</v>
      </c>
      <c r="W39" s="177">
        <f t="shared" si="19"/>
        <v>5000</v>
      </c>
      <c r="X39" s="177">
        <f t="shared" si="19"/>
        <v>5000</v>
      </c>
      <c r="Y39" s="177">
        <f t="shared" si="19"/>
        <v>5000</v>
      </c>
      <c r="Z39" s="177">
        <f t="shared" si="19"/>
        <v>5000</v>
      </c>
      <c r="AA39" s="177">
        <f t="shared" si="19"/>
        <v>5000</v>
      </c>
      <c r="AB39" s="177">
        <f t="shared" si="19"/>
        <v>5000</v>
      </c>
      <c r="AC39" s="177">
        <f t="shared" si="19"/>
        <v>5000</v>
      </c>
      <c r="AD39" s="177">
        <f t="shared" si="19"/>
        <v>5000</v>
      </c>
      <c r="AE39" s="177">
        <f t="shared" si="19"/>
        <v>5000</v>
      </c>
      <c r="AF39" s="177">
        <f t="shared" si="19"/>
        <v>5000</v>
      </c>
      <c r="AG39" s="177">
        <f t="shared" si="19"/>
        <v>5000</v>
      </c>
      <c r="AH39" s="177">
        <f t="shared" si="19"/>
        <v>5000</v>
      </c>
      <c r="AI39" s="245">
        <f t="shared" si="19"/>
        <v>5000</v>
      </c>
    </row>
    <row r="40" spans="1:35" x14ac:dyDescent="0.2">
      <c r="A40" s="180" t="s">
        <v>26</v>
      </c>
      <c r="B40" s="181"/>
      <c r="C40" s="181"/>
      <c r="D40" s="181"/>
      <c r="E40" s="177"/>
      <c r="F40" s="205">
        <v>1000</v>
      </c>
      <c r="G40" s="183">
        <v>1000</v>
      </c>
      <c r="H40" s="177">
        <v>1000</v>
      </c>
      <c r="I40" s="177">
        <v>1000</v>
      </c>
      <c r="J40" s="177">
        <v>1000</v>
      </c>
      <c r="K40" s="177">
        <v>1000</v>
      </c>
      <c r="L40" s="177">
        <v>1000</v>
      </c>
      <c r="M40" s="177">
        <v>1000</v>
      </c>
      <c r="N40" s="177">
        <v>1000</v>
      </c>
      <c r="O40" s="177">
        <v>1000</v>
      </c>
      <c r="P40" s="177">
        <v>1000</v>
      </c>
      <c r="Q40" s="177">
        <v>1000</v>
      </c>
      <c r="R40" s="177">
        <v>1000</v>
      </c>
      <c r="S40" s="177">
        <v>1000</v>
      </c>
      <c r="T40" s="177">
        <v>1000</v>
      </c>
      <c r="U40" s="177">
        <v>1000</v>
      </c>
      <c r="V40" s="177">
        <v>1000</v>
      </c>
      <c r="W40" s="177">
        <v>1000</v>
      </c>
      <c r="X40" s="177">
        <v>1000</v>
      </c>
      <c r="Y40" s="177">
        <v>1000</v>
      </c>
      <c r="Z40" s="177">
        <v>1000</v>
      </c>
      <c r="AA40" s="177">
        <v>1000</v>
      </c>
      <c r="AB40" s="177">
        <v>1000</v>
      </c>
      <c r="AC40" s="177">
        <v>1000</v>
      </c>
      <c r="AD40" s="177">
        <v>1000</v>
      </c>
      <c r="AE40" s="177">
        <v>1000</v>
      </c>
      <c r="AF40" s="177">
        <v>1000</v>
      </c>
      <c r="AG40" s="177">
        <v>1000</v>
      </c>
      <c r="AH40" s="177">
        <v>1000</v>
      </c>
      <c r="AI40" s="245">
        <v>1000</v>
      </c>
    </row>
    <row r="41" spans="1:35" x14ac:dyDescent="0.2">
      <c r="A41" s="180" t="s">
        <v>27</v>
      </c>
      <c r="B41" s="181"/>
      <c r="C41" s="181"/>
      <c r="D41" s="181"/>
      <c r="E41" s="177"/>
      <c r="F41" s="205">
        <v>4000</v>
      </c>
      <c r="G41" s="183">
        <v>4000</v>
      </c>
      <c r="H41" s="177">
        <v>4000</v>
      </c>
      <c r="I41" s="177">
        <v>4000</v>
      </c>
      <c r="J41" s="177">
        <v>4000</v>
      </c>
      <c r="K41" s="177">
        <v>4000</v>
      </c>
      <c r="L41" s="177">
        <v>4000</v>
      </c>
      <c r="M41" s="177">
        <v>4000</v>
      </c>
      <c r="N41" s="177">
        <v>4000</v>
      </c>
      <c r="O41" s="177">
        <v>4000</v>
      </c>
      <c r="P41" s="177">
        <v>4000</v>
      </c>
      <c r="Q41" s="177">
        <v>4000</v>
      </c>
      <c r="R41" s="177">
        <v>4000</v>
      </c>
      <c r="S41" s="177">
        <v>4000</v>
      </c>
      <c r="T41" s="177">
        <v>4000</v>
      </c>
      <c r="U41" s="177">
        <v>4000</v>
      </c>
      <c r="V41" s="177">
        <v>4000</v>
      </c>
      <c r="W41" s="177">
        <v>4000</v>
      </c>
      <c r="X41" s="177">
        <v>4000</v>
      </c>
      <c r="Y41" s="177">
        <v>4000</v>
      </c>
      <c r="Z41" s="177">
        <v>4000</v>
      </c>
      <c r="AA41" s="177">
        <v>4000</v>
      </c>
      <c r="AB41" s="177">
        <v>4000</v>
      </c>
      <c r="AC41" s="177">
        <v>4000</v>
      </c>
      <c r="AD41" s="177">
        <v>4000</v>
      </c>
      <c r="AE41" s="177">
        <v>4000</v>
      </c>
      <c r="AF41" s="177">
        <v>4000</v>
      </c>
      <c r="AG41" s="177">
        <v>4000</v>
      </c>
      <c r="AH41" s="177">
        <v>4000</v>
      </c>
      <c r="AI41" s="245">
        <v>4000</v>
      </c>
    </row>
    <row r="42" spans="1:35" x14ac:dyDescent="0.2">
      <c r="A42" s="180" t="s">
        <v>111</v>
      </c>
      <c r="B42" s="181"/>
      <c r="C42" s="181"/>
      <c r="D42" s="181"/>
      <c r="E42" s="177"/>
      <c r="F42" s="205">
        <f>F21*10%</f>
        <v>10000</v>
      </c>
      <c r="G42" s="183">
        <f t="shared" ref="G42:AI42" si="20">G21*10%</f>
        <v>10000</v>
      </c>
      <c r="H42" s="177">
        <f t="shared" si="20"/>
        <v>10000</v>
      </c>
      <c r="I42" s="177">
        <f t="shared" si="20"/>
        <v>10000</v>
      </c>
      <c r="J42" s="177">
        <f t="shared" si="20"/>
        <v>10000</v>
      </c>
      <c r="K42" s="177">
        <f t="shared" si="20"/>
        <v>10000</v>
      </c>
      <c r="L42" s="177">
        <f t="shared" si="20"/>
        <v>10000</v>
      </c>
      <c r="M42" s="177">
        <f t="shared" si="20"/>
        <v>10000</v>
      </c>
      <c r="N42" s="177">
        <f t="shared" si="20"/>
        <v>10000</v>
      </c>
      <c r="O42" s="177">
        <f t="shared" si="20"/>
        <v>10000</v>
      </c>
      <c r="P42" s="177">
        <f t="shared" si="20"/>
        <v>10000</v>
      </c>
      <c r="Q42" s="177">
        <f t="shared" si="20"/>
        <v>10000</v>
      </c>
      <c r="R42" s="177">
        <f t="shared" si="20"/>
        <v>10000</v>
      </c>
      <c r="S42" s="177">
        <f t="shared" si="20"/>
        <v>10000</v>
      </c>
      <c r="T42" s="177">
        <f t="shared" si="20"/>
        <v>10000</v>
      </c>
      <c r="U42" s="177">
        <f t="shared" si="20"/>
        <v>10000</v>
      </c>
      <c r="V42" s="177">
        <f t="shared" si="20"/>
        <v>10000</v>
      </c>
      <c r="W42" s="177">
        <f t="shared" si="20"/>
        <v>10000</v>
      </c>
      <c r="X42" s="177">
        <f t="shared" si="20"/>
        <v>10000</v>
      </c>
      <c r="Y42" s="177">
        <f t="shared" si="20"/>
        <v>10000</v>
      </c>
      <c r="Z42" s="177">
        <f t="shared" si="20"/>
        <v>10000</v>
      </c>
      <c r="AA42" s="177">
        <f t="shared" si="20"/>
        <v>10000</v>
      </c>
      <c r="AB42" s="177">
        <f t="shared" si="20"/>
        <v>10000</v>
      </c>
      <c r="AC42" s="177">
        <f t="shared" si="20"/>
        <v>10000</v>
      </c>
      <c r="AD42" s="177">
        <f t="shared" si="20"/>
        <v>10000</v>
      </c>
      <c r="AE42" s="177">
        <f t="shared" si="20"/>
        <v>10000</v>
      </c>
      <c r="AF42" s="177">
        <f t="shared" si="20"/>
        <v>10000</v>
      </c>
      <c r="AG42" s="177">
        <f t="shared" si="20"/>
        <v>10000</v>
      </c>
      <c r="AH42" s="177">
        <f t="shared" si="20"/>
        <v>10000</v>
      </c>
      <c r="AI42" s="245">
        <f t="shared" si="20"/>
        <v>10000</v>
      </c>
    </row>
    <row r="43" spans="1:35" x14ac:dyDescent="0.2">
      <c r="A43" s="180" t="s">
        <v>29</v>
      </c>
      <c r="B43" s="181"/>
      <c r="C43" s="181"/>
      <c r="D43" s="181"/>
      <c r="E43" s="177"/>
      <c r="F43" s="205">
        <f>F26*3%</f>
        <v>5732.0736842105252</v>
      </c>
      <c r="G43" s="183">
        <f t="shared" ref="G43:AI43" si="21">G26*3%</f>
        <v>7611.4421052631569</v>
      </c>
      <c r="H43" s="177">
        <f t="shared" si="21"/>
        <v>9490.8105263157886</v>
      </c>
      <c r="I43" s="177">
        <f t="shared" si="21"/>
        <v>9490.8105263157886</v>
      </c>
      <c r="J43" s="177">
        <f t="shared" si="21"/>
        <v>9490.8105263157886</v>
      </c>
      <c r="K43" s="177">
        <f t="shared" si="21"/>
        <v>9490.8105263157886</v>
      </c>
      <c r="L43" s="177">
        <f t="shared" si="21"/>
        <v>9490.8105263157886</v>
      </c>
      <c r="M43" s="177">
        <f t="shared" si="21"/>
        <v>9490.8105263157886</v>
      </c>
      <c r="N43" s="177">
        <f t="shared" si="21"/>
        <v>9490.8105263157886</v>
      </c>
      <c r="O43" s="177">
        <f t="shared" si="21"/>
        <v>9490.8105263157886</v>
      </c>
      <c r="P43" s="177">
        <f t="shared" si="21"/>
        <v>9490.8105263157886</v>
      </c>
      <c r="Q43" s="177">
        <f t="shared" si="21"/>
        <v>9490.8105263157886</v>
      </c>
      <c r="R43" s="177">
        <f t="shared" si="21"/>
        <v>9490.8105263157886</v>
      </c>
      <c r="S43" s="177">
        <f t="shared" si="21"/>
        <v>9490.8105263157886</v>
      </c>
      <c r="T43" s="177">
        <f t="shared" si="21"/>
        <v>9490.8105263157886</v>
      </c>
      <c r="U43" s="177">
        <f t="shared" si="21"/>
        <v>9490.8105263157886</v>
      </c>
      <c r="V43" s="177">
        <f t="shared" si="21"/>
        <v>9490.8105263157886</v>
      </c>
      <c r="W43" s="177">
        <f t="shared" si="21"/>
        <v>9490.8105263157886</v>
      </c>
      <c r="X43" s="177">
        <f t="shared" si="21"/>
        <v>9490.8105263157886</v>
      </c>
      <c r="Y43" s="177">
        <f t="shared" si="21"/>
        <v>9490.8105263157886</v>
      </c>
      <c r="Z43" s="177">
        <f t="shared" si="21"/>
        <v>9490.8105263157886</v>
      </c>
      <c r="AA43" s="177">
        <f t="shared" si="21"/>
        <v>9490.8105263157886</v>
      </c>
      <c r="AB43" s="177">
        <f t="shared" si="21"/>
        <v>9490.8105263157886</v>
      </c>
      <c r="AC43" s="177">
        <f t="shared" si="21"/>
        <v>9490.8105263157886</v>
      </c>
      <c r="AD43" s="177">
        <f t="shared" si="21"/>
        <v>9490.8105263157886</v>
      </c>
      <c r="AE43" s="177">
        <f t="shared" si="21"/>
        <v>9490.8105263157886</v>
      </c>
      <c r="AF43" s="177">
        <f t="shared" si="21"/>
        <v>9490.8105263157886</v>
      </c>
      <c r="AG43" s="177">
        <f t="shared" si="21"/>
        <v>9490.8105263157886</v>
      </c>
      <c r="AH43" s="177">
        <f t="shared" si="21"/>
        <v>9490.8105263157886</v>
      </c>
      <c r="AI43" s="245">
        <f t="shared" si="21"/>
        <v>9490.8105263157886</v>
      </c>
    </row>
    <row r="44" spans="1:35" x14ac:dyDescent="0.2">
      <c r="A44" s="180" t="s">
        <v>96</v>
      </c>
      <c r="B44" s="181"/>
      <c r="C44" s="181"/>
      <c r="D44" s="181"/>
      <c r="E44" s="177"/>
      <c r="F44" s="205">
        <f>F21*9%</f>
        <v>9000</v>
      </c>
      <c r="G44" s="183">
        <f t="shared" ref="G44:AI44" si="22">G21*9%</f>
        <v>9000</v>
      </c>
      <c r="H44" s="177">
        <f t="shared" si="22"/>
        <v>9000</v>
      </c>
      <c r="I44" s="177">
        <f t="shared" si="22"/>
        <v>9000</v>
      </c>
      <c r="J44" s="177">
        <f t="shared" si="22"/>
        <v>9000</v>
      </c>
      <c r="K44" s="177">
        <f t="shared" si="22"/>
        <v>9000</v>
      </c>
      <c r="L44" s="177">
        <f t="shared" si="22"/>
        <v>9000</v>
      </c>
      <c r="M44" s="177">
        <f t="shared" si="22"/>
        <v>9000</v>
      </c>
      <c r="N44" s="177">
        <f t="shared" si="22"/>
        <v>9000</v>
      </c>
      <c r="O44" s="177">
        <f t="shared" si="22"/>
        <v>9000</v>
      </c>
      <c r="P44" s="177">
        <f t="shared" si="22"/>
        <v>9000</v>
      </c>
      <c r="Q44" s="177">
        <f t="shared" si="22"/>
        <v>9000</v>
      </c>
      <c r="R44" s="177">
        <f t="shared" si="22"/>
        <v>9000</v>
      </c>
      <c r="S44" s="177">
        <f t="shared" si="22"/>
        <v>9000</v>
      </c>
      <c r="T44" s="177">
        <f t="shared" si="22"/>
        <v>9000</v>
      </c>
      <c r="U44" s="177">
        <f t="shared" si="22"/>
        <v>9000</v>
      </c>
      <c r="V44" s="177">
        <f t="shared" si="22"/>
        <v>9000</v>
      </c>
      <c r="W44" s="177">
        <f t="shared" si="22"/>
        <v>9000</v>
      </c>
      <c r="X44" s="177">
        <f t="shared" si="22"/>
        <v>9000</v>
      </c>
      <c r="Y44" s="177">
        <f t="shared" si="22"/>
        <v>9000</v>
      </c>
      <c r="Z44" s="177">
        <f t="shared" si="22"/>
        <v>9000</v>
      </c>
      <c r="AA44" s="177">
        <f t="shared" si="22"/>
        <v>9000</v>
      </c>
      <c r="AB44" s="177">
        <f t="shared" si="22"/>
        <v>9000</v>
      </c>
      <c r="AC44" s="177">
        <f t="shared" si="22"/>
        <v>9000</v>
      </c>
      <c r="AD44" s="177">
        <f t="shared" si="22"/>
        <v>9000</v>
      </c>
      <c r="AE44" s="177">
        <f t="shared" si="22"/>
        <v>9000</v>
      </c>
      <c r="AF44" s="177">
        <f t="shared" si="22"/>
        <v>9000</v>
      </c>
      <c r="AG44" s="177">
        <f t="shared" si="22"/>
        <v>9000</v>
      </c>
      <c r="AH44" s="177">
        <f t="shared" si="22"/>
        <v>9000</v>
      </c>
      <c r="AI44" s="245">
        <f t="shared" si="22"/>
        <v>9000</v>
      </c>
    </row>
    <row r="45" spans="1:35" x14ac:dyDescent="0.2">
      <c r="A45" s="180" t="s">
        <v>44</v>
      </c>
      <c r="B45" s="181"/>
      <c r="C45" s="181" t="s">
        <v>30</v>
      </c>
      <c r="D45" s="182">
        <v>1.6E-2</v>
      </c>
      <c r="E45" s="177"/>
      <c r="F45" s="205">
        <v>0</v>
      </c>
      <c r="G45" s="183">
        <v>0</v>
      </c>
      <c r="H45" s="177">
        <f t="shared" ref="H45" si="23">H14*$D45</f>
        <v>0</v>
      </c>
      <c r="I45" s="177">
        <f t="shared" ref="I45:AI45" si="24">I14*$D45</f>
        <v>0</v>
      </c>
      <c r="J45" s="177">
        <f t="shared" ref="J45" si="25">J14*$D45</f>
        <v>0</v>
      </c>
      <c r="K45" s="177">
        <f t="shared" si="24"/>
        <v>0</v>
      </c>
      <c r="L45" s="177">
        <f t="shared" si="24"/>
        <v>0</v>
      </c>
      <c r="M45" s="177">
        <f t="shared" si="24"/>
        <v>0</v>
      </c>
      <c r="N45" s="177">
        <f t="shared" si="24"/>
        <v>0</v>
      </c>
      <c r="O45" s="177">
        <f t="shared" si="24"/>
        <v>0</v>
      </c>
      <c r="P45" s="177">
        <f t="shared" si="24"/>
        <v>0</v>
      </c>
      <c r="Q45" s="177">
        <f t="shared" si="24"/>
        <v>0</v>
      </c>
      <c r="R45" s="177">
        <f t="shared" si="24"/>
        <v>0</v>
      </c>
      <c r="S45" s="177">
        <f t="shared" si="24"/>
        <v>0</v>
      </c>
      <c r="T45" s="177">
        <f t="shared" si="24"/>
        <v>0</v>
      </c>
      <c r="U45" s="177">
        <f t="shared" si="24"/>
        <v>0</v>
      </c>
      <c r="V45" s="177">
        <f t="shared" si="24"/>
        <v>0</v>
      </c>
      <c r="W45" s="177">
        <f t="shared" si="24"/>
        <v>0</v>
      </c>
      <c r="X45" s="177">
        <f t="shared" si="24"/>
        <v>0</v>
      </c>
      <c r="Y45" s="177">
        <f t="shared" si="24"/>
        <v>0</v>
      </c>
      <c r="Z45" s="177">
        <f t="shared" si="24"/>
        <v>0</v>
      </c>
      <c r="AA45" s="177">
        <f t="shared" si="24"/>
        <v>0</v>
      </c>
      <c r="AB45" s="177">
        <f t="shared" si="24"/>
        <v>0</v>
      </c>
      <c r="AC45" s="177">
        <f t="shared" si="24"/>
        <v>0</v>
      </c>
      <c r="AD45" s="177">
        <f t="shared" si="24"/>
        <v>0</v>
      </c>
      <c r="AE45" s="177">
        <f t="shared" si="24"/>
        <v>0</v>
      </c>
      <c r="AF45" s="177">
        <f t="shared" si="24"/>
        <v>0</v>
      </c>
      <c r="AG45" s="177">
        <f t="shared" si="24"/>
        <v>0</v>
      </c>
      <c r="AH45" s="177">
        <f t="shared" si="24"/>
        <v>0</v>
      </c>
      <c r="AI45" s="245">
        <f t="shared" si="24"/>
        <v>0</v>
      </c>
    </row>
    <row r="46" spans="1:35" x14ac:dyDescent="0.2">
      <c r="A46" s="180" t="s">
        <v>31</v>
      </c>
      <c r="B46" s="181"/>
      <c r="C46" s="181" t="s">
        <v>30</v>
      </c>
      <c r="D46" s="182">
        <v>5.1999999999999998E-3</v>
      </c>
      <c r="E46" s="177"/>
      <c r="F46" s="205">
        <v>0</v>
      </c>
      <c r="G46" s="183">
        <v>0</v>
      </c>
      <c r="H46" s="177">
        <f t="shared" ref="H46" si="26">H15*$D46</f>
        <v>0</v>
      </c>
      <c r="I46" s="177">
        <f t="shared" ref="I46:T46" si="27">I15*$D46</f>
        <v>0</v>
      </c>
      <c r="J46" s="177">
        <f t="shared" ref="J46" si="28">J15*$D46</f>
        <v>0</v>
      </c>
      <c r="K46" s="177">
        <f t="shared" si="27"/>
        <v>0</v>
      </c>
      <c r="L46" s="177">
        <f t="shared" si="27"/>
        <v>0</v>
      </c>
      <c r="M46" s="177">
        <f t="shared" si="27"/>
        <v>0</v>
      </c>
      <c r="N46" s="177">
        <f t="shared" si="27"/>
        <v>0</v>
      </c>
      <c r="O46" s="177">
        <f t="shared" si="27"/>
        <v>0</v>
      </c>
      <c r="P46" s="177">
        <f t="shared" si="27"/>
        <v>0</v>
      </c>
      <c r="Q46" s="177">
        <f t="shared" si="27"/>
        <v>0</v>
      </c>
      <c r="R46" s="177">
        <f t="shared" si="27"/>
        <v>0</v>
      </c>
      <c r="S46" s="177">
        <f t="shared" si="27"/>
        <v>0</v>
      </c>
      <c r="T46" s="177">
        <f t="shared" si="27"/>
        <v>0</v>
      </c>
      <c r="U46" s="177">
        <f t="shared" ref="U46:AI46" si="29">U15*$D46</f>
        <v>0</v>
      </c>
      <c r="V46" s="177">
        <f t="shared" si="29"/>
        <v>0</v>
      </c>
      <c r="W46" s="177">
        <f t="shared" si="29"/>
        <v>0</v>
      </c>
      <c r="X46" s="177">
        <f t="shared" si="29"/>
        <v>0</v>
      </c>
      <c r="Y46" s="177">
        <f t="shared" si="29"/>
        <v>0</v>
      </c>
      <c r="Z46" s="177">
        <f t="shared" si="29"/>
        <v>0</v>
      </c>
      <c r="AA46" s="177">
        <f t="shared" si="29"/>
        <v>0</v>
      </c>
      <c r="AB46" s="177">
        <f t="shared" si="29"/>
        <v>0</v>
      </c>
      <c r="AC46" s="177">
        <f t="shared" si="29"/>
        <v>0</v>
      </c>
      <c r="AD46" s="177">
        <f t="shared" si="29"/>
        <v>0</v>
      </c>
      <c r="AE46" s="177">
        <f t="shared" si="29"/>
        <v>0</v>
      </c>
      <c r="AF46" s="177">
        <f t="shared" si="29"/>
        <v>0</v>
      </c>
      <c r="AG46" s="177">
        <f t="shared" si="29"/>
        <v>0</v>
      </c>
      <c r="AH46" s="177">
        <f t="shared" si="29"/>
        <v>0</v>
      </c>
      <c r="AI46" s="245">
        <f t="shared" si="29"/>
        <v>0</v>
      </c>
    </row>
    <row r="47" spans="1:35" x14ac:dyDescent="0.2">
      <c r="A47" s="246" t="s">
        <v>55</v>
      </c>
      <c r="B47" s="181"/>
      <c r="C47" s="181"/>
      <c r="D47" s="181"/>
      <c r="E47" s="177"/>
      <c r="F47" s="205">
        <v>0</v>
      </c>
      <c r="G47" s="183">
        <v>0</v>
      </c>
      <c r="H47" s="177">
        <v>0</v>
      </c>
      <c r="I47" s="177">
        <v>0</v>
      </c>
      <c r="J47" s="177">
        <v>0</v>
      </c>
      <c r="K47" s="177">
        <v>0</v>
      </c>
      <c r="L47" s="177">
        <v>0</v>
      </c>
      <c r="M47" s="177">
        <v>0</v>
      </c>
      <c r="N47" s="177">
        <v>0</v>
      </c>
      <c r="O47" s="177">
        <v>0</v>
      </c>
      <c r="P47" s="177">
        <v>0</v>
      </c>
      <c r="Q47" s="177">
        <v>0</v>
      </c>
      <c r="R47" s="177">
        <v>0</v>
      </c>
      <c r="S47" s="177">
        <v>0</v>
      </c>
      <c r="T47" s="177">
        <v>0</v>
      </c>
      <c r="U47" s="177">
        <v>0</v>
      </c>
      <c r="V47" s="177">
        <v>0</v>
      </c>
      <c r="W47" s="177">
        <v>0</v>
      </c>
      <c r="X47" s="177">
        <v>0</v>
      </c>
      <c r="Y47" s="177">
        <v>0</v>
      </c>
      <c r="Z47" s="177">
        <v>0</v>
      </c>
      <c r="AA47" s="177">
        <v>0</v>
      </c>
      <c r="AB47" s="177">
        <v>0</v>
      </c>
      <c r="AC47" s="177">
        <v>0</v>
      </c>
      <c r="AD47" s="177">
        <v>0</v>
      </c>
      <c r="AE47" s="177">
        <v>0</v>
      </c>
      <c r="AF47" s="177">
        <v>0</v>
      </c>
      <c r="AG47" s="177">
        <v>0</v>
      </c>
      <c r="AH47" s="177">
        <v>0</v>
      </c>
      <c r="AI47" s="245">
        <v>0</v>
      </c>
    </row>
    <row r="48" spans="1:35" x14ac:dyDescent="0.2">
      <c r="A48" s="180" t="s">
        <v>32</v>
      </c>
      <c r="B48" s="181"/>
      <c r="C48" s="181"/>
      <c r="D48" s="181"/>
      <c r="E48" s="177"/>
      <c r="F48" s="205">
        <v>1000</v>
      </c>
      <c r="G48" s="183">
        <v>1000</v>
      </c>
      <c r="H48" s="177">
        <v>1000</v>
      </c>
      <c r="I48" s="177">
        <v>1000</v>
      </c>
      <c r="J48" s="177">
        <v>1000</v>
      </c>
      <c r="K48" s="177">
        <v>1000</v>
      </c>
      <c r="L48" s="177">
        <v>1000</v>
      </c>
      <c r="M48" s="177">
        <v>1000</v>
      </c>
      <c r="N48" s="177">
        <v>1000</v>
      </c>
      <c r="O48" s="177">
        <v>1000</v>
      </c>
      <c r="P48" s="177">
        <v>1000</v>
      </c>
      <c r="Q48" s="177">
        <v>1000</v>
      </c>
      <c r="R48" s="177">
        <v>1000</v>
      </c>
      <c r="S48" s="177">
        <v>1000</v>
      </c>
      <c r="T48" s="177">
        <v>1000</v>
      </c>
      <c r="U48" s="177">
        <v>1000</v>
      </c>
      <c r="V48" s="177">
        <v>1000</v>
      </c>
      <c r="W48" s="177">
        <v>1000</v>
      </c>
      <c r="X48" s="177">
        <v>1000</v>
      </c>
      <c r="Y48" s="177">
        <v>1000</v>
      </c>
      <c r="Z48" s="177">
        <v>1000</v>
      </c>
      <c r="AA48" s="177">
        <v>1000</v>
      </c>
      <c r="AB48" s="177">
        <v>1000</v>
      </c>
      <c r="AC48" s="177">
        <v>1000</v>
      </c>
      <c r="AD48" s="177">
        <v>1000</v>
      </c>
      <c r="AE48" s="177">
        <v>1000</v>
      </c>
      <c r="AF48" s="177">
        <v>1000</v>
      </c>
      <c r="AG48" s="177">
        <v>1000</v>
      </c>
      <c r="AH48" s="177">
        <v>1000</v>
      </c>
      <c r="AI48" s="245">
        <v>1000</v>
      </c>
    </row>
    <row r="49" spans="1:36" s="253" customFormat="1" hidden="1" x14ac:dyDescent="0.2">
      <c r="A49" s="247"/>
      <c r="B49" s="248"/>
      <c r="C49" s="248"/>
      <c r="D49" s="248"/>
      <c r="E49" s="249"/>
      <c r="F49" s="250">
        <v>0</v>
      </c>
      <c r="G49" s="251">
        <v>0</v>
      </c>
      <c r="H49" s="249">
        <v>0</v>
      </c>
      <c r="I49" s="249">
        <v>0</v>
      </c>
      <c r="J49" s="249">
        <v>0</v>
      </c>
      <c r="K49" s="249">
        <v>0</v>
      </c>
      <c r="L49" s="249">
        <v>0</v>
      </c>
      <c r="M49" s="249">
        <v>0</v>
      </c>
      <c r="N49" s="249">
        <v>0</v>
      </c>
      <c r="O49" s="249">
        <v>0</v>
      </c>
      <c r="P49" s="249">
        <v>0</v>
      </c>
      <c r="Q49" s="249">
        <v>0</v>
      </c>
      <c r="R49" s="249">
        <v>0</v>
      </c>
      <c r="S49" s="249">
        <v>0</v>
      </c>
      <c r="T49" s="249">
        <v>0</v>
      </c>
      <c r="U49" s="249">
        <v>0</v>
      </c>
      <c r="V49" s="249">
        <v>0</v>
      </c>
      <c r="W49" s="249">
        <v>0</v>
      </c>
      <c r="X49" s="249">
        <v>0</v>
      </c>
      <c r="Y49" s="249">
        <v>0</v>
      </c>
      <c r="Z49" s="249">
        <v>0</v>
      </c>
      <c r="AA49" s="249">
        <v>0</v>
      </c>
      <c r="AB49" s="249">
        <v>0</v>
      </c>
      <c r="AC49" s="249">
        <v>0</v>
      </c>
      <c r="AD49" s="249">
        <v>0</v>
      </c>
      <c r="AE49" s="249">
        <v>0</v>
      </c>
      <c r="AF49" s="249">
        <v>0</v>
      </c>
      <c r="AG49" s="249">
        <v>0</v>
      </c>
      <c r="AH49" s="249">
        <v>0</v>
      </c>
      <c r="AI49" s="252">
        <v>0</v>
      </c>
    </row>
    <row r="50" spans="1:36" hidden="1" x14ac:dyDescent="0.2">
      <c r="A50" s="180" t="s">
        <v>33</v>
      </c>
      <c r="B50" s="181"/>
      <c r="C50" s="181" t="s">
        <v>34</v>
      </c>
      <c r="D50" s="182"/>
      <c r="E50" s="177"/>
      <c r="F50" s="254">
        <v>0</v>
      </c>
      <c r="G50" s="255">
        <v>0</v>
      </c>
      <c r="H50" s="218">
        <v>0</v>
      </c>
      <c r="I50" s="218">
        <v>0</v>
      </c>
      <c r="J50" s="218">
        <v>0</v>
      </c>
      <c r="K50" s="218">
        <v>0</v>
      </c>
      <c r="L50" s="218">
        <v>0</v>
      </c>
      <c r="M50" s="218">
        <v>0</v>
      </c>
      <c r="N50" s="218">
        <v>0</v>
      </c>
      <c r="O50" s="218">
        <v>0</v>
      </c>
      <c r="P50" s="218">
        <v>0</v>
      </c>
      <c r="Q50" s="218">
        <v>0</v>
      </c>
      <c r="R50" s="218">
        <v>0</v>
      </c>
      <c r="S50" s="218">
        <v>0</v>
      </c>
      <c r="T50" s="218">
        <v>0</v>
      </c>
      <c r="U50" s="218">
        <v>0</v>
      </c>
      <c r="V50" s="218">
        <v>0</v>
      </c>
      <c r="W50" s="218">
        <v>0</v>
      </c>
      <c r="X50" s="218">
        <v>0</v>
      </c>
      <c r="Y50" s="218">
        <v>0</v>
      </c>
      <c r="Z50" s="218">
        <v>0</v>
      </c>
      <c r="AA50" s="218">
        <v>0</v>
      </c>
      <c r="AB50" s="218">
        <v>0</v>
      </c>
      <c r="AC50" s="218">
        <v>0</v>
      </c>
      <c r="AD50" s="218">
        <v>0</v>
      </c>
      <c r="AE50" s="218">
        <v>0</v>
      </c>
      <c r="AF50" s="218">
        <v>0</v>
      </c>
      <c r="AG50" s="218">
        <v>0</v>
      </c>
      <c r="AH50" s="218">
        <v>0</v>
      </c>
      <c r="AI50" s="256">
        <v>0</v>
      </c>
    </row>
    <row r="51" spans="1:36" hidden="1" x14ac:dyDescent="0.2">
      <c r="A51" s="180"/>
      <c r="B51" s="181"/>
      <c r="C51" s="181"/>
      <c r="D51" s="181"/>
      <c r="E51" s="177"/>
      <c r="F51" s="254"/>
      <c r="G51" s="255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56"/>
    </row>
    <row r="52" spans="1:36" s="262" customFormat="1" x14ac:dyDescent="0.2">
      <c r="A52" s="257" t="s">
        <v>151</v>
      </c>
      <c r="B52" s="258"/>
      <c r="C52" s="258"/>
      <c r="D52" s="258"/>
      <c r="E52" s="259">
        <v>0</v>
      </c>
      <c r="F52" s="260">
        <f>$E$130</f>
        <v>0</v>
      </c>
      <c r="G52" s="261">
        <f>$E$130</f>
        <v>0</v>
      </c>
      <c r="H52" s="259">
        <f t="shared" ref="H52:AI52" si="30">$E$130</f>
        <v>0</v>
      </c>
      <c r="I52" s="259">
        <f t="shared" si="30"/>
        <v>0</v>
      </c>
      <c r="J52" s="259">
        <f t="shared" si="30"/>
        <v>0</v>
      </c>
      <c r="K52" s="259">
        <f t="shared" si="30"/>
        <v>0</v>
      </c>
      <c r="L52" s="259">
        <f t="shared" si="30"/>
        <v>0</v>
      </c>
      <c r="M52" s="259">
        <f t="shared" si="30"/>
        <v>0</v>
      </c>
      <c r="N52" s="259">
        <f t="shared" si="30"/>
        <v>0</v>
      </c>
      <c r="O52" s="259">
        <f t="shared" si="30"/>
        <v>0</v>
      </c>
      <c r="P52" s="259">
        <f t="shared" si="30"/>
        <v>0</v>
      </c>
      <c r="Q52" s="259">
        <f t="shared" si="30"/>
        <v>0</v>
      </c>
      <c r="R52" s="259">
        <f t="shared" si="30"/>
        <v>0</v>
      </c>
      <c r="S52" s="259">
        <f t="shared" si="30"/>
        <v>0</v>
      </c>
      <c r="T52" s="259">
        <f t="shared" si="30"/>
        <v>0</v>
      </c>
      <c r="U52" s="259">
        <f t="shared" si="30"/>
        <v>0</v>
      </c>
      <c r="V52" s="259">
        <f t="shared" si="30"/>
        <v>0</v>
      </c>
      <c r="W52" s="259">
        <f t="shared" si="30"/>
        <v>0</v>
      </c>
      <c r="X52" s="259">
        <f t="shared" si="30"/>
        <v>0</v>
      </c>
      <c r="Y52" s="259">
        <f t="shared" si="30"/>
        <v>0</v>
      </c>
      <c r="Z52" s="259">
        <f t="shared" si="30"/>
        <v>0</v>
      </c>
      <c r="AA52" s="259">
        <f t="shared" si="30"/>
        <v>0</v>
      </c>
      <c r="AB52" s="259">
        <f t="shared" si="30"/>
        <v>0</v>
      </c>
      <c r="AC52" s="259">
        <f t="shared" si="30"/>
        <v>0</v>
      </c>
      <c r="AD52" s="259">
        <f t="shared" si="30"/>
        <v>0</v>
      </c>
      <c r="AE52" s="259">
        <f t="shared" si="30"/>
        <v>0</v>
      </c>
      <c r="AF52" s="259">
        <f t="shared" si="30"/>
        <v>0</v>
      </c>
      <c r="AG52" s="259">
        <f t="shared" si="30"/>
        <v>0</v>
      </c>
      <c r="AH52" s="259">
        <f t="shared" si="30"/>
        <v>0</v>
      </c>
      <c r="AI52" s="259">
        <f t="shared" si="30"/>
        <v>0</v>
      </c>
      <c r="AJ52" s="259"/>
    </row>
    <row r="53" spans="1:36" hidden="1" x14ac:dyDescent="0.2">
      <c r="A53" s="180"/>
      <c r="B53" s="181"/>
      <c r="C53" s="181"/>
      <c r="D53" s="181"/>
      <c r="E53" s="181"/>
      <c r="F53" s="263"/>
      <c r="G53" s="264"/>
      <c r="H53" s="265"/>
      <c r="I53" s="265"/>
      <c r="J53" s="265"/>
      <c r="K53" s="265"/>
      <c r="L53" s="265"/>
      <c r="M53" s="265"/>
      <c r="N53" s="266"/>
      <c r="O53" s="266"/>
      <c r="P53" s="266"/>
      <c r="Q53" s="266"/>
      <c r="R53" s="266"/>
      <c r="S53" s="266"/>
      <c r="T53" s="266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  <row r="54" spans="1:36" hidden="1" x14ac:dyDescent="0.2">
      <c r="A54" s="180" t="s">
        <v>53</v>
      </c>
      <c r="B54" s="181"/>
      <c r="C54" s="181" t="s">
        <v>36</v>
      </c>
      <c r="D54" s="182">
        <v>0.25</v>
      </c>
      <c r="E54" s="181"/>
      <c r="F54" s="263"/>
      <c r="G54" s="255">
        <v>0</v>
      </c>
      <c r="H54" s="218">
        <v>0</v>
      </c>
      <c r="I54" s="218">
        <v>0</v>
      </c>
      <c r="J54" s="218">
        <v>0</v>
      </c>
      <c r="K54" s="218">
        <v>0</v>
      </c>
      <c r="L54" s="218">
        <v>0</v>
      </c>
      <c r="M54" s="218">
        <v>0</v>
      </c>
      <c r="N54" s="218">
        <v>0</v>
      </c>
      <c r="O54" s="218">
        <v>0</v>
      </c>
      <c r="P54" s="218">
        <v>0</v>
      </c>
      <c r="Q54" s="218">
        <v>0</v>
      </c>
      <c r="R54" s="218">
        <v>0</v>
      </c>
      <c r="S54" s="218">
        <v>0</v>
      </c>
      <c r="T54" s="218">
        <v>0</v>
      </c>
      <c r="U54" s="218">
        <v>0</v>
      </c>
      <c r="V54" s="218">
        <v>0</v>
      </c>
      <c r="W54" s="218">
        <v>0</v>
      </c>
      <c r="X54" s="218">
        <v>0</v>
      </c>
      <c r="Y54" s="218">
        <v>0</v>
      </c>
      <c r="Z54" s="218">
        <v>0</v>
      </c>
      <c r="AA54" s="218">
        <v>0</v>
      </c>
      <c r="AB54" s="218">
        <v>0</v>
      </c>
      <c r="AC54" s="218">
        <v>0</v>
      </c>
      <c r="AD54" s="218">
        <v>0</v>
      </c>
      <c r="AE54" s="218">
        <v>0</v>
      </c>
      <c r="AF54" s="218">
        <v>0</v>
      </c>
      <c r="AG54" s="218">
        <v>0</v>
      </c>
      <c r="AH54" s="218">
        <v>0</v>
      </c>
      <c r="AI54" s="256">
        <v>0</v>
      </c>
    </row>
    <row r="55" spans="1:36" hidden="1" x14ac:dyDescent="0.2">
      <c r="A55" s="180"/>
      <c r="B55" s="181"/>
      <c r="C55" s="181"/>
      <c r="D55" s="181"/>
      <c r="E55" s="181"/>
      <c r="F55" s="268"/>
      <c r="G55" s="180"/>
      <c r="H55" s="181"/>
      <c r="I55" s="181"/>
      <c r="J55" s="269"/>
      <c r="K55" s="181"/>
      <c r="L55" s="181"/>
      <c r="M55" s="181"/>
      <c r="N55" s="181"/>
      <c r="O55" s="181"/>
      <c r="P55" s="181"/>
      <c r="Q55" s="181"/>
      <c r="R55" s="181"/>
      <c r="S55" s="269"/>
      <c r="T55" s="269"/>
      <c r="U55" s="269"/>
      <c r="V55" s="269"/>
      <c r="W55" s="269"/>
      <c r="X55" s="269"/>
      <c r="Y55" s="269"/>
      <c r="Z55" s="269"/>
      <c r="AA55" s="269"/>
      <c r="AB55" s="269"/>
      <c r="AC55" s="269"/>
      <c r="AD55" s="269"/>
      <c r="AE55" s="269"/>
      <c r="AF55" s="269"/>
      <c r="AG55" s="269"/>
      <c r="AH55" s="269"/>
      <c r="AI55" s="270"/>
    </row>
    <row r="56" spans="1:36" ht="13.5" thickBot="1" x14ac:dyDescent="0.25">
      <c r="A56" s="170" t="s">
        <v>37</v>
      </c>
      <c r="B56" s="171"/>
      <c r="C56" s="171"/>
      <c r="D56" s="171"/>
      <c r="E56" s="172">
        <f>E16-E20-E50-E52-E54</f>
        <v>0</v>
      </c>
      <c r="F56" s="271">
        <f>F16-F20-F50-F52-F54</f>
        <v>-378327.11733333336</v>
      </c>
      <c r="G56" s="173">
        <f>G16-G20-G50-G52-G54</f>
        <v>-467696.66400000005</v>
      </c>
      <c r="H56" s="172">
        <f>H16-H20-H50-H52-H54</f>
        <v>-552066.21066666674</v>
      </c>
      <c r="I56" s="172">
        <f t="shared" ref="I56:AI56" si="31">I16-I20-I50-I52-I54</f>
        <v>-552066.21066666674</v>
      </c>
      <c r="J56" s="174">
        <f t="shared" si="31"/>
        <v>-552066.21066666674</v>
      </c>
      <c r="K56" s="172">
        <f>K16-K20-K50-K52-K54</f>
        <v>-552066.21066666674</v>
      </c>
      <c r="L56" s="172">
        <f>L16-L20-L50-L52-L54</f>
        <v>-552066.21066666674</v>
      </c>
      <c r="M56" s="172">
        <f>M16-M20-M50-M52-M54</f>
        <v>-552066.21066666674</v>
      </c>
      <c r="N56" s="172">
        <f t="shared" si="31"/>
        <v>-552066.21066666674</v>
      </c>
      <c r="O56" s="172">
        <f>O16-O20-O50-O52-O54</f>
        <v>-552066.21066666674</v>
      </c>
      <c r="P56" s="172">
        <f t="shared" si="31"/>
        <v>-552066.21066666674</v>
      </c>
      <c r="Q56" s="172">
        <f>Q16-Q20-Q50-Q52-Q54</f>
        <v>-552066.21066666674</v>
      </c>
      <c r="R56" s="172">
        <f t="shared" si="31"/>
        <v>-552066.21066666674</v>
      </c>
      <c r="S56" s="174">
        <f t="shared" si="31"/>
        <v>-552066.21066666674</v>
      </c>
      <c r="T56" s="174">
        <f t="shared" si="31"/>
        <v>-552066.21066666674</v>
      </c>
      <c r="U56" s="174">
        <f t="shared" si="31"/>
        <v>-552066.21066666674</v>
      </c>
      <c r="V56" s="174">
        <f t="shared" si="31"/>
        <v>-552066.21066666674</v>
      </c>
      <c r="W56" s="174">
        <f t="shared" si="31"/>
        <v>-552066.21066666674</v>
      </c>
      <c r="X56" s="174">
        <f t="shared" si="31"/>
        <v>-552066.21066666674</v>
      </c>
      <c r="Y56" s="174">
        <f t="shared" si="31"/>
        <v>-552066.21066666674</v>
      </c>
      <c r="Z56" s="174">
        <f t="shared" si="31"/>
        <v>-552066.21066666674</v>
      </c>
      <c r="AA56" s="174">
        <f t="shared" si="31"/>
        <v>-552066.21066666674</v>
      </c>
      <c r="AB56" s="174">
        <f t="shared" si="31"/>
        <v>-552066.21066666674</v>
      </c>
      <c r="AC56" s="174">
        <f t="shared" si="31"/>
        <v>-552066.21066666674</v>
      </c>
      <c r="AD56" s="174">
        <f t="shared" si="31"/>
        <v>-552066.21066666674</v>
      </c>
      <c r="AE56" s="174">
        <f t="shared" si="31"/>
        <v>-552066.21066666674</v>
      </c>
      <c r="AF56" s="174">
        <f t="shared" si="31"/>
        <v>-552066.21066666674</v>
      </c>
      <c r="AG56" s="174">
        <f t="shared" si="31"/>
        <v>-552066.21066666674</v>
      </c>
      <c r="AH56" s="174">
        <f t="shared" si="31"/>
        <v>-552066.21066666674</v>
      </c>
      <c r="AI56" s="185">
        <f t="shared" si="31"/>
        <v>-552066.21066666674</v>
      </c>
    </row>
    <row r="57" spans="1:36" ht="13.5" thickBot="1" x14ac:dyDescent="0.25">
      <c r="A57" s="272" t="s">
        <v>38</v>
      </c>
      <c r="B57" s="273"/>
      <c r="C57" s="273"/>
      <c r="D57" s="273"/>
      <c r="E57" s="274">
        <f t="shared" ref="E57:L57" si="32">E56+E25</f>
        <v>0</v>
      </c>
      <c r="F57" s="275">
        <f>F56+F25</f>
        <v>-378327.11733333336</v>
      </c>
      <c r="G57" s="274">
        <f t="shared" si="32"/>
        <v>-467696.66400000005</v>
      </c>
      <c r="H57" s="274">
        <f t="shared" si="32"/>
        <v>-552066.21066666674</v>
      </c>
      <c r="I57" s="274">
        <f t="shared" si="32"/>
        <v>-552066.21066666674</v>
      </c>
      <c r="J57" s="276">
        <f t="shared" si="32"/>
        <v>-552066.21066666674</v>
      </c>
      <c r="K57" s="274">
        <f>K56+K25</f>
        <v>-552066.21066666674</v>
      </c>
      <c r="L57" s="274">
        <f t="shared" si="32"/>
        <v>-552066.21066666674</v>
      </c>
      <c r="M57" s="274">
        <f>M56+M25</f>
        <v>-552066.21066666674</v>
      </c>
      <c r="N57" s="274">
        <f t="shared" ref="N57:AI57" si="33">N56+N25</f>
        <v>-552066.21066666674</v>
      </c>
      <c r="O57" s="274">
        <f t="shared" si="33"/>
        <v>-552066.21066666674</v>
      </c>
      <c r="P57" s="274">
        <f t="shared" si="33"/>
        <v>-552066.21066666674</v>
      </c>
      <c r="Q57" s="274">
        <f t="shared" si="33"/>
        <v>-552066.21066666674</v>
      </c>
      <c r="R57" s="274">
        <f t="shared" si="33"/>
        <v>-552066.21066666674</v>
      </c>
      <c r="S57" s="276">
        <f>S56+S25</f>
        <v>-552066.21066666674</v>
      </c>
      <c r="T57" s="276">
        <f t="shared" si="33"/>
        <v>-552066.21066666674</v>
      </c>
      <c r="U57" s="276">
        <f t="shared" si="33"/>
        <v>-552066.21066666674</v>
      </c>
      <c r="V57" s="276">
        <f t="shared" si="33"/>
        <v>-552066.21066666674</v>
      </c>
      <c r="W57" s="276">
        <f t="shared" si="33"/>
        <v>-552066.21066666674</v>
      </c>
      <c r="X57" s="276">
        <f t="shared" si="33"/>
        <v>-552066.21066666674</v>
      </c>
      <c r="Y57" s="276">
        <f t="shared" si="33"/>
        <v>-552066.21066666674</v>
      </c>
      <c r="Z57" s="276">
        <f t="shared" si="33"/>
        <v>-552066.21066666674</v>
      </c>
      <c r="AA57" s="276">
        <f t="shared" si="33"/>
        <v>-552066.21066666674</v>
      </c>
      <c r="AB57" s="276">
        <f t="shared" si="33"/>
        <v>-552066.21066666674</v>
      </c>
      <c r="AC57" s="276">
        <f t="shared" si="33"/>
        <v>-552066.21066666674</v>
      </c>
      <c r="AD57" s="276">
        <f t="shared" si="33"/>
        <v>-552066.21066666674</v>
      </c>
      <c r="AE57" s="276">
        <f t="shared" si="33"/>
        <v>-552066.21066666674</v>
      </c>
      <c r="AF57" s="276">
        <f t="shared" si="33"/>
        <v>-552066.21066666674</v>
      </c>
      <c r="AG57" s="276">
        <f t="shared" si="33"/>
        <v>-552066.21066666674</v>
      </c>
      <c r="AH57" s="276">
        <f t="shared" si="33"/>
        <v>-552066.21066666674</v>
      </c>
      <c r="AI57" s="277">
        <f t="shared" si="33"/>
        <v>-552066.21066666674</v>
      </c>
    </row>
    <row r="58" spans="1:36" ht="13.5" thickBot="1" x14ac:dyDescent="0.25">
      <c r="A58" s="165" t="s">
        <v>48</v>
      </c>
      <c r="B58" s="166"/>
      <c r="C58" s="166"/>
      <c r="D58" s="166"/>
      <c r="E58" s="278">
        <f>IF(E57&lt;0,0,E57*0.5)</f>
        <v>0</v>
      </c>
      <c r="F58" s="201">
        <f t="shared" ref="F58" si="34">IF(F57&lt;0,0,F57*0.5)</f>
        <v>0</v>
      </c>
      <c r="G58" s="202">
        <v>0</v>
      </c>
      <c r="H58" s="202">
        <v>0</v>
      </c>
      <c r="I58" s="202">
        <v>0</v>
      </c>
      <c r="J58" s="202">
        <v>0</v>
      </c>
      <c r="K58" s="202">
        <v>0</v>
      </c>
      <c r="L58" s="202">
        <v>0</v>
      </c>
      <c r="M58" s="202">
        <v>0</v>
      </c>
      <c r="N58" s="202">
        <v>0</v>
      </c>
      <c r="O58" s="202">
        <v>0</v>
      </c>
      <c r="P58" s="202">
        <v>0</v>
      </c>
      <c r="Q58" s="202">
        <v>0</v>
      </c>
      <c r="R58" s="202">
        <v>0</v>
      </c>
      <c r="S58" s="202">
        <v>0</v>
      </c>
      <c r="T58" s="202">
        <v>0</v>
      </c>
      <c r="U58" s="202">
        <v>0</v>
      </c>
      <c r="V58" s="202">
        <v>0</v>
      </c>
      <c r="W58" s="202">
        <v>0</v>
      </c>
      <c r="X58" s="202">
        <v>0</v>
      </c>
      <c r="Y58" s="202">
        <v>0</v>
      </c>
      <c r="Z58" s="202">
        <v>0</v>
      </c>
      <c r="AA58" s="202">
        <v>0</v>
      </c>
      <c r="AB58" s="202">
        <v>0</v>
      </c>
      <c r="AC58" s="202">
        <v>0</v>
      </c>
      <c r="AD58" s="202">
        <v>0</v>
      </c>
      <c r="AE58" s="202">
        <v>0</v>
      </c>
      <c r="AF58" s="202">
        <v>0</v>
      </c>
      <c r="AG58" s="202">
        <v>0</v>
      </c>
      <c r="AH58" s="202">
        <v>0</v>
      </c>
      <c r="AI58" s="279">
        <v>0</v>
      </c>
    </row>
    <row r="59" spans="1:36" ht="26.25" customHeight="1" thickBot="1" x14ac:dyDescent="0.25">
      <c r="A59" s="280" t="s">
        <v>50</v>
      </c>
      <c r="B59" s="166"/>
      <c r="C59" s="166"/>
      <c r="D59" s="166"/>
      <c r="E59" s="167">
        <f t="shared" ref="E59:S59" si="35">SUM(E7:E7)*-1+E57-E58</f>
        <v>0</v>
      </c>
      <c r="F59" s="281">
        <f t="shared" si="35"/>
        <v>-378327.11733333336</v>
      </c>
      <c r="G59" s="274">
        <f t="shared" si="35"/>
        <v>-467696.66400000005</v>
      </c>
      <c r="H59" s="274">
        <f t="shared" si="35"/>
        <v>-552066.21066666674</v>
      </c>
      <c r="I59" s="274">
        <f t="shared" si="35"/>
        <v>-552066.21066666674</v>
      </c>
      <c r="J59" s="276">
        <f t="shared" si="35"/>
        <v>-552066.21066666674</v>
      </c>
      <c r="K59" s="274">
        <f t="shared" si="35"/>
        <v>-552066.21066666674</v>
      </c>
      <c r="L59" s="274">
        <f t="shared" si="35"/>
        <v>-552066.21066666674</v>
      </c>
      <c r="M59" s="274">
        <f t="shared" si="35"/>
        <v>-552066.21066666674</v>
      </c>
      <c r="N59" s="274">
        <f>SUM(N7:N7)*-1+N57-N58</f>
        <v>-552066.21066666674</v>
      </c>
      <c r="O59" s="274">
        <f t="shared" si="35"/>
        <v>-552066.21066666674</v>
      </c>
      <c r="P59" s="274">
        <f t="shared" si="35"/>
        <v>-552066.21066666674</v>
      </c>
      <c r="Q59" s="274">
        <f t="shared" si="35"/>
        <v>-552066.21066666674</v>
      </c>
      <c r="R59" s="274">
        <f t="shared" si="35"/>
        <v>-552066.21066666674</v>
      </c>
      <c r="S59" s="276">
        <f t="shared" si="35"/>
        <v>-552066.21066666674</v>
      </c>
      <c r="T59" s="276">
        <f>SUM(T7:T7)*-1+T57-T58</f>
        <v>-552066.21066666674</v>
      </c>
      <c r="U59" s="276">
        <f t="shared" ref="U59:AI59" si="36">SUM(U7:U7)*-1+U57-U58</f>
        <v>-552066.21066666674</v>
      </c>
      <c r="V59" s="276">
        <f t="shared" si="36"/>
        <v>-552066.21066666674</v>
      </c>
      <c r="W59" s="276">
        <f t="shared" si="36"/>
        <v>-552066.21066666674</v>
      </c>
      <c r="X59" s="276">
        <f t="shared" si="36"/>
        <v>-552066.21066666674</v>
      </c>
      <c r="Y59" s="276">
        <f t="shared" si="36"/>
        <v>-552066.21066666674</v>
      </c>
      <c r="Z59" s="276">
        <f t="shared" si="36"/>
        <v>-552066.21066666674</v>
      </c>
      <c r="AA59" s="276">
        <f t="shared" si="36"/>
        <v>-552066.21066666674</v>
      </c>
      <c r="AB59" s="276">
        <f t="shared" si="36"/>
        <v>-552066.21066666674</v>
      </c>
      <c r="AC59" s="276">
        <f t="shared" si="36"/>
        <v>-552066.21066666674</v>
      </c>
      <c r="AD59" s="276">
        <f t="shared" si="36"/>
        <v>-552066.21066666674</v>
      </c>
      <c r="AE59" s="276">
        <f t="shared" si="36"/>
        <v>-552066.21066666674</v>
      </c>
      <c r="AF59" s="276">
        <f t="shared" si="36"/>
        <v>-552066.21066666674</v>
      </c>
      <c r="AG59" s="276">
        <f t="shared" si="36"/>
        <v>-552066.21066666674</v>
      </c>
      <c r="AH59" s="276">
        <f t="shared" si="36"/>
        <v>-552066.21066666674</v>
      </c>
      <c r="AI59" s="277">
        <f t="shared" si="36"/>
        <v>-552066.21066666674</v>
      </c>
    </row>
    <row r="60" spans="1:36" s="283" customFormat="1" ht="13.5" thickBot="1" x14ac:dyDescent="0.25">
      <c r="A60" s="282" t="s">
        <v>39</v>
      </c>
      <c r="B60" s="274"/>
      <c r="C60" s="274"/>
      <c r="D60" s="274"/>
      <c r="E60" s="274">
        <f>SUM($E59:E59)</f>
        <v>0</v>
      </c>
      <c r="F60" s="275">
        <f>SUM($E59:F59)</f>
        <v>-378327.11733333336</v>
      </c>
      <c r="G60" s="275">
        <f>SUM($E59:G59)</f>
        <v>-846023.78133333335</v>
      </c>
      <c r="H60" s="275">
        <f>SUM($E59:H59)</f>
        <v>-1398089.9920000001</v>
      </c>
      <c r="I60" s="275">
        <f>SUM($E59:I59)</f>
        <v>-1950156.2026666668</v>
      </c>
      <c r="J60" s="275">
        <f>SUM($E59:J59)</f>
        <v>-2502222.4133333336</v>
      </c>
      <c r="K60" s="275">
        <f>SUM($E59:K59)</f>
        <v>-3054288.6240000003</v>
      </c>
      <c r="L60" s="275">
        <f>SUM($E59:L59)</f>
        <v>-3606354.834666667</v>
      </c>
      <c r="M60" s="275">
        <f>SUM($E59:M59)</f>
        <v>-4158421.0453333338</v>
      </c>
      <c r="N60" s="275">
        <f>SUM($E59:N59)</f>
        <v>-4710487.256000001</v>
      </c>
      <c r="O60" s="275">
        <f>SUM($E59:O59)</f>
        <v>-5262553.4666666677</v>
      </c>
      <c r="P60" s="275">
        <f>SUM($E59:P59)</f>
        <v>-5814619.6773333345</v>
      </c>
      <c r="Q60" s="275">
        <f>SUM($E59:Q59)</f>
        <v>-6366685.8880000012</v>
      </c>
      <c r="R60" s="275">
        <f>SUM($E59:R59)</f>
        <v>-6918752.0986666679</v>
      </c>
      <c r="S60" s="275">
        <f>SUM($E59:S59)</f>
        <v>-7470818.3093333347</v>
      </c>
      <c r="T60" s="275">
        <f>SUM($E59:T59)</f>
        <v>-8022884.5200000014</v>
      </c>
      <c r="U60" s="275">
        <f>SUM($E59:U59)</f>
        <v>-8574950.7306666672</v>
      </c>
      <c r="V60" s="275">
        <f>SUM($E59:V59)</f>
        <v>-9127016.9413333349</v>
      </c>
      <c r="W60" s="275">
        <f>SUM($E59:W59)</f>
        <v>-9679083.1520000026</v>
      </c>
      <c r="X60" s="275">
        <f>SUM($E59:X59)</f>
        <v>-10231149.36266667</v>
      </c>
      <c r="Y60" s="275">
        <f>SUM($E59:Y59)</f>
        <v>-10783215.573333338</v>
      </c>
      <c r="Z60" s="275">
        <f>SUM($E59:Z59)</f>
        <v>-11335281.784000006</v>
      </c>
      <c r="AA60" s="275">
        <f>SUM($E59:AA59)</f>
        <v>-11887347.994666673</v>
      </c>
      <c r="AB60" s="275">
        <f>SUM($E59:AB59)</f>
        <v>-12439414.205333341</v>
      </c>
      <c r="AC60" s="275">
        <f>SUM($E59:AC59)</f>
        <v>-12991480.416000009</v>
      </c>
      <c r="AD60" s="275">
        <f>SUM($E59:AD59)</f>
        <v>-13543546.626666676</v>
      </c>
      <c r="AE60" s="275">
        <f>SUM($E59:AE59)</f>
        <v>-14095612.837333344</v>
      </c>
      <c r="AF60" s="275">
        <f>SUM($E59:AF59)</f>
        <v>-14647679.048000012</v>
      </c>
      <c r="AG60" s="275">
        <f>SUM($E59:AG59)</f>
        <v>-15199745.258666679</v>
      </c>
      <c r="AH60" s="275">
        <f>SUM($E59:AH59)</f>
        <v>-15751811.469333347</v>
      </c>
      <c r="AI60" s="275">
        <f>SUM($E59:AI59)</f>
        <v>-16303877.680000015</v>
      </c>
    </row>
    <row r="61" spans="1:36" hidden="1" x14ac:dyDescent="0.2">
      <c r="A61" s="284" t="s">
        <v>40</v>
      </c>
      <c r="B61" s="284"/>
      <c r="C61" s="284"/>
      <c r="D61" s="284"/>
      <c r="E61" s="285">
        <f>R60/R59*-1+R5</f>
        <v>1.4675320369422931</v>
      </c>
      <c r="F61" s="284" t="s">
        <v>41</v>
      </c>
      <c r="G61" s="161"/>
      <c r="H61" s="153"/>
      <c r="I61" s="153"/>
      <c r="J61" s="155">
        <f>40000+25000</f>
        <v>65000</v>
      </c>
      <c r="K61" s="155">
        <v>17000</v>
      </c>
      <c r="L61" s="155">
        <f>J61/K61</f>
        <v>3.8235294117647061</v>
      </c>
      <c r="M61" s="153"/>
      <c r="N61" s="153"/>
      <c r="O61" s="153"/>
      <c r="P61" s="286"/>
      <c r="Q61" s="153"/>
      <c r="R61" s="153"/>
      <c r="S61" s="164"/>
      <c r="T61" s="287"/>
      <c r="U61" s="287"/>
    </row>
    <row r="62" spans="1:36" ht="0.75" hidden="1" customHeight="1" x14ac:dyDescent="0.2">
      <c r="A62" s="284" t="s">
        <v>42</v>
      </c>
      <c r="B62" s="284"/>
      <c r="C62" s="284"/>
      <c r="D62" s="284"/>
      <c r="E62" s="285" t="e">
        <f>((Y59*12)/(E7+F7)*100)</f>
        <v>#DIV/0!</v>
      </c>
      <c r="F62" s="288" t="s">
        <v>0</v>
      </c>
      <c r="G62" s="153"/>
      <c r="H62" s="289"/>
      <c r="I62" s="289"/>
      <c r="J62" s="290"/>
      <c r="K62" s="153"/>
      <c r="L62" s="153"/>
      <c r="M62" s="153"/>
      <c r="N62" s="153"/>
      <c r="O62" s="153"/>
      <c r="P62" s="286"/>
      <c r="Q62" s="153"/>
      <c r="R62" s="153"/>
      <c r="S62" s="164"/>
      <c r="T62" s="287"/>
      <c r="U62" s="287"/>
    </row>
    <row r="63" spans="1:36" ht="10.5" hidden="1" customHeight="1" x14ac:dyDescent="0.2">
      <c r="A63" s="159"/>
      <c r="B63" s="159"/>
      <c r="C63" s="159"/>
      <c r="D63" s="159"/>
      <c r="E63" s="291"/>
      <c r="F63" s="292"/>
      <c r="G63" s="153"/>
      <c r="H63" s="289"/>
      <c r="I63" s="289"/>
      <c r="J63" s="290"/>
      <c r="K63" s="153"/>
      <c r="L63" s="153"/>
      <c r="M63" s="153"/>
      <c r="N63" s="153"/>
      <c r="O63" s="153"/>
      <c r="P63" s="286"/>
      <c r="Q63" s="153"/>
      <c r="R63" s="153"/>
      <c r="S63" s="164"/>
      <c r="T63" s="287"/>
      <c r="U63" s="287"/>
    </row>
    <row r="64" spans="1:36" ht="10.5" hidden="1" customHeight="1" x14ac:dyDescent="0.2">
      <c r="A64" s="159"/>
      <c r="B64" s="159"/>
      <c r="C64" s="159"/>
      <c r="D64" s="293"/>
      <c r="E64" s="294"/>
      <c r="F64" s="295"/>
      <c r="G64" s="161"/>
      <c r="H64" s="296"/>
      <c r="I64" s="296"/>
      <c r="J64" s="162"/>
      <c r="K64" s="161"/>
      <c r="L64" s="161"/>
      <c r="M64" s="161"/>
      <c r="N64" s="161"/>
      <c r="O64" s="161"/>
      <c r="P64" s="163"/>
      <c r="Q64" s="161"/>
      <c r="R64" s="161"/>
      <c r="S64" s="296"/>
      <c r="T64" s="297"/>
      <c r="U64" s="297"/>
      <c r="V64" s="298"/>
      <c r="W64" s="298"/>
      <c r="X64" s="298"/>
      <c r="Y64" s="298"/>
      <c r="Z64" s="298"/>
      <c r="AA64" s="298"/>
      <c r="AB64" s="298"/>
      <c r="AC64" s="298"/>
      <c r="AD64" s="298"/>
      <c r="AE64" s="298"/>
      <c r="AF64" s="298"/>
      <c r="AG64" s="298"/>
      <c r="AH64" s="298"/>
      <c r="AI64" s="298"/>
    </row>
    <row r="65" spans="1:35" ht="10.5" hidden="1" customHeight="1" x14ac:dyDescent="0.2">
      <c r="A65" s="159"/>
      <c r="B65" s="159"/>
      <c r="C65" s="159"/>
      <c r="D65" s="293"/>
      <c r="E65" s="294"/>
      <c r="F65" s="299"/>
      <c r="G65" s="161"/>
      <c r="H65" s="296"/>
      <c r="I65" s="296"/>
      <c r="J65" s="162"/>
      <c r="K65" s="161"/>
      <c r="L65" s="161"/>
      <c r="M65" s="161"/>
      <c r="N65" s="161"/>
      <c r="O65" s="161"/>
      <c r="P65" s="163"/>
      <c r="Q65" s="161"/>
      <c r="R65" s="161"/>
      <c r="S65" s="296"/>
      <c r="T65" s="297"/>
      <c r="U65" s="297"/>
      <c r="V65" s="298"/>
      <c r="W65" s="298"/>
      <c r="X65" s="298"/>
      <c r="Y65" s="298"/>
      <c r="Z65" s="298"/>
      <c r="AA65" s="298"/>
      <c r="AB65" s="298"/>
      <c r="AC65" s="298"/>
      <c r="AD65" s="298"/>
      <c r="AE65" s="298"/>
      <c r="AF65" s="298"/>
      <c r="AG65" s="298"/>
      <c r="AH65" s="298"/>
      <c r="AI65" s="298"/>
    </row>
    <row r="66" spans="1:35" s="300" customFormat="1" ht="12" hidden="1" x14ac:dyDescent="0.2">
      <c r="D66" s="301" t="s">
        <v>61</v>
      </c>
      <c r="E66" s="302"/>
      <c r="F66" s="302">
        <v>0</v>
      </c>
      <c r="G66" s="302">
        <v>0</v>
      </c>
      <c r="H66" s="302">
        <v>0</v>
      </c>
      <c r="I66" s="302">
        <v>0</v>
      </c>
      <c r="J66" s="302">
        <v>0</v>
      </c>
      <c r="K66" s="302">
        <v>0</v>
      </c>
      <c r="L66" s="302">
        <v>0</v>
      </c>
      <c r="M66" s="302"/>
      <c r="N66" s="302"/>
      <c r="O66" s="302"/>
      <c r="P66" s="303"/>
      <c r="Q66" s="302"/>
      <c r="R66" s="302"/>
      <c r="S66" s="302"/>
      <c r="T66" s="302"/>
      <c r="U66" s="302"/>
      <c r="V66" s="302"/>
      <c r="W66" s="302"/>
      <c r="X66" s="302"/>
      <c r="Y66" s="302"/>
      <c r="Z66" s="302"/>
      <c r="AA66" s="302"/>
      <c r="AB66" s="302"/>
      <c r="AC66" s="302"/>
      <c r="AD66" s="302"/>
      <c r="AE66" s="302"/>
      <c r="AF66" s="302"/>
      <c r="AG66" s="302"/>
      <c r="AH66" s="302"/>
      <c r="AI66" s="302"/>
    </row>
    <row r="67" spans="1:35" s="300" customFormat="1" ht="12" hidden="1" x14ac:dyDescent="0.2">
      <c r="C67" s="301"/>
      <c r="D67" s="301" t="s">
        <v>100</v>
      </c>
      <c r="E67" s="304" t="s">
        <v>101</v>
      </c>
      <c r="F67" s="304" t="s">
        <v>88</v>
      </c>
      <c r="G67" s="305" t="s">
        <v>87</v>
      </c>
      <c r="H67" s="306"/>
      <c r="I67" s="306" t="s">
        <v>95</v>
      </c>
      <c r="J67" s="306" t="str">
        <f>J109</f>
        <v>Выручка без пекарей</v>
      </c>
      <c r="K67" s="306"/>
      <c r="L67" s="306"/>
      <c r="M67" s="306"/>
      <c r="N67" s="154"/>
      <c r="O67" s="307"/>
      <c r="P67" s="308"/>
      <c r="Q67" s="306"/>
      <c r="R67" s="306"/>
      <c r="S67" s="306"/>
      <c r="T67" s="306"/>
      <c r="U67" s="306"/>
      <c r="V67" s="306"/>
      <c r="W67" s="306"/>
      <c r="X67" s="306"/>
      <c r="Y67" s="306"/>
      <c r="Z67" s="306"/>
      <c r="AA67" s="306"/>
      <c r="AB67" s="306"/>
      <c r="AC67" s="306"/>
      <c r="AD67" s="306"/>
      <c r="AE67" s="306"/>
      <c r="AF67" s="306"/>
      <c r="AG67" s="306"/>
      <c r="AH67" s="306"/>
      <c r="AI67" s="306"/>
    </row>
    <row r="68" spans="1:35" s="300" customFormat="1" ht="12" hidden="1" x14ac:dyDescent="0.2">
      <c r="D68" s="301" t="s">
        <v>93</v>
      </c>
      <c r="E68" s="302">
        <f>E110</f>
        <v>25000</v>
      </c>
      <c r="F68" s="309">
        <f t="shared" ref="F68:G68" si="37">F110</f>
        <v>8.3989473684210534</v>
      </c>
      <c r="G68" s="302">
        <f t="shared" si="37"/>
        <v>209973.68421052632</v>
      </c>
      <c r="H68" s="306"/>
      <c r="I68" s="306">
        <f>I110</f>
        <v>19000</v>
      </c>
      <c r="J68" s="306">
        <f>J110</f>
        <v>21210</v>
      </c>
      <c r="K68" s="306"/>
      <c r="L68" s="306"/>
      <c r="M68" s="306"/>
      <c r="N68" s="306"/>
      <c r="O68" s="306"/>
      <c r="P68" s="308"/>
      <c r="Q68" s="306"/>
      <c r="R68" s="306"/>
      <c r="S68" s="306"/>
      <c r="T68" s="306"/>
      <c r="U68" s="306"/>
      <c r="V68" s="306"/>
      <c r="W68" s="306"/>
      <c r="X68" s="306"/>
      <c r="Y68" s="306"/>
      <c r="Z68" s="306"/>
      <c r="AA68" s="306"/>
      <c r="AB68" s="306"/>
      <c r="AC68" s="306"/>
      <c r="AD68" s="306"/>
      <c r="AE68" s="306"/>
      <c r="AF68" s="306"/>
      <c r="AG68" s="306"/>
      <c r="AH68" s="306"/>
      <c r="AI68" s="306"/>
    </row>
    <row r="69" spans="1:35" s="300" customFormat="1" ht="12" hidden="1" x14ac:dyDescent="0.2">
      <c r="D69" s="301" t="s">
        <v>94</v>
      </c>
      <c r="E69" s="302">
        <f t="shared" ref="E69:G69" si="38">E111</f>
        <v>20000</v>
      </c>
      <c r="F69" s="309">
        <f t="shared" si="38"/>
        <v>5.3193333333333337</v>
      </c>
      <c r="G69" s="302">
        <f t="shared" si="38"/>
        <v>106386.66666666667</v>
      </c>
      <c r="H69" s="306"/>
      <c r="I69" s="306">
        <f>I111</f>
        <v>30000</v>
      </c>
      <c r="J69" s="306"/>
      <c r="K69" s="306"/>
      <c r="L69" s="306"/>
      <c r="M69" s="306"/>
      <c r="N69" s="306"/>
      <c r="O69" s="306"/>
      <c r="P69" s="308"/>
      <c r="Q69" s="306"/>
      <c r="R69" s="306"/>
      <c r="S69" s="306"/>
      <c r="T69" s="306"/>
      <c r="U69" s="306"/>
      <c r="V69" s="306"/>
      <c r="W69" s="306"/>
      <c r="X69" s="306"/>
      <c r="Y69" s="306"/>
      <c r="Z69" s="306"/>
      <c r="AA69" s="306"/>
      <c r="AB69" s="306"/>
      <c r="AC69" s="306"/>
      <c r="AD69" s="306"/>
      <c r="AE69" s="306"/>
      <c r="AF69" s="306"/>
      <c r="AG69" s="306"/>
      <c r="AH69" s="306"/>
      <c r="AI69" s="306"/>
    </row>
    <row r="70" spans="1:35" s="300" customFormat="1" ht="12" hidden="1" x14ac:dyDescent="0.2">
      <c r="D70" s="301"/>
      <c r="E70" s="302">
        <f t="shared" ref="E70:G71" si="39">E112</f>
        <v>0</v>
      </c>
      <c r="F70" s="302">
        <f t="shared" si="39"/>
        <v>0</v>
      </c>
      <c r="G70" s="302">
        <f t="shared" si="39"/>
        <v>0</v>
      </c>
      <c r="H70" s="306"/>
      <c r="I70" s="306"/>
      <c r="J70" s="306"/>
      <c r="K70" s="306"/>
      <c r="L70" s="306"/>
      <c r="M70" s="306"/>
      <c r="N70" s="306"/>
      <c r="O70" s="306"/>
      <c r="P70" s="308"/>
      <c r="Q70" s="306"/>
      <c r="R70" s="306"/>
      <c r="S70" s="306"/>
      <c r="T70" s="306"/>
      <c r="U70" s="306"/>
      <c r="V70" s="306"/>
      <c r="W70" s="306"/>
      <c r="X70" s="306"/>
      <c r="Y70" s="306"/>
      <c r="Z70" s="306"/>
      <c r="AA70" s="306"/>
      <c r="AB70" s="306"/>
      <c r="AC70" s="306"/>
      <c r="AD70" s="306"/>
      <c r="AE70" s="306"/>
      <c r="AF70" s="306"/>
      <c r="AG70" s="306"/>
      <c r="AH70" s="306"/>
      <c r="AI70" s="306"/>
    </row>
    <row r="71" spans="1:35" s="300" customFormat="1" ht="12" hidden="1" x14ac:dyDescent="0.2">
      <c r="D71" s="301"/>
      <c r="E71" s="306"/>
      <c r="F71" s="306"/>
      <c r="G71" s="302">
        <f t="shared" si="39"/>
        <v>316360.35087719298</v>
      </c>
      <c r="H71" s="306"/>
      <c r="I71" s="306"/>
      <c r="J71" s="306"/>
      <c r="K71" s="306"/>
      <c r="L71" s="306"/>
      <c r="M71" s="306"/>
      <c r="N71" s="306"/>
      <c r="O71" s="306"/>
      <c r="P71" s="308"/>
      <c r="Q71" s="306"/>
      <c r="R71" s="306"/>
      <c r="S71" s="306"/>
      <c r="T71" s="306"/>
      <c r="U71" s="306"/>
      <c r="V71" s="306"/>
      <c r="W71" s="306"/>
      <c r="X71" s="306"/>
      <c r="Y71" s="306"/>
      <c r="Z71" s="306"/>
      <c r="AA71" s="306"/>
      <c r="AB71" s="306"/>
      <c r="AC71" s="306"/>
      <c r="AD71" s="306"/>
      <c r="AE71" s="306"/>
      <c r="AF71" s="306"/>
      <c r="AG71" s="306"/>
      <c r="AH71" s="306"/>
      <c r="AI71" s="306"/>
    </row>
    <row r="72" spans="1:35" s="300" customFormat="1" ht="12" hidden="1" x14ac:dyDescent="0.2">
      <c r="D72" s="301"/>
      <c r="E72" s="306"/>
      <c r="F72" s="302" t="s">
        <v>90</v>
      </c>
      <c r="G72" s="302" t="s">
        <v>87</v>
      </c>
      <c r="H72" s="306"/>
      <c r="I72" s="306"/>
      <c r="J72" s="306"/>
      <c r="K72" s="306"/>
      <c r="L72" s="306"/>
      <c r="M72" s="306"/>
      <c r="N72" s="306"/>
      <c r="O72" s="306"/>
      <c r="P72" s="308"/>
      <c r="Q72" s="306"/>
      <c r="R72" s="306"/>
      <c r="S72" s="306"/>
      <c r="T72" s="306"/>
      <c r="U72" s="306"/>
      <c r="V72" s="306"/>
      <c r="W72" s="306"/>
      <c r="X72" s="306"/>
      <c r="Y72" s="306"/>
      <c r="Z72" s="306"/>
      <c r="AA72" s="306"/>
      <c r="AB72" s="306"/>
      <c r="AC72" s="306"/>
      <c r="AD72" s="306"/>
      <c r="AE72" s="306"/>
      <c r="AF72" s="306"/>
      <c r="AG72" s="306"/>
      <c r="AH72" s="306"/>
      <c r="AI72" s="306"/>
    </row>
    <row r="73" spans="1:35" s="300" customFormat="1" ht="12" hidden="1" x14ac:dyDescent="0.2">
      <c r="D73" s="301"/>
      <c r="E73" s="306" t="s">
        <v>89</v>
      </c>
      <c r="F73" s="302">
        <f>F115</f>
        <v>12000</v>
      </c>
      <c r="G73" s="302">
        <f>G115</f>
        <v>49715.049263157904</v>
      </c>
      <c r="H73" s="306"/>
      <c r="I73" s="306"/>
      <c r="J73" s="306"/>
      <c r="K73" s="306"/>
      <c r="L73" s="306"/>
      <c r="M73" s="306"/>
      <c r="N73" s="306"/>
      <c r="O73" s="306"/>
      <c r="P73" s="308"/>
      <c r="Q73" s="306"/>
      <c r="R73" s="306"/>
      <c r="S73" s="306"/>
      <c r="T73" s="306"/>
      <c r="U73" s="306"/>
      <c r="V73" s="306"/>
      <c r="W73" s="306"/>
      <c r="X73" s="306"/>
      <c r="Y73" s="306"/>
      <c r="Z73" s="306"/>
      <c r="AA73" s="306"/>
      <c r="AB73" s="306"/>
      <c r="AC73" s="306"/>
      <c r="AD73" s="306"/>
      <c r="AE73" s="306"/>
      <c r="AF73" s="306"/>
      <c r="AG73" s="306"/>
      <c r="AH73" s="306"/>
      <c r="AI73" s="306"/>
    </row>
    <row r="74" spans="1:35" s="300" customFormat="1" ht="12" hidden="1" x14ac:dyDescent="0.2">
      <c r="D74" s="301"/>
      <c r="E74" s="150" t="s">
        <v>112</v>
      </c>
      <c r="F74" s="150">
        <f>E26+'цех точка продаж'!E28+Ларь1!E28+Ларь2!E28+Ларь3!E28+Ларь4!E28+'Ларь5 с тандыром'!E22</f>
        <v>0</v>
      </c>
      <c r="G74" s="306"/>
      <c r="H74" s="306"/>
      <c r="I74" s="306"/>
      <c r="J74" s="306"/>
      <c r="K74" s="306"/>
      <c r="L74" s="306"/>
      <c r="M74" s="306"/>
      <c r="N74" s="306"/>
      <c r="O74" s="306"/>
      <c r="P74" s="308"/>
      <c r="Q74" s="306"/>
      <c r="R74" s="306"/>
      <c r="S74" s="306"/>
      <c r="T74" s="306"/>
      <c r="U74" s="306"/>
      <c r="V74" s="306"/>
      <c r="W74" s="306"/>
      <c r="X74" s="306"/>
      <c r="Y74" s="306"/>
      <c r="Z74" s="306"/>
      <c r="AA74" s="306"/>
      <c r="AB74" s="306"/>
      <c r="AC74" s="306"/>
      <c r="AD74" s="306"/>
      <c r="AE74" s="306"/>
      <c r="AF74" s="306"/>
      <c r="AG74" s="306"/>
      <c r="AH74" s="306"/>
      <c r="AI74" s="306"/>
    </row>
    <row r="75" spans="1:35" s="300" customFormat="1" ht="12" hidden="1" x14ac:dyDescent="0.2">
      <c r="D75" s="301" t="s">
        <v>123</v>
      </c>
      <c r="E75" s="310">
        <f>'Параметры проекта'!B29</f>
        <v>41000</v>
      </c>
      <c r="F75" s="306"/>
      <c r="G75" s="306"/>
      <c r="H75" s="306"/>
      <c r="I75" s="306"/>
      <c r="J75" s="306"/>
      <c r="K75" s="306"/>
      <c r="L75" s="306"/>
      <c r="M75" s="306"/>
      <c r="N75" s="306"/>
      <c r="O75" s="306"/>
      <c r="P75" s="308"/>
      <c r="Q75" s="306"/>
      <c r="R75" s="306"/>
      <c r="S75" s="306"/>
      <c r="T75" s="306"/>
      <c r="U75" s="306"/>
      <c r="V75" s="306"/>
      <c r="W75" s="306"/>
      <c r="X75" s="306"/>
      <c r="Y75" s="306"/>
      <c r="Z75" s="306"/>
      <c r="AA75" s="306"/>
      <c r="AB75" s="306"/>
      <c r="AC75" s="306"/>
      <c r="AD75" s="306"/>
      <c r="AE75" s="306"/>
      <c r="AF75" s="306"/>
      <c r="AG75" s="306"/>
      <c r="AH75" s="306"/>
      <c r="AI75" s="306"/>
    </row>
    <row r="76" spans="1:35" s="300" customFormat="1" ht="12" hidden="1" x14ac:dyDescent="0.2">
      <c r="D76" s="301" t="s">
        <v>122</v>
      </c>
      <c r="E76" s="310">
        <f>'Параметры проекта'!B30</f>
        <v>20000</v>
      </c>
      <c r="F76" s="306"/>
      <c r="G76" s="306"/>
      <c r="H76" s="306"/>
      <c r="I76" s="306"/>
      <c r="J76" s="306"/>
      <c r="K76" s="306"/>
      <c r="L76" s="306"/>
      <c r="M76" s="306"/>
      <c r="N76" s="306"/>
      <c r="O76" s="306"/>
      <c r="P76" s="308"/>
      <c r="Q76" s="306"/>
      <c r="R76" s="306"/>
      <c r="S76" s="306"/>
      <c r="T76" s="306"/>
      <c r="U76" s="306"/>
      <c r="V76" s="306"/>
      <c r="W76" s="306"/>
      <c r="X76" s="306"/>
      <c r="Y76" s="306"/>
      <c r="Z76" s="306"/>
      <c r="AA76" s="306"/>
      <c r="AB76" s="306"/>
      <c r="AC76" s="306"/>
      <c r="AD76" s="306"/>
      <c r="AE76" s="306"/>
      <c r="AF76" s="306"/>
      <c r="AG76" s="306"/>
      <c r="AH76" s="306"/>
      <c r="AI76" s="306"/>
    </row>
    <row r="77" spans="1:35" s="300" customFormat="1" ht="12" x14ac:dyDescent="0.2">
      <c r="D77" s="301"/>
      <c r="E77" s="306"/>
      <c r="F77" s="306"/>
      <c r="G77" s="306"/>
      <c r="H77" s="306"/>
      <c r="I77" s="306"/>
      <c r="J77" s="306"/>
      <c r="K77" s="306"/>
      <c r="L77" s="306"/>
      <c r="M77" s="306"/>
      <c r="N77" s="306"/>
      <c r="O77" s="306"/>
      <c r="P77" s="306"/>
      <c r="Q77" s="306"/>
      <c r="R77" s="306"/>
      <c r="S77" s="306"/>
      <c r="T77" s="306"/>
      <c r="U77" s="306"/>
      <c r="V77" s="306"/>
      <c r="W77" s="306"/>
      <c r="X77" s="306"/>
      <c r="Y77" s="306"/>
      <c r="Z77" s="306"/>
      <c r="AA77" s="306"/>
      <c r="AB77" s="306"/>
      <c r="AC77" s="306"/>
      <c r="AD77" s="306"/>
      <c r="AE77" s="306"/>
      <c r="AF77" s="306"/>
      <c r="AG77" s="306"/>
      <c r="AH77" s="306"/>
      <c r="AI77" s="306"/>
    </row>
    <row r="78" spans="1:35" s="300" customFormat="1" thickBot="1" x14ac:dyDescent="0.25">
      <c r="A78" s="301"/>
      <c r="B78" s="311" t="s">
        <v>62</v>
      </c>
      <c r="C78" s="300">
        <v>-2</v>
      </c>
      <c r="D78" s="300">
        <v>-1</v>
      </c>
      <c r="E78" s="154">
        <v>1</v>
      </c>
      <c r="F78" s="154">
        <v>2</v>
      </c>
      <c r="G78" s="154">
        <v>3</v>
      </c>
      <c r="H78" s="154">
        <v>4</v>
      </c>
      <c r="I78" s="154">
        <v>5</v>
      </c>
      <c r="J78" s="154">
        <v>6</v>
      </c>
      <c r="K78" s="154">
        <v>7</v>
      </c>
      <c r="L78" s="154">
        <v>8</v>
      </c>
      <c r="M78" s="154">
        <v>9</v>
      </c>
      <c r="N78" s="154">
        <v>10</v>
      </c>
      <c r="O78" s="154">
        <v>11</v>
      </c>
      <c r="P78" s="154">
        <v>12</v>
      </c>
      <c r="Q78" s="154">
        <v>13</v>
      </c>
      <c r="R78" s="154">
        <v>14</v>
      </c>
      <c r="S78" s="154">
        <v>15</v>
      </c>
      <c r="T78" s="154">
        <v>16</v>
      </c>
      <c r="U78" s="154">
        <v>17</v>
      </c>
      <c r="V78" s="154">
        <v>18</v>
      </c>
      <c r="W78" s="154">
        <v>19</v>
      </c>
      <c r="X78" s="154">
        <v>20</v>
      </c>
      <c r="Y78" s="154">
        <v>21</v>
      </c>
      <c r="Z78" s="154">
        <v>22</v>
      </c>
      <c r="AA78" s="154">
        <v>23</v>
      </c>
      <c r="AB78" s="154">
        <v>24</v>
      </c>
      <c r="AC78" s="154">
        <v>25</v>
      </c>
      <c r="AD78" s="154">
        <v>26</v>
      </c>
      <c r="AE78" s="154">
        <v>27</v>
      </c>
      <c r="AF78" s="154">
        <v>28</v>
      </c>
      <c r="AG78" s="154">
        <v>29</v>
      </c>
      <c r="AH78" s="154">
        <v>30</v>
      </c>
      <c r="AI78" s="154">
        <v>31</v>
      </c>
    </row>
    <row r="79" spans="1:35" s="300" customFormat="1" thickBot="1" x14ac:dyDescent="0.25">
      <c r="A79" s="312"/>
      <c r="B79" s="313" t="s">
        <v>103</v>
      </c>
      <c r="C79" s="326">
        <f>'Параметры проекта'!B5*50%</f>
        <v>2300000</v>
      </c>
      <c r="D79" s="326">
        <f>'Параметры проекта'!B5*25%</f>
        <v>1150000</v>
      </c>
      <c r="E79" s="373">
        <f>'Параметры проекта'!B5*25%</f>
        <v>1150000</v>
      </c>
      <c r="F79" s="314"/>
      <c r="G79" s="315"/>
      <c r="H79" s="316"/>
      <c r="I79" s="317"/>
      <c r="J79" s="317"/>
      <c r="K79" s="317"/>
      <c r="L79" s="317"/>
      <c r="M79" s="317"/>
      <c r="N79" s="317"/>
      <c r="O79" s="317"/>
      <c r="P79" s="318"/>
      <c r="Q79" s="317"/>
      <c r="R79" s="317"/>
      <c r="S79" s="317"/>
      <c r="T79" s="317"/>
      <c r="U79" s="317"/>
      <c r="V79" s="317"/>
      <c r="W79" s="317"/>
      <c r="X79" s="317"/>
      <c r="Y79" s="317"/>
      <c r="Z79" s="317"/>
      <c r="AA79" s="317"/>
      <c r="AB79" s="317"/>
      <c r="AC79" s="317"/>
      <c r="AD79" s="317"/>
      <c r="AE79" s="317"/>
      <c r="AF79" s="317"/>
      <c r="AG79" s="317"/>
      <c r="AH79" s="317"/>
      <c r="AI79" s="319"/>
    </row>
    <row r="80" spans="1:35" s="300" customFormat="1" thickBot="1" x14ac:dyDescent="0.25">
      <c r="A80" s="312"/>
      <c r="B80" s="313" t="s">
        <v>118</v>
      </c>
      <c r="C80" s="382"/>
      <c r="D80" s="385"/>
      <c r="E80" s="374">
        <f>IF('Параметры проекта'!$B$7&lt;=0,'Параметры проекта'!B6*0,'Параметры проекта'!B6)</f>
        <v>850000</v>
      </c>
      <c r="F80" s="320"/>
      <c r="G80" s="321"/>
      <c r="H80" s="322"/>
      <c r="I80" s="323"/>
      <c r="J80" s="323"/>
      <c r="K80" s="323"/>
      <c r="L80" s="323"/>
      <c r="M80" s="323"/>
      <c r="N80" s="323"/>
      <c r="O80" s="323"/>
      <c r="P80" s="324"/>
      <c r="Q80" s="323"/>
      <c r="R80" s="323"/>
      <c r="S80" s="323"/>
      <c r="T80" s="323"/>
      <c r="U80" s="323"/>
      <c r="V80" s="323"/>
      <c r="W80" s="323"/>
      <c r="X80" s="323"/>
      <c r="Y80" s="323"/>
      <c r="Z80" s="323"/>
      <c r="AA80" s="323"/>
      <c r="AB80" s="323"/>
      <c r="AC80" s="323"/>
      <c r="AD80" s="323"/>
      <c r="AE80" s="323"/>
      <c r="AF80" s="323"/>
      <c r="AG80" s="323"/>
      <c r="AH80" s="323"/>
      <c r="AI80" s="325"/>
    </row>
    <row r="81" spans="1:35" s="300" customFormat="1" thickBot="1" x14ac:dyDescent="0.25">
      <c r="A81" s="312"/>
      <c r="B81" s="313" t="s">
        <v>119</v>
      </c>
      <c r="C81" s="383"/>
      <c r="D81" s="386"/>
      <c r="E81" s="375"/>
      <c r="F81" s="326">
        <f>IF('Параметры проекта'!$B$7&lt;=1,'Параметры проекта'!B6*0,'Параметры проекта'!B6)</f>
        <v>850000</v>
      </c>
      <c r="G81" s="320"/>
      <c r="H81" s="327"/>
      <c r="I81" s="323"/>
      <c r="J81" s="323"/>
      <c r="K81" s="323"/>
      <c r="L81" s="323"/>
      <c r="M81" s="323"/>
      <c r="N81" s="323"/>
      <c r="O81" s="323"/>
      <c r="P81" s="324"/>
      <c r="Q81" s="323"/>
      <c r="R81" s="323"/>
      <c r="S81" s="323"/>
      <c r="T81" s="323"/>
      <c r="U81" s="323"/>
      <c r="V81" s="323"/>
      <c r="W81" s="323"/>
      <c r="X81" s="323"/>
      <c r="Y81" s="323"/>
      <c r="Z81" s="323"/>
      <c r="AA81" s="323"/>
      <c r="AB81" s="323"/>
      <c r="AC81" s="323"/>
      <c r="AD81" s="323"/>
      <c r="AE81" s="323"/>
      <c r="AF81" s="323"/>
      <c r="AG81" s="323"/>
      <c r="AH81" s="323"/>
      <c r="AI81" s="325"/>
    </row>
    <row r="82" spans="1:35" s="300" customFormat="1" thickBot="1" x14ac:dyDescent="0.25">
      <c r="A82" s="312"/>
      <c r="B82" s="313" t="s">
        <v>120</v>
      </c>
      <c r="C82" s="383"/>
      <c r="D82" s="386"/>
      <c r="E82" s="376"/>
      <c r="F82" s="328"/>
      <c r="G82" s="326">
        <f>IF('Параметры проекта'!$B$7&lt;=2,'Параметры проекта'!B6*0,'Параметры проекта'!B6)</f>
        <v>850000</v>
      </c>
      <c r="H82" s="329"/>
      <c r="I82" s="303"/>
      <c r="J82" s="323"/>
      <c r="K82" s="323"/>
      <c r="L82" s="323"/>
      <c r="M82" s="323"/>
      <c r="N82" s="323"/>
      <c r="O82" s="323"/>
      <c r="P82" s="324"/>
      <c r="Q82" s="323"/>
      <c r="R82" s="323"/>
      <c r="S82" s="323"/>
      <c r="T82" s="323"/>
      <c r="U82" s="323"/>
      <c r="V82" s="323"/>
      <c r="W82" s="323"/>
      <c r="X82" s="323"/>
      <c r="Y82" s="323"/>
      <c r="Z82" s="323"/>
      <c r="AA82" s="323"/>
      <c r="AB82" s="323"/>
      <c r="AC82" s="323"/>
      <c r="AD82" s="323"/>
      <c r="AE82" s="323"/>
      <c r="AF82" s="323"/>
      <c r="AG82" s="323"/>
      <c r="AH82" s="323"/>
      <c r="AI82" s="325"/>
    </row>
    <row r="83" spans="1:35" s="300" customFormat="1" thickBot="1" x14ac:dyDescent="0.25">
      <c r="B83" s="313" t="s">
        <v>121</v>
      </c>
      <c r="C83" s="383"/>
      <c r="D83" s="386"/>
      <c r="E83" s="377"/>
      <c r="F83" s="330"/>
      <c r="G83" s="331"/>
      <c r="H83" s="332"/>
      <c r="I83" s="333"/>
      <c r="J83" s="333"/>
      <c r="K83" s="323"/>
      <c r="L83" s="323"/>
      <c r="M83" s="323"/>
      <c r="N83" s="323"/>
      <c r="O83" s="323"/>
      <c r="P83" s="324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23"/>
      <c r="AB83" s="323"/>
      <c r="AC83" s="323"/>
      <c r="AD83" s="323"/>
      <c r="AE83" s="323"/>
      <c r="AF83" s="323"/>
      <c r="AG83" s="323"/>
      <c r="AH83" s="323"/>
      <c r="AI83" s="325"/>
    </row>
    <row r="84" spans="1:35" s="300" customFormat="1" hidden="1" thickBot="1" x14ac:dyDescent="0.25">
      <c r="B84" s="313"/>
      <c r="C84" s="387"/>
      <c r="D84" s="389"/>
      <c r="E84" s="306"/>
      <c r="F84" s="334"/>
      <c r="G84" s="334"/>
      <c r="H84" s="327"/>
      <c r="I84" s="323"/>
      <c r="J84" s="332"/>
      <c r="K84" s="333"/>
      <c r="L84" s="333"/>
      <c r="M84" s="333"/>
      <c r="N84" s="333"/>
      <c r="O84" s="333"/>
      <c r="P84" s="335"/>
      <c r="Q84" s="333"/>
      <c r="R84" s="333"/>
      <c r="S84" s="333"/>
      <c r="T84" s="333"/>
      <c r="U84" s="333"/>
      <c r="V84" s="333"/>
      <c r="W84" s="333"/>
      <c r="X84" s="333"/>
      <c r="Y84" s="333"/>
      <c r="Z84" s="333"/>
      <c r="AA84" s="333"/>
      <c r="AB84" s="333"/>
      <c r="AC84" s="333"/>
      <c r="AD84" s="333"/>
      <c r="AE84" s="333"/>
      <c r="AF84" s="333"/>
      <c r="AG84" s="333"/>
      <c r="AH84" s="333"/>
      <c r="AI84" s="336"/>
    </row>
    <row r="85" spans="1:35" s="300" customFormat="1" thickBot="1" x14ac:dyDescent="0.25">
      <c r="B85" s="313" t="s">
        <v>185</v>
      </c>
      <c r="C85" s="326">
        <f>'Параметры проекта'!B8</f>
        <v>0</v>
      </c>
      <c r="D85" s="390"/>
      <c r="E85" s="388"/>
      <c r="F85" s="337"/>
      <c r="G85" s="337"/>
      <c r="H85" s="327"/>
      <c r="I85" s="302"/>
      <c r="J85" s="323"/>
      <c r="K85" s="323"/>
      <c r="L85" s="323"/>
      <c r="M85" s="323"/>
      <c r="N85" s="323"/>
      <c r="O85" s="323"/>
      <c r="P85" s="324"/>
      <c r="Q85" s="323"/>
      <c r="R85" s="323"/>
      <c r="S85" s="323"/>
      <c r="T85" s="323"/>
      <c r="U85" s="323"/>
      <c r="V85" s="323"/>
      <c r="W85" s="323"/>
      <c r="X85" s="323"/>
      <c r="Y85" s="323"/>
      <c r="Z85" s="323"/>
      <c r="AA85" s="323"/>
      <c r="AB85" s="323"/>
      <c r="AC85" s="323"/>
      <c r="AD85" s="323"/>
      <c r="AE85" s="323"/>
      <c r="AF85" s="323"/>
      <c r="AG85" s="323"/>
      <c r="AH85" s="323"/>
      <c r="AI85" s="325"/>
    </row>
    <row r="86" spans="1:35" s="300" customFormat="1" ht="12" hidden="1" x14ac:dyDescent="0.2">
      <c r="B86" s="313" t="s">
        <v>110</v>
      </c>
      <c r="C86" s="382"/>
      <c r="D86" s="385"/>
      <c r="E86" s="378"/>
      <c r="F86" s="338"/>
      <c r="G86" s="338"/>
      <c r="H86" s="302"/>
      <c r="I86" s="302"/>
      <c r="J86" s="339"/>
      <c r="K86" s="339"/>
      <c r="L86" s="339"/>
      <c r="M86" s="339"/>
      <c r="N86" s="339"/>
      <c r="O86" s="339"/>
      <c r="P86" s="340"/>
      <c r="Q86" s="339"/>
      <c r="R86" s="339"/>
      <c r="S86" s="339"/>
      <c r="T86" s="339"/>
      <c r="U86" s="339"/>
      <c r="V86" s="339"/>
      <c r="W86" s="339"/>
      <c r="X86" s="339"/>
      <c r="Y86" s="339"/>
      <c r="Z86" s="339"/>
      <c r="AA86" s="339"/>
      <c r="AB86" s="339"/>
      <c r="AC86" s="339"/>
      <c r="AD86" s="339"/>
      <c r="AE86" s="339"/>
      <c r="AF86" s="339"/>
      <c r="AG86" s="339"/>
      <c r="AH86" s="339"/>
      <c r="AI86" s="341"/>
    </row>
    <row r="87" spans="1:35" s="300" customFormat="1" ht="12" hidden="1" x14ac:dyDescent="0.2">
      <c r="B87" s="313" t="s">
        <v>113</v>
      </c>
      <c r="C87" s="383"/>
      <c r="D87" s="386"/>
      <c r="E87" s="327"/>
      <c r="F87" s="302"/>
      <c r="G87" s="302"/>
      <c r="H87" s="302"/>
      <c r="I87" s="302"/>
      <c r="J87" s="323"/>
      <c r="K87" s="323"/>
      <c r="L87" s="323"/>
      <c r="M87" s="323"/>
      <c r="N87" s="323"/>
      <c r="O87" s="323"/>
      <c r="P87" s="324"/>
      <c r="Q87" s="323"/>
      <c r="R87" s="323"/>
      <c r="S87" s="323"/>
      <c r="T87" s="323"/>
      <c r="U87" s="323"/>
      <c r="V87" s="323"/>
      <c r="W87" s="323"/>
      <c r="X87" s="323"/>
      <c r="Y87" s="323"/>
      <c r="Z87" s="323"/>
      <c r="AA87" s="323"/>
      <c r="AB87" s="323"/>
      <c r="AC87" s="323"/>
      <c r="AD87" s="323"/>
      <c r="AE87" s="323"/>
      <c r="AF87" s="323"/>
      <c r="AG87" s="323"/>
      <c r="AH87" s="323"/>
      <c r="AI87" s="325"/>
    </row>
    <row r="88" spans="1:35" s="300" customFormat="1" hidden="1" thickBot="1" x14ac:dyDescent="0.25">
      <c r="B88" s="313" t="s">
        <v>114</v>
      </c>
      <c r="C88" s="383"/>
      <c r="D88" s="386"/>
      <c r="E88" s="379"/>
      <c r="F88" s="342"/>
      <c r="G88" s="342"/>
      <c r="H88" s="342"/>
      <c r="I88" s="342"/>
      <c r="J88" s="343"/>
      <c r="K88" s="343"/>
      <c r="L88" s="343"/>
      <c r="M88" s="343"/>
      <c r="N88" s="343"/>
      <c r="O88" s="343"/>
      <c r="P88" s="344"/>
      <c r="Q88" s="343"/>
      <c r="R88" s="343"/>
      <c r="S88" s="343"/>
      <c r="T88" s="343"/>
      <c r="U88" s="343"/>
      <c r="V88" s="343"/>
      <c r="W88" s="343"/>
      <c r="X88" s="343"/>
      <c r="Y88" s="343"/>
      <c r="Z88" s="343"/>
      <c r="AA88" s="343"/>
      <c r="AB88" s="343"/>
      <c r="AC88" s="343"/>
      <c r="AD88" s="343"/>
      <c r="AE88" s="343"/>
      <c r="AF88" s="343"/>
      <c r="AG88" s="343"/>
      <c r="AH88" s="343"/>
      <c r="AI88" s="345"/>
    </row>
    <row r="89" spans="1:35" s="300" customFormat="1" thickBot="1" x14ac:dyDescent="0.25">
      <c r="B89" s="313" t="s">
        <v>56</v>
      </c>
      <c r="C89" s="347">
        <f t="shared" ref="C89:D89" si="40">SUM(C79:C88)</f>
        <v>2300000</v>
      </c>
      <c r="D89" s="347">
        <f t="shared" si="40"/>
        <v>1150000</v>
      </c>
      <c r="E89" s="380">
        <f>SUM(E79:E88)</f>
        <v>2000000</v>
      </c>
      <c r="F89" s="346">
        <f>SUM(F79:F88)</f>
        <v>850000</v>
      </c>
      <c r="G89" s="346">
        <f t="shared" ref="G89:AI89" si="41">SUM(G79:G88)</f>
        <v>850000</v>
      </c>
      <c r="H89" s="346">
        <f t="shared" si="41"/>
        <v>0</v>
      </c>
      <c r="I89" s="346">
        <f t="shared" si="41"/>
        <v>0</v>
      </c>
      <c r="J89" s="346">
        <f t="shared" si="41"/>
        <v>0</v>
      </c>
      <c r="K89" s="346">
        <f t="shared" si="41"/>
        <v>0</v>
      </c>
      <c r="L89" s="346">
        <f t="shared" si="41"/>
        <v>0</v>
      </c>
      <c r="M89" s="346">
        <f t="shared" si="41"/>
        <v>0</v>
      </c>
      <c r="N89" s="346">
        <f t="shared" si="41"/>
        <v>0</v>
      </c>
      <c r="O89" s="346">
        <f t="shared" si="41"/>
        <v>0</v>
      </c>
      <c r="P89" s="346">
        <f t="shared" si="41"/>
        <v>0</v>
      </c>
      <c r="Q89" s="346">
        <f t="shared" si="41"/>
        <v>0</v>
      </c>
      <c r="R89" s="346">
        <f t="shared" si="41"/>
        <v>0</v>
      </c>
      <c r="S89" s="346">
        <f t="shared" si="41"/>
        <v>0</v>
      </c>
      <c r="T89" s="346">
        <f t="shared" si="41"/>
        <v>0</v>
      </c>
      <c r="U89" s="346">
        <f t="shared" si="41"/>
        <v>0</v>
      </c>
      <c r="V89" s="346">
        <f t="shared" si="41"/>
        <v>0</v>
      </c>
      <c r="W89" s="346">
        <f t="shared" si="41"/>
        <v>0</v>
      </c>
      <c r="X89" s="346">
        <f t="shared" si="41"/>
        <v>0</v>
      </c>
      <c r="Y89" s="346">
        <f t="shared" si="41"/>
        <v>0</v>
      </c>
      <c r="Z89" s="346">
        <f t="shared" si="41"/>
        <v>0</v>
      </c>
      <c r="AA89" s="346">
        <f t="shared" si="41"/>
        <v>0</v>
      </c>
      <c r="AB89" s="346">
        <f t="shared" si="41"/>
        <v>0</v>
      </c>
      <c r="AC89" s="346">
        <f t="shared" si="41"/>
        <v>0</v>
      </c>
      <c r="AD89" s="346">
        <f t="shared" si="41"/>
        <v>0</v>
      </c>
      <c r="AE89" s="346">
        <f t="shared" si="41"/>
        <v>0</v>
      </c>
      <c r="AF89" s="346">
        <f t="shared" si="41"/>
        <v>0</v>
      </c>
      <c r="AG89" s="346">
        <f t="shared" si="41"/>
        <v>0</v>
      </c>
      <c r="AH89" s="346">
        <f t="shared" si="41"/>
        <v>0</v>
      </c>
      <c r="AI89" s="347">
        <f t="shared" si="41"/>
        <v>0</v>
      </c>
    </row>
    <row r="90" spans="1:35" s="300" customFormat="1" thickBot="1" x14ac:dyDescent="0.25">
      <c r="B90" s="313" t="s">
        <v>81</v>
      </c>
      <c r="C90" s="384">
        <f>SUM($C89:C$89)</f>
        <v>2300000</v>
      </c>
      <c r="D90" s="384">
        <f>SUM($C89:D$89)</f>
        <v>3450000</v>
      </c>
      <c r="E90" s="381">
        <f>SUM($C89:E$89)</f>
        <v>5450000</v>
      </c>
      <c r="F90" s="348">
        <f>SUM($C89:F$89)</f>
        <v>6300000</v>
      </c>
      <c r="G90" s="348">
        <f>SUM($C89:G$89)</f>
        <v>7150000</v>
      </c>
      <c r="H90" s="348">
        <f>SUM($C89:H$89)</f>
        <v>7150000</v>
      </c>
      <c r="I90" s="348">
        <f>SUM($C89:I$89)</f>
        <v>7150000</v>
      </c>
      <c r="J90" s="348">
        <f>SUM($C89:J$89)</f>
        <v>7150000</v>
      </c>
      <c r="K90" s="348">
        <f>SUM($C89:K$89)</f>
        <v>7150000</v>
      </c>
      <c r="L90" s="348">
        <f>SUM($C89:L$89)</f>
        <v>7150000</v>
      </c>
      <c r="M90" s="348">
        <f>SUM($C89:M$89)</f>
        <v>7150000</v>
      </c>
      <c r="N90" s="348">
        <f>SUM($C89:N$89)</f>
        <v>7150000</v>
      </c>
      <c r="O90" s="348">
        <f>SUM($C89:O$89)</f>
        <v>7150000</v>
      </c>
      <c r="P90" s="348">
        <f>SUM($C89:P$89)</f>
        <v>7150000</v>
      </c>
      <c r="Q90" s="348">
        <f>SUM($C89:Q$89)</f>
        <v>7150000</v>
      </c>
      <c r="R90" s="348">
        <f>SUM($C89:R$89)</f>
        <v>7150000</v>
      </c>
      <c r="S90" s="348">
        <f>SUM($C89:S$89)</f>
        <v>7150000</v>
      </c>
      <c r="T90" s="348">
        <f>SUM($C89:T$89)</f>
        <v>7150000</v>
      </c>
      <c r="U90" s="348">
        <f>SUM($C89:U$89)</f>
        <v>7150000</v>
      </c>
      <c r="V90" s="348">
        <f>SUM($C89:V$89)</f>
        <v>7150000</v>
      </c>
      <c r="W90" s="348">
        <f>SUM($C89:W$89)</f>
        <v>7150000</v>
      </c>
      <c r="X90" s="348">
        <f>SUM($C89:X$89)</f>
        <v>7150000</v>
      </c>
      <c r="Y90" s="348">
        <f>SUM($C89:Y$89)</f>
        <v>7150000</v>
      </c>
      <c r="Z90" s="348">
        <f>SUM($C89:Z$89)</f>
        <v>7150000</v>
      </c>
      <c r="AA90" s="348">
        <f>SUM($C89:AA$89)</f>
        <v>7150000</v>
      </c>
      <c r="AB90" s="348">
        <f>SUM($C89:AB$89)</f>
        <v>7150000</v>
      </c>
      <c r="AC90" s="348">
        <f>SUM($C89:AC$89)</f>
        <v>7150000</v>
      </c>
      <c r="AD90" s="348">
        <f>SUM($C89:AD$89)</f>
        <v>7150000</v>
      </c>
      <c r="AE90" s="348">
        <f>SUM($C89:AE$89)</f>
        <v>7150000</v>
      </c>
      <c r="AF90" s="348">
        <f>SUM($C89:AF$89)</f>
        <v>7150000</v>
      </c>
      <c r="AG90" s="348">
        <f>SUM($C89:AG$89)</f>
        <v>7150000</v>
      </c>
      <c r="AH90" s="348">
        <f>SUM($C89:AH$89)</f>
        <v>7150000</v>
      </c>
      <c r="AI90" s="348">
        <f>SUM($C89:AI$89)</f>
        <v>7150000</v>
      </c>
    </row>
    <row r="91" spans="1:35" s="300" customFormat="1" thickBot="1" x14ac:dyDescent="0.25">
      <c r="B91" s="313"/>
      <c r="D91" s="313"/>
      <c r="E91" s="306"/>
      <c r="F91" s="306"/>
      <c r="G91" s="306"/>
      <c r="H91" s="306"/>
      <c r="I91" s="306"/>
      <c r="J91" s="306"/>
      <c r="K91" s="306"/>
      <c r="L91" s="306"/>
      <c r="M91" s="306"/>
      <c r="N91" s="306"/>
      <c r="O91" s="306"/>
      <c r="P91" s="306"/>
      <c r="Q91" s="306"/>
      <c r="R91" s="306"/>
      <c r="S91" s="306"/>
      <c r="T91" s="306"/>
      <c r="U91" s="306"/>
      <c r="V91" s="306"/>
      <c r="W91" s="306"/>
      <c r="X91" s="306"/>
      <c r="Y91" s="306"/>
      <c r="Z91" s="306"/>
      <c r="AA91" s="306"/>
      <c r="AB91" s="306"/>
      <c r="AC91" s="306"/>
      <c r="AD91" s="306"/>
      <c r="AE91" s="306"/>
      <c r="AF91" s="306"/>
      <c r="AG91" s="306"/>
      <c r="AH91" s="306"/>
      <c r="AI91" s="306"/>
    </row>
    <row r="92" spans="1:35" s="300" customFormat="1" x14ac:dyDescent="0.2">
      <c r="B92" s="311" t="s">
        <v>64</v>
      </c>
      <c r="C92" s="394">
        <v>1</v>
      </c>
      <c r="D92" s="395">
        <v>2</v>
      </c>
      <c r="E92" s="396">
        <v>3</v>
      </c>
      <c r="F92" s="395">
        <v>4</v>
      </c>
      <c r="G92" s="396">
        <v>5</v>
      </c>
      <c r="H92" s="395">
        <v>6</v>
      </c>
      <c r="I92" s="396">
        <v>7</v>
      </c>
      <c r="J92" s="395">
        <v>8</v>
      </c>
      <c r="K92" s="396">
        <v>9</v>
      </c>
      <c r="L92" s="395">
        <v>10</v>
      </c>
      <c r="M92" s="396">
        <v>11</v>
      </c>
      <c r="N92" s="395">
        <v>12</v>
      </c>
      <c r="O92" s="396">
        <v>13</v>
      </c>
      <c r="P92" s="395">
        <v>14</v>
      </c>
      <c r="Q92" s="396">
        <v>15</v>
      </c>
      <c r="R92" s="395">
        <v>16</v>
      </c>
      <c r="S92" s="396">
        <v>17</v>
      </c>
      <c r="T92" s="395">
        <v>18</v>
      </c>
      <c r="U92" s="396">
        <v>19</v>
      </c>
      <c r="V92" s="395">
        <v>20</v>
      </c>
      <c r="W92" s="396">
        <v>21</v>
      </c>
      <c r="X92" s="395">
        <v>22</v>
      </c>
      <c r="Y92" s="396">
        <v>23</v>
      </c>
      <c r="Z92" s="395">
        <v>24</v>
      </c>
      <c r="AA92" s="396">
        <v>25</v>
      </c>
      <c r="AB92" s="395">
        <v>26</v>
      </c>
      <c r="AC92" s="396">
        <v>27</v>
      </c>
      <c r="AD92" s="395">
        <v>28</v>
      </c>
      <c r="AE92" s="396">
        <v>29</v>
      </c>
      <c r="AF92" s="395">
        <v>30</v>
      </c>
      <c r="AG92" s="396">
        <v>31</v>
      </c>
      <c r="AH92" s="395">
        <v>32</v>
      </c>
      <c r="AI92" s="397">
        <v>33</v>
      </c>
    </row>
    <row r="93" spans="1:35" s="154" customFormat="1" ht="12" x14ac:dyDescent="0.2">
      <c r="C93" s="391">
        <v>-2</v>
      </c>
      <c r="D93" s="367">
        <v>-1</v>
      </c>
      <c r="E93" s="350">
        <v>1</v>
      </c>
      <c r="F93" s="350">
        <v>2</v>
      </c>
      <c r="G93" s="350">
        <v>3</v>
      </c>
      <c r="H93" s="350">
        <v>4</v>
      </c>
      <c r="I93" s="350">
        <v>5</v>
      </c>
      <c r="J93" s="350">
        <v>6</v>
      </c>
      <c r="K93" s="350">
        <v>7</v>
      </c>
      <c r="L93" s="350">
        <v>8</v>
      </c>
      <c r="M93" s="350">
        <v>9</v>
      </c>
      <c r="N93" s="350">
        <v>10</v>
      </c>
      <c r="O93" s="350">
        <v>11</v>
      </c>
      <c r="P93" s="350">
        <v>12</v>
      </c>
      <c r="Q93" s="350">
        <v>13</v>
      </c>
      <c r="R93" s="350">
        <v>14</v>
      </c>
      <c r="S93" s="350">
        <v>15</v>
      </c>
      <c r="T93" s="350">
        <v>16</v>
      </c>
      <c r="U93" s="350">
        <v>17</v>
      </c>
      <c r="V93" s="350">
        <v>18</v>
      </c>
      <c r="W93" s="350">
        <v>19</v>
      </c>
      <c r="X93" s="350">
        <v>20</v>
      </c>
      <c r="Y93" s="350">
        <v>21</v>
      </c>
      <c r="Z93" s="350">
        <v>22</v>
      </c>
      <c r="AA93" s="350">
        <v>23</v>
      </c>
      <c r="AB93" s="350">
        <v>24</v>
      </c>
      <c r="AC93" s="350">
        <v>25</v>
      </c>
      <c r="AD93" s="350">
        <v>26</v>
      </c>
      <c r="AE93" s="350">
        <v>27</v>
      </c>
      <c r="AF93" s="350">
        <v>28</v>
      </c>
      <c r="AG93" s="350">
        <v>29</v>
      </c>
      <c r="AH93" s="350">
        <v>30</v>
      </c>
      <c r="AI93" s="351">
        <v>31</v>
      </c>
    </row>
    <row r="94" spans="1:35" s="154" customFormat="1" ht="12" x14ac:dyDescent="0.2">
      <c r="B94" s="313" t="s">
        <v>65</v>
      </c>
      <c r="C94" s="349"/>
      <c r="D94" s="366"/>
      <c r="E94" s="352">
        <f>IF(Ларь1!F7=0,'цех точка продаж'!F1,Ларь1!F1)</f>
        <v>2.7273929332255933</v>
      </c>
      <c r="F94" s="352">
        <f>IF(Ларь1!G7=0,'цех точка продаж'!G1,Ларь1!G1)</f>
        <v>2.7273929332255933</v>
      </c>
      <c r="G94" s="352">
        <f>IF(Ларь1!H7=0,'цех точка продаж'!H1,Ларь1!H1)</f>
        <v>2.7273929332255933</v>
      </c>
      <c r="H94" s="352">
        <f>IF(Ларь1!I7=0,'цех точка продаж'!I1,Ларь1!I1)</f>
        <v>2.7273929332255933</v>
      </c>
      <c r="I94" s="352">
        <f>IF(Ларь1!J7=0,'цех точка продаж'!J1,Ларь1!J1)</f>
        <v>2.7273929332255933</v>
      </c>
      <c r="J94" s="352">
        <f>IF(Ларь1!K7=0,'цех точка продаж'!K1,Ларь1!K1)</f>
        <v>2.7273929332255933</v>
      </c>
      <c r="K94" s="352">
        <f>IF(Ларь1!L7=0,'цех точка продаж'!L1,Ларь1!L1)</f>
        <v>2.7273929332255933</v>
      </c>
      <c r="L94" s="352">
        <f>IF(Ларь1!M7=0,'цех точка продаж'!M1,Ларь1!M1)</f>
        <v>2.7273929332255933</v>
      </c>
      <c r="M94" s="352">
        <f>IF(Ларь1!N7=0,'цех точка продаж'!N1,Ларь1!N1)</f>
        <v>2.7273929332255933</v>
      </c>
      <c r="N94" s="352">
        <f>IF(Ларь1!O7=0,'цех точка продаж'!O1,Ларь1!O1)</f>
        <v>2.7273929332255933</v>
      </c>
      <c r="O94" s="352">
        <f>IF(Ларь1!P7=0,'цех точка продаж'!P1,Ларь1!P1)</f>
        <v>2.7273929332255933</v>
      </c>
      <c r="P94" s="352">
        <f>IF(Ларь1!Q7=0,'цех точка продаж'!Q1,Ларь1!Q1)</f>
        <v>2.7273929332255933</v>
      </c>
      <c r="Q94" s="352">
        <f>IF(Ларь1!R7=0,'цех точка продаж'!R1,Ларь1!R1)</f>
        <v>2.7273929332255933</v>
      </c>
      <c r="R94" s="352">
        <f>IF(Ларь1!S7=0,'цех точка продаж'!S1,Ларь1!S1)</f>
        <v>2.7273929332255933</v>
      </c>
      <c r="S94" s="352">
        <f>IF(Ларь1!T7=0,'цех точка продаж'!T1,Ларь1!T1)</f>
        <v>2.7273929332255933</v>
      </c>
      <c r="T94" s="352">
        <f>IF(Ларь1!U7=0,'цех точка продаж'!U1,Ларь1!U1)</f>
        <v>2.7273929332255933</v>
      </c>
      <c r="U94" s="352">
        <f>IF(Ларь1!V7=0,'цех точка продаж'!V1,Ларь1!V1)</f>
        <v>2.7273929332255933</v>
      </c>
      <c r="V94" s="352">
        <f>IF(Ларь1!W7=0,'цех точка продаж'!W1,Ларь1!W1)</f>
        <v>2.7273929332255933</v>
      </c>
      <c r="W94" s="352">
        <f>IF(Ларь1!X7=0,'цех точка продаж'!X1,Ларь1!X1)</f>
        <v>2.7273929332255933</v>
      </c>
      <c r="X94" s="352">
        <f>IF(Ларь1!Y7=0,'цех точка продаж'!Y1,Ларь1!Y1)</f>
        <v>2.7273929332255933</v>
      </c>
      <c r="Y94" s="352">
        <f>IF(Ларь1!Z7=0,'цех точка продаж'!Z1,Ларь1!Z1)</f>
        <v>2.7273929332255933</v>
      </c>
      <c r="Z94" s="352">
        <f>IF(Ларь1!AA7=0,'цех точка продаж'!AA1,Ларь1!AA1)</f>
        <v>2.7273929332255933</v>
      </c>
      <c r="AA94" s="352">
        <f>IF(Ларь1!AB7=0,'цех точка продаж'!AB1,Ларь1!AB1)</f>
        <v>2.7273929332255933</v>
      </c>
      <c r="AB94" s="352">
        <f>IF(Ларь1!AC7=0,'цех точка продаж'!AC1,Ларь1!AC1)</f>
        <v>2.7273929332255933</v>
      </c>
      <c r="AC94" s="352">
        <f>IF(Ларь1!AD7=0,'цех точка продаж'!AD1,Ларь1!AD1)</f>
        <v>2.7273929332255933</v>
      </c>
      <c r="AD94" s="352">
        <f>IF(Ларь1!AE7=0,'цех точка продаж'!AE1,Ларь1!AE1)</f>
        <v>2.7273929332255933</v>
      </c>
      <c r="AE94" s="352">
        <f>IF(Ларь1!AF7=0,'цех точка продаж'!AF1,Ларь1!AF1)</f>
        <v>2.7273929332255933</v>
      </c>
      <c r="AF94" s="352">
        <f>IF(Ларь1!AG7=0,'цех точка продаж'!AG1,Ларь1!AG1)</f>
        <v>2.7273929332255933</v>
      </c>
      <c r="AG94" s="352">
        <f>IF(Ларь1!AH7=0,'цех точка продаж'!AH1,Ларь1!AH1)</f>
        <v>2.7273929332255933</v>
      </c>
      <c r="AH94" s="352">
        <f>IF(Ларь1!AI7=0,'цех точка продаж'!AI1,Ларь1!AI1)</f>
        <v>2.7273929332255933</v>
      </c>
      <c r="AI94" s="353">
        <f>IF(Ларь1!AJ7=0,'цех точка продаж'!AJ1,Ларь1!AJ1)</f>
        <v>0</v>
      </c>
    </row>
    <row r="95" spans="1:35" s="154" customFormat="1" ht="12" x14ac:dyDescent="0.2">
      <c r="B95" s="313" t="s">
        <v>78</v>
      </c>
      <c r="C95" s="349"/>
      <c r="D95" s="366"/>
      <c r="E95" s="350">
        <v>0</v>
      </c>
      <c r="F95" s="354">
        <f>IF(F99=0,'цех точка продаж'!F7,'цех точка продаж'!F7+Ларь1!F7)</f>
        <v>61000</v>
      </c>
      <c r="G95" s="354">
        <f>IF(AND(G99=0,G100=0),'цех точка продаж'!G7,IF(AND(G99&lt;&gt;0,G100=0),'цех точка продаж'!G7+Ларь1!G7,'цех точка продаж'!G7+Ларь1!G7+Ларь2!G7))</f>
        <v>81000</v>
      </c>
      <c r="H95" s="354">
        <f>IF(AND(H99=0,H100=0,H101=0),'цех точка продаж'!H7,IF(AND(H99&lt;&gt;0,H100=0,H101=0),'цех точка продаж'!H7+Ларь1!H7,IF(AND(H99&lt;&gt;0,H100&lt;&gt;0,H101=0),'цех точка продаж'!H7+Ларь1!H7+Ларь2!H7,'цех точка продаж'!H7+Ларь1!H7+Ларь2!H7+Ларь3!G7)))</f>
        <v>101000</v>
      </c>
      <c r="I95" s="354">
        <f>IF(AND(I99=0,I100=0,I101=0),'цех точка продаж'!I7,IF(AND(I99&lt;&gt;0,I100=0,I101=0),'цех точка продаж'!I7+Ларь1!I7,IF(AND(I99&lt;&gt;0,I100&lt;&gt;0,I101=0),'цех точка продаж'!I7+Ларь1!I7+Ларь2!I7,'цех точка продаж'!I7+Ларь1!I7+Ларь2!I7+Ларь3!H7)))</f>
        <v>101000</v>
      </c>
      <c r="J95" s="354">
        <f>IF(AND(J99=0,J100=0,J101=0),'цех точка продаж'!J7,IF(AND(J99&lt;&gt;0,J100=0,J101=0),'цех точка продаж'!J7+Ларь1!J7,IF(AND(J99&lt;&gt;0,J100&lt;&gt;0,J101=0),'цех точка продаж'!J7+Ларь1!J7+Ларь2!J7,'цех точка продаж'!J7+Ларь1!J7+Ларь2!J7+Ларь3!I7)))</f>
        <v>101000</v>
      </c>
      <c r="K95" s="354">
        <f>IF(AND(K99=0,K100=0,K101=0),'цех точка продаж'!K7,IF(AND(K99&lt;&gt;0,K100=0,K101=0),'цех точка продаж'!K7+Ларь1!K7,IF(AND(K99&lt;&gt;0,K100&lt;&gt;0,K101=0),'цех точка продаж'!K7+Ларь1!K7+Ларь2!K7,'цех точка продаж'!K7+Ларь1!K7+Ларь2!K7+Ларь3!J7)))</f>
        <v>101000</v>
      </c>
      <c r="L95" s="354">
        <f>IF(AND(L99=0,L100=0,L101=0),'цех точка продаж'!L7,IF(AND(L99&lt;&gt;0,L100=0,L101=0),'цех точка продаж'!L7+Ларь1!L7,IF(AND(L99&lt;&gt;0,L100&lt;&gt;0,L101=0),'цех точка продаж'!L7+Ларь1!L7+Ларь2!L7,'цех точка продаж'!L7+Ларь1!L7+Ларь2!L7+Ларь3!K7)))</f>
        <v>101000</v>
      </c>
      <c r="M95" s="354">
        <f>IF(AND(M99=0,M100=0,M101=0),'цех точка продаж'!M7,IF(AND(M99&lt;&gt;0,M100=0,M101=0),'цех точка продаж'!M7+Ларь1!M7,IF(AND(M99&lt;&gt;0,M100&lt;&gt;0,M101=0),'цех точка продаж'!M7+Ларь1!M7+Ларь2!M7,'цех точка продаж'!M7+Ларь1!M7+Ларь2!M7+Ларь3!L7)))</f>
        <v>101000</v>
      </c>
      <c r="N95" s="354">
        <f>IF(AND(N99=0,N100=0,N101=0),'цех точка продаж'!N7,IF(AND(N99&lt;&gt;0,N100=0,N101=0),'цех точка продаж'!N7+Ларь1!N7,IF(AND(N99&lt;&gt;0,N100&lt;&gt;0,N101=0),'цех точка продаж'!N7+Ларь1!N7+Ларь2!N7,'цех точка продаж'!N7+Ларь1!N7+Ларь2!N7+Ларь3!M7)))</f>
        <v>101000</v>
      </c>
      <c r="O95" s="354">
        <f>IF(AND(O99=0,O100=0,O101=0),'цех точка продаж'!O7,IF(AND(O99&lt;&gt;0,O100=0,O101=0),'цех точка продаж'!O7+Ларь1!O7,IF(AND(O99&lt;&gt;0,O100&lt;&gt;0,O101=0),'цех точка продаж'!O7+Ларь1!O7+Ларь2!O7,'цех точка продаж'!O7+Ларь1!O7+Ларь2!O7+Ларь3!N7)))</f>
        <v>101000</v>
      </c>
      <c r="P95" s="354">
        <f>IF(AND(P99=0,P100=0,P101=0),'цех точка продаж'!P7,IF(AND(P99&lt;&gt;0,P100=0,P101=0),'цех точка продаж'!P7+Ларь1!P7,IF(AND(P99&lt;&gt;0,P100&lt;&gt;0,P101=0),'цех точка продаж'!P7+Ларь1!P7+Ларь2!P7,'цех точка продаж'!P7+Ларь1!P7+Ларь2!P7+Ларь3!O7)))</f>
        <v>101000</v>
      </c>
      <c r="Q95" s="354">
        <f>IF(AND(Q99=0,Q100=0,Q101=0),'цех точка продаж'!Q7,IF(AND(Q99&lt;&gt;0,Q100=0,Q101=0),'цех точка продаж'!Q7+Ларь1!Q7,IF(AND(Q99&lt;&gt;0,Q100&lt;&gt;0,Q101=0),'цех точка продаж'!Q7+Ларь1!Q7+Ларь2!Q7,'цех точка продаж'!Q7+Ларь1!Q7+Ларь2!Q7+Ларь3!P7)))</f>
        <v>101000</v>
      </c>
      <c r="R95" s="354">
        <f>IF(AND(R99=0,R100=0,R101=0),'цех точка продаж'!R7,IF(AND(R99&lt;&gt;0,R100=0,R101=0),'цех точка продаж'!R7+Ларь1!R7,IF(AND(R99&lt;&gt;0,R100&lt;&gt;0,R101=0),'цех точка продаж'!R7+Ларь1!R7+Ларь2!R7,'цех точка продаж'!R7+Ларь1!R7+Ларь2!R7+Ларь3!Q7)))</f>
        <v>101000</v>
      </c>
      <c r="S95" s="354">
        <f>IF(AND(S99=0,S100=0,S101=0),'цех точка продаж'!S7,IF(AND(S99&lt;&gt;0,S100=0,S101=0),'цех точка продаж'!S7+Ларь1!S7,IF(AND(S99&lt;&gt;0,S100&lt;&gt;0,S101=0),'цех точка продаж'!S7+Ларь1!S7+Ларь2!S7,'цех точка продаж'!S7+Ларь1!S7+Ларь2!S7+Ларь3!R7)))</f>
        <v>101000</v>
      </c>
      <c r="T95" s="354">
        <f>IF(AND(T99=0,T100=0,T101=0),'цех точка продаж'!T7,IF(AND(T99&lt;&gt;0,T100=0,T101=0),'цех точка продаж'!T7+Ларь1!T7,IF(AND(T99&lt;&gt;0,T100&lt;&gt;0,T101=0),'цех точка продаж'!T7+Ларь1!T7+Ларь2!T7,'цех точка продаж'!T7+Ларь1!T7+Ларь2!T7+Ларь3!S7)))</f>
        <v>101000</v>
      </c>
      <c r="U95" s="354">
        <f>IF(AND(U99=0,U100=0,U101=0),'цех точка продаж'!U7,IF(AND(U99&lt;&gt;0,U100=0,U101=0),'цех точка продаж'!U7+Ларь1!U7,IF(AND(U99&lt;&gt;0,U100&lt;&gt;0,U101=0),'цех точка продаж'!U7+Ларь1!U7+Ларь2!U7,'цех точка продаж'!U7+Ларь1!U7+Ларь2!U7+Ларь3!T7)))</f>
        <v>101000</v>
      </c>
      <c r="V95" s="354">
        <f>IF(AND(V99=0,V100=0,V101=0),'цех точка продаж'!V7,IF(AND(V99&lt;&gt;0,V100=0,V101=0),'цех точка продаж'!V7+Ларь1!V7,IF(AND(V99&lt;&gt;0,V100&lt;&gt;0,V101=0),'цех точка продаж'!V7+Ларь1!V7+Ларь2!V7,'цех точка продаж'!V7+Ларь1!V7+Ларь2!V7+Ларь3!U7)))</f>
        <v>101000</v>
      </c>
      <c r="W95" s="354">
        <f>IF(AND(W99=0,W100=0,W101=0),'цех точка продаж'!W7,IF(AND(W99&lt;&gt;0,W100=0,W101=0),'цех точка продаж'!W7+Ларь1!W7,IF(AND(W99&lt;&gt;0,W100&lt;&gt;0,W101=0),'цех точка продаж'!W7+Ларь1!W7+Ларь2!W7,'цех точка продаж'!W7+Ларь1!W7+Ларь2!W7+Ларь3!V7)))</f>
        <v>101000</v>
      </c>
      <c r="X95" s="354">
        <f>IF(AND(X99=0,X100=0,X101=0),'цех точка продаж'!X7,IF(AND(X99&lt;&gt;0,X100=0,X101=0),'цех точка продаж'!X7+Ларь1!X7,IF(AND(X99&lt;&gt;0,X100&lt;&gt;0,X101=0),'цех точка продаж'!X7+Ларь1!X7+Ларь2!X7,'цех точка продаж'!X7+Ларь1!X7+Ларь2!X7+Ларь3!W7)))</f>
        <v>101000</v>
      </c>
      <c r="Y95" s="354">
        <f>IF(AND(Y99=0,Y100=0,Y101=0),'цех точка продаж'!Y7,IF(AND(Y99&lt;&gt;0,Y100=0,Y101=0),'цех точка продаж'!Y7+Ларь1!Y7,IF(AND(Y99&lt;&gt;0,Y100&lt;&gt;0,Y101=0),'цех точка продаж'!Y7+Ларь1!Y7+Ларь2!Y7,'цех точка продаж'!Y7+Ларь1!Y7+Ларь2!Y7+Ларь3!X7)))</f>
        <v>101000</v>
      </c>
      <c r="Z95" s="354">
        <f>IF(AND(Z99=0,Z100=0,Z101=0),'цех точка продаж'!Z7,IF(AND(Z99&lt;&gt;0,Z100=0,Z101=0),'цех точка продаж'!Z7+Ларь1!Z7,IF(AND(Z99&lt;&gt;0,Z100&lt;&gt;0,Z101=0),'цех точка продаж'!Z7+Ларь1!Z7+Ларь2!Z7,'цех точка продаж'!Z7+Ларь1!Z7+Ларь2!Z7+Ларь3!Y7)))</f>
        <v>101000</v>
      </c>
      <c r="AA95" s="354">
        <f>IF(AND(AA99=0,AA100=0,AA101=0),'цех точка продаж'!AA7,IF(AND(AA99&lt;&gt;0,AA100=0,AA101=0),'цех точка продаж'!AA7+Ларь1!AA7,IF(AND(AA99&lt;&gt;0,AA100&lt;&gt;0,AA101=0),'цех точка продаж'!AA7+Ларь1!AA7+Ларь2!AA7,'цех точка продаж'!AA7+Ларь1!AA7+Ларь2!AA7+Ларь3!Z7)))</f>
        <v>101000</v>
      </c>
      <c r="AB95" s="354">
        <f>IF(AND(AB99=0,AB100=0,AB101=0),'цех точка продаж'!AB7,IF(AND(AB99&lt;&gt;0,AB100=0,AB101=0),'цех точка продаж'!AB7+Ларь1!AB7,IF(AND(AB99&lt;&gt;0,AB100&lt;&gt;0,AB101=0),'цех точка продаж'!AB7+Ларь1!AB7+Ларь2!AB7,'цех точка продаж'!AB7+Ларь1!AB7+Ларь2!AB7+Ларь3!AA7)))</f>
        <v>101000</v>
      </c>
      <c r="AC95" s="354">
        <f>IF(AND(AC99=0,AC100=0,AC101=0),'цех точка продаж'!AC7,IF(AND(AC99&lt;&gt;0,AC100=0,AC101=0),'цех точка продаж'!AC7+Ларь1!AC7,IF(AND(AC99&lt;&gt;0,AC100&lt;&gt;0,AC101=0),'цех точка продаж'!AC7+Ларь1!AC7+Ларь2!AC7,'цех точка продаж'!AC7+Ларь1!AC7+Ларь2!AC7+Ларь3!AB7)))</f>
        <v>101000</v>
      </c>
      <c r="AD95" s="354">
        <f>IF(AND(AD99=0,AD100=0,AD101=0),'цех точка продаж'!AD7,IF(AND(AD99&lt;&gt;0,AD100=0,AD101=0),'цех точка продаж'!AD7+Ларь1!AD7,IF(AND(AD99&lt;&gt;0,AD100&lt;&gt;0,AD101=0),'цех точка продаж'!AD7+Ларь1!AD7+Ларь2!AD7,'цех точка продаж'!AD7+Ларь1!AD7+Ларь2!AD7+Ларь3!AC7)))</f>
        <v>101000</v>
      </c>
      <c r="AE95" s="354">
        <f>IF(AND(AE99=0,AE100=0,AE101=0),'цех точка продаж'!AE7,IF(AND(AE99&lt;&gt;0,AE100=0,AE101=0),'цех точка продаж'!AE7+Ларь1!AE7,IF(AND(AE99&lt;&gt;0,AE100&lt;&gt;0,AE101=0),'цех точка продаж'!AE7+Ларь1!AE7+Ларь2!AE7,'цех точка продаж'!AE7+Ларь1!AE7+Ларь2!AE7+Ларь3!AD7)))</f>
        <v>101000</v>
      </c>
      <c r="AF95" s="354">
        <f>IF(AND(AF99=0,AF100=0,AF101=0),'цех точка продаж'!AF7,IF(AND(AF99&lt;&gt;0,AF100=0,AF101=0),'цех точка продаж'!AF7+Ларь1!AF7,IF(AND(AF99&lt;&gt;0,AF100&lt;&gt;0,AF101=0),'цех точка продаж'!AF7+Ларь1!AF7+Ларь2!AF7,'цех точка продаж'!AF7+Ларь1!AF7+Ларь2!AF7+Ларь3!AE7)))</f>
        <v>101000</v>
      </c>
      <c r="AG95" s="354">
        <f>IF(AND(AG99=0,AG100=0,AG101=0),'цех точка продаж'!AG7,IF(AND(AG99&lt;&gt;0,AG100=0,AG101=0),'цех точка продаж'!AG7+Ларь1!AG7,IF(AND(AG99&lt;&gt;0,AG100&lt;&gt;0,AG101=0),'цех точка продаж'!AG7+Ларь1!AG7+Ларь2!AG7,'цех точка продаж'!AG7+Ларь1!AG7+Ларь2!AG7+Ларь3!AF7)))</f>
        <v>101000</v>
      </c>
      <c r="AH95" s="354">
        <f>IF(AND(AH99=0,AH100=0,AH101=0),'цех точка продаж'!AH7,IF(AND(AH99&lt;&gt;0,AH100=0,AH101=0),'цех точка продаж'!AH7+Ларь1!AH7,IF(AND(AH99&lt;&gt;0,AH100&lt;&gt;0,AH101=0),'цех точка продаж'!AH7+Ларь1!AH7+Ларь2!AH7,'цех точка продаж'!AH7+Ларь1!AH7+Ларь2!AH7+Ларь3!AG7)))</f>
        <v>101000</v>
      </c>
      <c r="AI95" s="355">
        <f>IF(AND(AI99=0,AI100=0,AI101=0),'цех точка продаж'!AI7,IF(AND(AI99&lt;&gt;0,AI100=0,AI101=0),'цех точка продаж'!AI7+Ларь1!AI7,IF(AND(AI99&lt;&gt;0,AI100&lt;&gt;0,AI101=0),'цех точка продаж'!AI7+Ларь1!AI7+Ларь2!AI7,'цех точка продаж'!AI7+Ларь1!AI7+Ларь2!AI7+Ларь3!AH7)))</f>
        <v>101000</v>
      </c>
    </row>
    <row r="96" spans="1:35" s="154" customFormat="1" ht="12" x14ac:dyDescent="0.2">
      <c r="B96" s="313" t="s">
        <v>77</v>
      </c>
      <c r="C96" s="349"/>
      <c r="D96" s="366"/>
      <c r="E96" s="354">
        <f t="shared" ref="E96" si="42">E95*30</f>
        <v>0</v>
      </c>
      <c r="F96" s="354">
        <f>F95*30</f>
        <v>1830000</v>
      </c>
      <c r="G96" s="354">
        <f>G95*30</f>
        <v>2430000</v>
      </c>
      <c r="H96" s="354">
        <f t="shared" ref="H96:AI96" si="43">H95*30</f>
        <v>3030000</v>
      </c>
      <c r="I96" s="354">
        <f>I95*30</f>
        <v>3030000</v>
      </c>
      <c r="J96" s="354">
        <f t="shared" si="43"/>
        <v>3030000</v>
      </c>
      <c r="K96" s="354">
        <f>K95*30</f>
        <v>3030000</v>
      </c>
      <c r="L96" s="354">
        <f t="shared" si="43"/>
        <v>3030000</v>
      </c>
      <c r="M96" s="354">
        <f t="shared" si="43"/>
        <v>3030000</v>
      </c>
      <c r="N96" s="354">
        <f t="shared" si="43"/>
        <v>3030000</v>
      </c>
      <c r="O96" s="354">
        <f t="shared" si="43"/>
        <v>3030000</v>
      </c>
      <c r="P96" s="354">
        <f t="shared" si="43"/>
        <v>3030000</v>
      </c>
      <c r="Q96" s="354">
        <f>Q95*30</f>
        <v>3030000</v>
      </c>
      <c r="R96" s="354">
        <f t="shared" si="43"/>
        <v>3030000</v>
      </c>
      <c r="S96" s="354">
        <f t="shared" si="43"/>
        <v>3030000</v>
      </c>
      <c r="T96" s="354">
        <f t="shared" si="43"/>
        <v>3030000</v>
      </c>
      <c r="U96" s="354">
        <f>U95*30</f>
        <v>3030000</v>
      </c>
      <c r="V96" s="354">
        <f t="shared" si="43"/>
        <v>3030000</v>
      </c>
      <c r="W96" s="354">
        <f t="shared" si="43"/>
        <v>3030000</v>
      </c>
      <c r="X96" s="354">
        <f t="shared" si="43"/>
        <v>3030000</v>
      </c>
      <c r="Y96" s="354">
        <f t="shared" si="43"/>
        <v>3030000</v>
      </c>
      <c r="Z96" s="354">
        <f t="shared" si="43"/>
        <v>3030000</v>
      </c>
      <c r="AA96" s="354">
        <f t="shared" si="43"/>
        <v>3030000</v>
      </c>
      <c r="AB96" s="354">
        <f t="shared" si="43"/>
        <v>3030000</v>
      </c>
      <c r="AC96" s="354">
        <f t="shared" si="43"/>
        <v>3030000</v>
      </c>
      <c r="AD96" s="354">
        <f t="shared" si="43"/>
        <v>3030000</v>
      </c>
      <c r="AE96" s="354">
        <f t="shared" si="43"/>
        <v>3030000</v>
      </c>
      <c r="AF96" s="354">
        <f t="shared" si="43"/>
        <v>3030000</v>
      </c>
      <c r="AG96" s="354">
        <f t="shared" si="43"/>
        <v>3030000</v>
      </c>
      <c r="AH96" s="354">
        <f t="shared" si="43"/>
        <v>3030000</v>
      </c>
      <c r="AI96" s="355">
        <f t="shared" si="43"/>
        <v>3030000</v>
      </c>
    </row>
    <row r="97" spans="2:36" s="154" customFormat="1" ht="12" x14ac:dyDescent="0.2">
      <c r="B97" s="313" t="s">
        <v>99</v>
      </c>
      <c r="C97" s="349"/>
      <c r="D97" s="366"/>
      <c r="E97" s="356">
        <f>E56</f>
        <v>0</v>
      </c>
      <c r="F97" s="356">
        <f t="shared" ref="F97:AI97" si="44">F56</f>
        <v>-378327.11733333336</v>
      </c>
      <c r="G97" s="356">
        <f t="shared" si="44"/>
        <v>-467696.66400000005</v>
      </c>
      <c r="H97" s="356">
        <f t="shared" si="44"/>
        <v>-552066.21066666674</v>
      </c>
      <c r="I97" s="356">
        <f t="shared" si="44"/>
        <v>-552066.21066666674</v>
      </c>
      <c r="J97" s="356">
        <f t="shared" si="44"/>
        <v>-552066.21066666674</v>
      </c>
      <c r="K97" s="356">
        <f t="shared" si="44"/>
        <v>-552066.21066666674</v>
      </c>
      <c r="L97" s="356">
        <f t="shared" si="44"/>
        <v>-552066.21066666674</v>
      </c>
      <c r="M97" s="356">
        <f t="shared" si="44"/>
        <v>-552066.21066666674</v>
      </c>
      <c r="N97" s="356">
        <f t="shared" si="44"/>
        <v>-552066.21066666674</v>
      </c>
      <c r="O97" s="356">
        <f t="shared" si="44"/>
        <v>-552066.21066666674</v>
      </c>
      <c r="P97" s="356">
        <f t="shared" si="44"/>
        <v>-552066.21066666674</v>
      </c>
      <c r="Q97" s="356">
        <f t="shared" si="44"/>
        <v>-552066.21066666674</v>
      </c>
      <c r="R97" s="356">
        <f t="shared" si="44"/>
        <v>-552066.21066666674</v>
      </c>
      <c r="S97" s="356">
        <f t="shared" si="44"/>
        <v>-552066.21066666674</v>
      </c>
      <c r="T97" s="356">
        <f t="shared" si="44"/>
        <v>-552066.21066666674</v>
      </c>
      <c r="U97" s="356">
        <f t="shared" si="44"/>
        <v>-552066.21066666674</v>
      </c>
      <c r="V97" s="356">
        <f t="shared" si="44"/>
        <v>-552066.21066666674</v>
      </c>
      <c r="W97" s="356">
        <f t="shared" si="44"/>
        <v>-552066.21066666674</v>
      </c>
      <c r="X97" s="356">
        <f t="shared" si="44"/>
        <v>-552066.21066666674</v>
      </c>
      <c r="Y97" s="356">
        <f t="shared" si="44"/>
        <v>-552066.21066666674</v>
      </c>
      <c r="Z97" s="356">
        <f t="shared" si="44"/>
        <v>-552066.21066666674</v>
      </c>
      <c r="AA97" s="356">
        <f t="shared" si="44"/>
        <v>-552066.21066666674</v>
      </c>
      <c r="AB97" s="356">
        <f t="shared" si="44"/>
        <v>-552066.21066666674</v>
      </c>
      <c r="AC97" s="356">
        <f t="shared" si="44"/>
        <v>-552066.21066666674</v>
      </c>
      <c r="AD97" s="356">
        <f t="shared" si="44"/>
        <v>-552066.21066666674</v>
      </c>
      <c r="AE97" s="356">
        <f t="shared" si="44"/>
        <v>-552066.21066666674</v>
      </c>
      <c r="AF97" s="356">
        <f t="shared" si="44"/>
        <v>-552066.21066666674</v>
      </c>
      <c r="AG97" s="356">
        <f t="shared" si="44"/>
        <v>-552066.21066666674</v>
      </c>
      <c r="AH97" s="356">
        <f t="shared" si="44"/>
        <v>-552066.21066666674</v>
      </c>
      <c r="AI97" s="357">
        <f t="shared" si="44"/>
        <v>-552066.21066666674</v>
      </c>
    </row>
    <row r="98" spans="2:36" s="154" customFormat="1" ht="12" x14ac:dyDescent="0.2">
      <c r="B98" s="313" t="s">
        <v>104</v>
      </c>
      <c r="C98" s="349"/>
      <c r="D98" s="366"/>
      <c r="E98" s="356">
        <f>'цех точка продаж'!E57</f>
        <v>0</v>
      </c>
      <c r="F98" s="356">
        <f>'цех точка продаж'!F57</f>
        <v>552492.1571816419</v>
      </c>
      <c r="G98" s="356">
        <f>'цех точка продаж'!G57</f>
        <v>552492.1571816419</v>
      </c>
      <c r="H98" s="356">
        <f>'цех точка продаж'!H57</f>
        <v>552492.1571816419</v>
      </c>
      <c r="I98" s="356">
        <f>'цех точка продаж'!I57</f>
        <v>552492.1571816419</v>
      </c>
      <c r="J98" s="356">
        <f>'цех точка продаж'!J57</f>
        <v>552492.1571816419</v>
      </c>
      <c r="K98" s="356">
        <f>'цех точка продаж'!K57</f>
        <v>552492.1571816419</v>
      </c>
      <c r="L98" s="356">
        <f>'цех точка продаж'!L57</f>
        <v>552492.1571816419</v>
      </c>
      <c r="M98" s="356">
        <f>'цех точка продаж'!M57</f>
        <v>552492.1571816419</v>
      </c>
      <c r="N98" s="356">
        <f>'цех точка продаж'!N57</f>
        <v>552492.1571816419</v>
      </c>
      <c r="O98" s="356">
        <f>'цех точка продаж'!O57</f>
        <v>552492.1571816419</v>
      </c>
      <c r="P98" s="356">
        <f>'цех точка продаж'!P57</f>
        <v>552492.1571816419</v>
      </c>
      <c r="Q98" s="356">
        <f>'цех точка продаж'!Q57</f>
        <v>552492.1571816419</v>
      </c>
      <c r="R98" s="356">
        <f>'цех точка продаж'!R57</f>
        <v>552492.1571816419</v>
      </c>
      <c r="S98" s="356">
        <f>'цех точка продаж'!S57</f>
        <v>552492.1571816419</v>
      </c>
      <c r="T98" s="356">
        <f>'цех точка продаж'!T57</f>
        <v>552492.1571816419</v>
      </c>
      <c r="U98" s="356">
        <f>'цех точка продаж'!U57</f>
        <v>552492.1571816419</v>
      </c>
      <c r="V98" s="356">
        <f>'цех точка продаж'!V57</f>
        <v>552492.1571816419</v>
      </c>
      <c r="W98" s="356">
        <f>'цех точка продаж'!W57</f>
        <v>552492.1571816419</v>
      </c>
      <c r="X98" s="356">
        <f>'цех точка продаж'!X57</f>
        <v>552492.1571816419</v>
      </c>
      <c r="Y98" s="356">
        <f>'цех точка продаж'!Y57</f>
        <v>552492.1571816419</v>
      </c>
      <c r="Z98" s="356">
        <f>'цех точка продаж'!Z57</f>
        <v>552492.1571816419</v>
      </c>
      <c r="AA98" s="356">
        <f>'цех точка продаж'!AA57</f>
        <v>552492.1571816419</v>
      </c>
      <c r="AB98" s="356">
        <f>'цех точка продаж'!AB57</f>
        <v>552492.1571816419</v>
      </c>
      <c r="AC98" s="356">
        <f>'цех точка продаж'!AC57</f>
        <v>552492.1571816419</v>
      </c>
      <c r="AD98" s="356">
        <f>'цех точка продаж'!AD57</f>
        <v>552492.1571816419</v>
      </c>
      <c r="AE98" s="356">
        <f>'цех точка продаж'!AE57</f>
        <v>552492.1571816419</v>
      </c>
      <c r="AF98" s="356">
        <f>'цех точка продаж'!AF57</f>
        <v>552492.1571816419</v>
      </c>
      <c r="AG98" s="356">
        <f>'цех точка продаж'!AG57</f>
        <v>552492.1571816419</v>
      </c>
      <c r="AH98" s="356">
        <f>'цех точка продаж'!AH57</f>
        <v>552492.1571816419</v>
      </c>
      <c r="AI98" s="357">
        <f>'цех точка продаж'!AI57</f>
        <v>552492.1571816419</v>
      </c>
    </row>
    <row r="99" spans="2:36" s="154" customFormat="1" ht="12" x14ac:dyDescent="0.2">
      <c r="B99" s="313" t="s">
        <v>118</v>
      </c>
      <c r="C99" s="349"/>
      <c r="D99" s="366"/>
      <c r="E99" s="356">
        <f>IF('Параметры проекта'!$B$7&lt;=0,Ларь1!E57*0,Ларь1!E57)</f>
        <v>0</v>
      </c>
      <c r="F99" s="356">
        <f>IF('Параметры проекта'!$B$7&lt;=0,Ларь1!F57*0,Ларь1!F57)</f>
        <v>171003.29618616679</v>
      </c>
      <c r="G99" s="356">
        <f>IF('Параметры проекта'!$B$7&lt;=0,Ларь1!G57*0,Ларь1!G57)</f>
        <v>171003.29618616679</v>
      </c>
      <c r="H99" s="356">
        <f>IF('Параметры проекта'!$B$7&lt;=0,Ларь1!H57*0,Ларь1!H57)</f>
        <v>171003.29618616679</v>
      </c>
      <c r="I99" s="356">
        <f>IF('Параметры проекта'!$B$7&lt;=0,Ларь1!I57*0,Ларь1!I57)</f>
        <v>171003.29618616679</v>
      </c>
      <c r="J99" s="356">
        <f>IF('Параметры проекта'!$B$7&lt;=0,Ларь1!J57*0,Ларь1!J57)</f>
        <v>171003.29618616679</v>
      </c>
      <c r="K99" s="356">
        <f>IF('Параметры проекта'!$B$7&lt;=0,Ларь1!K57*0,Ларь1!K57)</f>
        <v>171003.29618616679</v>
      </c>
      <c r="L99" s="356">
        <f>IF('Параметры проекта'!$B$7&lt;=0,Ларь1!L57*0,Ларь1!L57)</f>
        <v>171003.29618616679</v>
      </c>
      <c r="M99" s="356">
        <f>IF('Параметры проекта'!$B$7&lt;=0,Ларь1!M57*0,Ларь1!M57)</f>
        <v>171003.29618616679</v>
      </c>
      <c r="N99" s="356">
        <f>IF('Параметры проекта'!$B$7&lt;=0,Ларь1!N57*0,Ларь1!N57)</f>
        <v>171003.29618616679</v>
      </c>
      <c r="O99" s="356">
        <f>IF('Параметры проекта'!$B$7&lt;=0,Ларь1!O57*0,Ларь1!O57)</f>
        <v>171003.29618616679</v>
      </c>
      <c r="P99" s="356">
        <f>IF('Параметры проекта'!$B$7&lt;=0,Ларь1!P57*0,Ларь1!P57)</f>
        <v>171003.29618616679</v>
      </c>
      <c r="Q99" s="356">
        <f>IF('Параметры проекта'!$B$7&lt;=0,Ларь1!Q57*0,Ларь1!Q57)</f>
        <v>171003.29618616679</v>
      </c>
      <c r="R99" s="356">
        <f>IF('Параметры проекта'!$B$7&lt;=0,Ларь1!R57*0,Ларь1!R57)</f>
        <v>171003.29618616679</v>
      </c>
      <c r="S99" s="356">
        <f>IF('Параметры проекта'!$B$7&lt;=0,Ларь1!S57*0,Ларь1!S57)</f>
        <v>171003.29618616679</v>
      </c>
      <c r="T99" s="356">
        <f>IF('Параметры проекта'!$B$7&lt;=0,Ларь1!T57*0,Ларь1!T57)</f>
        <v>171003.29618616679</v>
      </c>
      <c r="U99" s="356">
        <f>IF('Параметры проекта'!$B$7&lt;=0,Ларь1!U57*0,Ларь1!U57)</f>
        <v>171003.29618616679</v>
      </c>
      <c r="V99" s="356">
        <f>IF('Параметры проекта'!$B$7&lt;=0,Ларь1!V57*0,Ларь1!V57)</f>
        <v>171003.29618616679</v>
      </c>
      <c r="W99" s="356">
        <f>IF('Параметры проекта'!$B$7&lt;=0,Ларь1!W57*0,Ларь1!W57)</f>
        <v>171003.29618616679</v>
      </c>
      <c r="X99" s="356">
        <f>IF('Параметры проекта'!$B$7&lt;=0,Ларь1!X57*0,Ларь1!X57)</f>
        <v>171003.29618616679</v>
      </c>
      <c r="Y99" s="356">
        <f>IF('Параметры проекта'!$B$7&lt;=0,Ларь1!Y57*0,Ларь1!Y57)</f>
        <v>171003.29618616679</v>
      </c>
      <c r="Z99" s="356">
        <f>IF('Параметры проекта'!$B$7&lt;=0,Ларь1!Z57*0,Ларь1!Z57)</f>
        <v>171003.29618616679</v>
      </c>
      <c r="AA99" s="356">
        <f>IF('Параметры проекта'!$B$7&lt;=0,Ларь1!AA57*0,Ларь1!AA57)</f>
        <v>171003.29618616679</v>
      </c>
      <c r="AB99" s="356">
        <f>IF('Параметры проекта'!$B$7&lt;=0,Ларь1!AB57*0,Ларь1!AB57)</f>
        <v>171003.29618616679</v>
      </c>
      <c r="AC99" s="356">
        <f>IF('Параметры проекта'!$B$7&lt;=0,Ларь1!AC57*0,Ларь1!AC57)</f>
        <v>171003.29618616679</v>
      </c>
      <c r="AD99" s="356">
        <f>IF('Параметры проекта'!$B$7&lt;=0,Ларь1!AD57*0,Ларь1!AD57)</f>
        <v>171003.29618616679</v>
      </c>
      <c r="AE99" s="356">
        <f>IF('Параметры проекта'!$B$7&lt;=0,Ларь1!AE57*0,Ларь1!AE57)</f>
        <v>171003.29618616679</v>
      </c>
      <c r="AF99" s="356">
        <f>IF('Параметры проекта'!$B$7&lt;=0,Ларь1!AF57*0,Ларь1!AF57)</f>
        <v>171003.29618616679</v>
      </c>
      <c r="AG99" s="356">
        <f>IF('Параметры проекта'!$B$7&lt;=0,Ларь1!AG57*0,Ларь1!AG57)</f>
        <v>171003.29618616679</v>
      </c>
      <c r="AH99" s="356">
        <f>IF('Параметры проекта'!$B$7&lt;=0,Ларь1!AH57*0,Ларь1!AH57)</f>
        <v>171003.29618616679</v>
      </c>
      <c r="AI99" s="357">
        <f>IF('Параметры проекта'!$B$7&lt;=0,Ларь1!AI57*0,Ларь1!AI57)</f>
        <v>171003.29618616679</v>
      </c>
    </row>
    <row r="100" spans="2:36" s="154" customFormat="1" ht="12" x14ac:dyDescent="0.2">
      <c r="B100" s="313" t="s">
        <v>119</v>
      </c>
      <c r="C100" s="349"/>
      <c r="D100" s="366"/>
      <c r="E100" s="356">
        <f>Ларь2!E57</f>
        <v>0</v>
      </c>
      <c r="F100" s="356">
        <f>IF('Параметры проекта'!$B$7&lt;=1,Ларь2!E57*0,Ларь2!E57)</f>
        <v>0</v>
      </c>
      <c r="G100" s="356">
        <f>IF('Параметры проекта'!$B$7&lt;=1,Ларь2!F57*0,Ларь2!F57)</f>
        <v>171003.29618616679</v>
      </c>
      <c r="H100" s="356">
        <f>IF('Параметры проекта'!$B$7&lt;=1,Ларь2!G57*0,Ларь2!G57)</f>
        <v>171003.29618616679</v>
      </c>
      <c r="I100" s="356">
        <f>IF('Параметры проекта'!$B$7&lt;=1,Ларь2!H57*0,Ларь2!H57)</f>
        <v>171003.29618616679</v>
      </c>
      <c r="J100" s="356">
        <f>IF('Параметры проекта'!$B$7&lt;=1,Ларь2!I57*0,Ларь2!I57)</f>
        <v>171003.29618616679</v>
      </c>
      <c r="K100" s="356">
        <f>IF('Параметры проекта'!$B$7&lt;=1,Ларь2!J57*0,Ларь2!J57)</f>
        <v>171003.29618616679</v>
      </c>
      <c r="L100" s="356">
        <f>IF('Параметры проекта'!$B$7&lt;=1,Ларь2!K57*0,Ларь2!K57)</f>
        <v>171003.29618616679</v>
      </c>
      <c r="M100" s="356">
        <f>IF('Параметры проекта'!$B$7&lt;=1,Ларь2!L57*0,Ларь2!L57)</f>
        <v>171003.29618616679</v>
      </c>
      <c r="N100" s="356">
        <f>IF('Параметры проекта'!$B$7&lt;=1,Ларь2!M57*0,Ларь2!M57)</f>
        <v>171003.29618616679</v>
      </c>
      <c r="O100" s="356">
        <f>IF('Параметры проекта'!$B$7&lt;=1,Ларь2!N57*0,Ларь2!N57)</f>
        <v>171003.29618616679</v>
      </c>
      <c r="P100" s="356">
        <f>IF('Параметры проекта'!$B$7&lt;=1,Ларь2!O57*0,Ларь2!O57)</f>
        <v>171003.29618616679</v>
      </c>
      <c r="Q100" s="356">
        <f>IF('Параметры проекта'!$B$7&lt;=1,Ларь2!P57*0,Ларь2!P57)</f>
        <v>171003.29618616679</v>
      </c>
      <c r="R100" s="356">
        <f>IF('Параметры проекта'!$B$7&lt;=1,Ларь2!Q57*0,Ларь2!Q57)</f>
        <v>171003.29618616679</v>
      </c>
      <c r="S100" s="356">
        <f>IF('Параметры проекта'!$B$7&lt;=1,Ларь2!R57*0,Ларь2!R57)</f>
        <v>171003.29618616679</v>
      </c>
      <c r="T100" s="356">
        <f>IF('Параметры проекта'!$B$7&lt;=1,Ларь2!S57*0,Ларь2!S57)</f>
        <v>171003.29618616679</v>
      </c>
      <c r="U100" s="356">
        <f>IF('Параметры проекта'!$B$7&lt;=1,Ларь2!T57*0,Ларь2!T57)</f>
        <v>171003.29618616679</v>
      </c>
      <c r="V100" s="356">
        <f>IF('Параметры проекта'!$B$7&lt;=1,Ларь2!U57*0,Ларь2!U57)</f>
        <v>171003.29618616679</v>
      </c>
      <c r="W100" s="356">
        <f>IF('Параметры проекта'!$B$7&lt;=1,Ларь2!V57*0,Ларь2!V57)</f>
        <v>171003.29618616679</v>
      </c>
      <c r="X100" s="356">
        <f>IF('Параметры проекта'!$B$7&lt;=1,Ларь2!W57*0,Ларь2!W57)</f>
        <v>171003.29618616679</v>
      </c>
      <c r="Y100" s="356">
        <f>IF('Параметры проекта'!$B$7&lt;=1,Ларь2!X57*0,Ларь2!X57)</f>
        <v>171003.29618616679</v>
      </c>
      <c r="Z100" s="356">
        <f>IF('Параметры проекта'!$B$7&lt;=1,Ларь2!Y57*0,Ларь2!Y57)</f>
        <v>171003.29618616679</v>
      </c>
      <c r="AA100" s="356">
        <f>IF('Параметры проекта'!$B$7&lt;=1,Ларь2!Z57*0,Ларь2!Z57)</f>
        <v>171003.29618616679</v>
      </c>
      <c r="AB100" s="356">
        <f>IF('Параметры проекта'!$B$7&lt;=1,Ларь2!AA57*0,Ларь2!AA57)</f>
        <v>171003.29618616679</v>
      </c>
      <c r="AC100" s="356">
        <f>IF('Параметры проекта'!$B$7&lt;=1,Ларь2!AB57*0,Ларь2!AB57)</f>
        <v>171003.29618616679</v>
      </c>
      <c r="AD100" s="356">
        <f>IF('Параметры проекта'!$B$7&lt;=1,Ларь2!AC57*0,Ларь2!AC57)</f>
        <v>171003.29618616679</v>
      </c>
      <c r="AE100" s="356">
        <f>IF('Параметры проекта'!$B$7&lt;=1,Ларь2!AD57*0,Ларь2!AD57)</f>
        <v>171003.29618616679</v>
      </c>
      <c r="AF100" s="356">
        <f>IF('Параметры проекта'!$B$7&lt;=1,Ларь2!AE57*0,Ларь2!AE57)</f>
        <v>171003.29618616679</v>
      </c>
      <c r="AG100" s="356">
        <f>IF('Параметры проекта'!$B$7&lt;=1,Ларь2!AF57*0,Ларь2!AF57)</f>
        <v>171003.29618616679</v>
      </c>
      <c r="AH100" s="356">
        <f>IF('Параметры проекта'!$B$7&lt;=1,Ларь2!AG57*0,Ларь2!AG57)</f>
        <v>171003.29618616679</v>
      </c>
      <c r="AI100" s="357">
        <f>IF('Параметры проекта'!$B$7&lt;=1,Ларь2!AH57*0,Ларь2!AH57)</f>
        <v>171003.29618616679</v>
      </c>
    </row>
    <row r="101" spans="2:36" s="154" customFormat="1" ht="12" x14ac:dyDescent="0.2">
      <c r="B101" s="313" t="s">
        <v>120</v>
      </c>
      <c r="C101" s="349"/>
      <c r="D101" s="366"/>
      <c r="E101" s="356">
        <v>0</v>
      </c>
      <c r="F101" s="356">
        <v>0</v>
      </c>
      <c r="G101" s="356">
        <f>IF('Параметры проекта'!$B$7&lt;=2,Ларь3!E57*0,Ларь3!E57)</f>
        <v>0</v>
      </c>
      <c r="H101" s="356">
        <f>IF('Параметры проекта'!$B$7&lt;=2,Ларь3!F57*0,Ларь3!F57)</f>
        <v>171003.29618616679</v>
      </c>
      <c r="I101" s="356">
        <f>IF('Параметры проекта'!$B$7&lt;=2,Ларь3!G57*0,Ларь3!G57)</f>
        <v>171003.29618616679</v>
      </c>
      <c r="J101" s="356">
        <f>IF('Параметры проекта'!$B$7&lt;=2,Ларь3!H57*0,Ларь3!H57)</f>
        <v>171003.29618616679</v>
      </c>
      <c r="K101" s="356">
        <f>IF('Параметры проекта'!$B$7&lt;=2,Ларь3!I57*0,Ларь3!I57)</f>
        <v>171003.29618616679</v>
      </c>
      <c r="L101" s="356">
        <f>IF('Параметры проекта'!$B$7&lt;=2,Ларь3!J57*0,Ларь3!J57)</f>
        <v>171003.29618616679</v>
      </c>
      <c r="M101" s="356">
        <f>IF('Параметры проекта'!$B$7&lt;=2,Ларь3!K57*0,Ларь3!K57)</f>
        <v>171003.29618616679</v>
      </c>
      <c r="N101" s="356">
        <f>IF('Параметры проекта'!$B$7&lt;=2,Ларь3!L57*0,Ларь3!L57)</f>
        <v>171003.29618616679</v>
      </c>
      <c r="O101" s="356">
        <f>IF('Параметры проекта'!$B$7&lt;=2,Ларь3!M57*0,Ларь3!M57)</f>
        <v>171003.29618616679</v>
      </c>
      <c r="P101" s="356">
        <f>IF('Параметры проекта'!$B$7&lt;=2,Ларь3!N57*0,Ларь3!N57)</f>
        <v>171003.29618616679</v>
      </c>
      <c r="Q101" s="356">
        <f>IF('Параметры проекта'!$B$7&lt;=2,Ларь3!O57*0,Ларь3!O57)</f>
        <v>171003.29618616679</v>
      </c>
      <c r="R101" s="356">
        <f>IF('Параметры проекта'!$B$7&lt;=2,Ларь3!P57*0,Ларь3!P57)</f>
        <v>171003.29618616679</v>
      </c>
      <c r="S101" s="356">
        <f>IF('Параметры проекта'!$B$7&lt;=2,Ларь3!Q57*0,Ларь3!Q57)</f>
        <v>171003.29618616679</v>
      </c>
      <c r="T101" s="356">
        <f>IF('Параметры проекта'!$B$7&lt;=2,Ларь3!R57*0,Ларь3!R57)</f>
        <v>171003.29618616679</v>
      </c>
      <c r="U101" s="356">
        <f>IF('Параметры проекта'!$B$7&lt;=2,Ларь3!S57*0,Ларь3!S57)</f>
        <v>171003.29618616679</v>
      </c>
      <c r="V101" s="356">
        <f>IF('Параметры проекта'!$B$7&lt;=2,Ларь3!T57*0,Ларь3!T57)</f>
        <v>171003.29618616679</v>
      </c>
      <c r="W101" s="356">
        <f>IF('Параметры проекта'!$B$7&lt;=2,Ларь3!U57*0,Ларь3!U57)</f>
        <v>171003.29618616679</v>
      </c>
      <c r="X101" s="356">
        <f>IF('Параметры проекта'!$B$7&lt;=2,Ларь3!V57*0,Ларь3!V57)</f>
        <v>171003.29618616679</v>
      </c>
      <c r="Y101" s="356">
        <f>IF('Параметры проекта'!$B$7&lt;=2,Ларь3!W57*0,Ларь3!W57)</f>
        <v>171003.29618616679</v>
      </c>
      <c r="Z101" s="356">
        <f>IF('Параметры проекта'!$B$7&lt;=2,Ларь3!X57*0,Ларь3!X57)</f>
        <v>171003.29618616679</v>
      </c>
      <c r="AA101" s="356">
        <f>IF('Параметры проекта'!$B$7&lt;=2,Ларь3!Y57*0,Ларь3!Y57)</f>
        <v>171003.29618616679</v>
      </c>
      <c r="AB101" s="356">
        <f>IF('Параметры проекта'!$B$7&lt;=2,Ларь3!Z57*0,Ларь3!Z57)</f>
        <v>171003.29618616679</v>
      </c>
      <c r="AC101" s="356">
        <f>IF('Параметры проекта'!$B$7&lt;=2,Ларь3!AA57*0,Ларь3!AA57)</f>
        <v>171003.29618616679</v>
      </c>
      <c r="AD101" s="356">
        <f>IF('Параметры проекта'!$B$7&lt;=2,Ларь3!AB57*0,Ларь3!AB57)</f>
        <v>171003.29618616679</v>
      </c>
      <c r="AE101" s="356">
        <f>IF('Параметры проекта'!$B$7&lt;=2,Ларь3!AC57*0,Ларь3!AC57)</f>
        <v>171003.29618616679</v>
      </c>
      <c r="AF101" s="356">
        <f>IF('Параметры проекта'!$B$7&lt;=2,Ларь3!AD57*0,Ларь3!AD57)</f>
        <v>171003.29618616679</v>
      </c>
      <c r="AG101" s="356">
        <f>IF('Параметры проекта'!$B$7&lt;=2,Ларь3!AE57*0,Ларь3!AE57)</f>
        <v>171003.29618616679</v>
      </c>
      <c r="AH101" s="356">
        <f>IF('Параметры проекта'!$B$7&lt;=2,Ларь3!AF57*0,Ларь3!AF57)</f>
        <v>171003.29618616679</v>
      </c>
      <c r="AI101" s="357">
        <f>IF('Параметры проекта'!$B$7&lt;=2,Ларь3!AG57*0,Ларь3!AG57)</f>
        <v>171003.29618616679</v>
      </c>
    </row>
    <row r="102" spans="2:36" s="154" customFormat="1" ht="12" hidden="1" x14ac:dyDescent="0.2">
      <c r="B102" s="313" t="s">
        <v>121</v>
      </c>
      <c r="C102" s="349"/>
      <c r="D102" s="366"/>
      <c r="E102" s="356">
        <v>0</v>
      </c>
      <c r="F102" s="356">
        <v>0</v>
      </c>
      <c r="G102" s="356">
        <v>0</v>
      </c>
      <c r="H102" s="356">
        <v>0</v>
      </c>
      <c r="I102" s="356">
        <v>0</v>
      </c>
      <c r="J102" s="356">
        <v>0</v>
      </c>
      <c r="K102" s="356">
        <v>0</v>
      </c>
      <c r="L102" s="356">
        <v>0</v>
      </c>
      <c r="M102" s="356">
        <v>0</v>
      </c>
      <c r="N102" s="356">
        <v>0</v>
      </c>
      <c r="O102" s="356">
        <v>0</v>
      </c>
      <c r="P102" s="356">
        <v>0</v>
      </c>
      <c r="Q102" s="356">
        <v>0</v>
      </c>
      <c r="R102" s="356">
        <v>0</v>
      </c>
      <c r="S102" s="356">
        <v>0</v>
      </c>
      <c r="T102" s="356">
        <v>0</v>
      </c>
      <c r="U102" s="356">
        <v>0</v>
      </c>
      <c r="V102" s="356">
        <v>0</v>
      </c>
      <c r="W102" s="356">
        <v>0</v>
      </c>
      <c r="X102" s="356">
        <v>0</v>
      </c>
      <c r="Y102" s="356">
        <v>0</v>
      </c>
      <c r="Z102" s="356">
        <v>0</v>
      </c>
      <c r="AA102" s="356">
        <v>0</v>
      </c>
      <c r="AB102" s="356">
        <v>0</v>
      </c>
      <c r="AC102" s="356">
        <v>0</v>
      </c>
      <c r="AD102" s="356">
        <v>0</v>
      </c>
      <c r="AE102" s="356">
        <v>0</v>
      </c>
      <c r="AF102" s="356">
        <v>0</v>
      </c>
      <c r="AG102" s="356">
        <v>0</v>
      </c>
      <c r="AH102" s="356">
        <v>0</v>
      </c>
      <c r="AI102" s="357">
        <v>0</v>
      </c>
      <c r="AJ102" s="154" t="str">
        <f t="shared" ref="AJ102:AJ103" si="45">IF(AI102&gt;0,1,"")</f>
        <v/>
      </c>
    </row>
    <row r="103" spans="2:36" s="154" customFormat="1" ht="12" hidden="1" x14ac:dyDescent="0.2">
      <c r="B103" s="313" t="s">
        <v>129</v>
      </c>
      <c r="C103" s="349"/>
      <c r="D103" s="366"/>
      <c r="E103" s="356">
        <v>0</v>
      </c>
      <c r="F103" s="356">
        <v>0</v>
      </c>
      <c r="G103" s="356">
        <v>0</v>
      </c>
      <c r="H103" s="356">
        <v>0</v>
      </c>
      <c r="I103" s="356">
        <v>0</v>
      </c>
      <c r="J103" s="356">
        <v>0</v>
      </c>
      <c r="K103" s="356">
        <v>0</v>
      </c>
      <c r="L103" s="356">
        <v>0</v>
      </c>
      <c r="M103" s="356">
        <v>0</v>
      </c>
      <c r="N103" s="356">
        <v>0</v>
      </c>
      <c r="O103" s="356">
        <v>0</v>
      </c>
      <c r="P103" s="356">
        <v>0</v>
      </c>
      <c r="Q103" s="356">
        <v>0</v>
      </c>
      <c r="R103" s="356">
        <v>0</v>
      </c>
      <c r="S103" s="356">
        <v>0</v>
      </c>
      <c r="T103" s="356">
        <v>0</v>
      </c>
      <c r="U103" s="356">
        <v>0</v>
      </c>
      <c r="V103" s="356">
        <v>0</v>
      </c>
      <c r="W103" s="356">
        <v>0</v>
      </c>
      <c r="X103" s="356">
        <v>0</v>
      </c>
      <c r="Y103" s="356">
        <v>0</v>
      </c>
      <c r="Z103" s="356">
        <v>0</v>
      </c>
      <c r="AA103" s="356">
        <v>0</v>
      </c>
      <c r="AB103" s="356">
        <v>0</v>
      </c>
      <c r="AC103" s="356">
        <v>0</v>
      </c>
      <c r="AD103" s="356">
        <v>0</v>
      </c>
      <c r="AE103" s="356">
        <v>0</v>
      </c>
      <c r="AF103" s="356">
        <v>0</v>
      </c>
      <c r="AG103" s="356">
        <v>0</v>
      </c>
      <c r="AH103" s="356">
        <v>0</v>
      </c>
      <c r="AI103" s="357">
        <v>0</v>
      </c>
      <c r="AJ103" s="154" t="str">
        <f t="shared" si="45"/>
        <v/>
      </c>
    </row>
    <row r="104" spans="2:36" s="154" customFormat="1" thickBot="1" x14ac:dyDescent="0.25">
      <c r="B104" s="313" t="s">
        <v>107</v>
      </c>
      <c r="C104" s="349"/>
      <c r="D104" s="366"/>
      <c r="E104" s="356">
        <f>E96*'Параметры проекта'!$B$41*-1</f>
        <v>0</v>
      </c>
      <c r="F104" s="356">
        <f>F96*'Параметры проекта'!$B$41*-1</f>
        <v>0</v>
      </c>
      <c r="G104" s="356">
        <f>G96*'Параметры проекта'!$B$41*-1</f>
        <v>0</v>
      </c>
      <c r="H104" s="356">
        <f>H96*'Параметры проекта'!$B$41*-1</f>
        <v>0</v>
      </c>
      <c r="I104" s="356">
        <f>I96*'Параметры проекта'!$B$41*-1</f>
        <v>0</v>
      </c>
      <c r="J104" s="356">
        <f>J96*'Параметры проекта'!$B$41*-1</f>
        <v>0</v>
      </c>
      <c r="K104" s="356">
        <f>K96*'Параметры проекта'!$B$41*-1</f>
        <v>0</v>
      </c>
      <c r="L104" s="356">
        <f>L96*'Параметры проекта'!$B$41*-1</f>
        <v>0</v>
      </c>
      <c r="M104" s="356">
        <f>M96*'Параметры проекта'!$B$41*-1</f>
        <v>0</v>
      </c>
      <c r="N104" s="356">
        <f>N96*'Параметры проекта'!$B$41*-1</f>
        <v>0</v>
      </c>
      <c r="O104" s="356">
        <f>O96*'Параметры проекта'!$B$41*-1</f>
        <v>0</v>
      </c>
      <c r="P104" s="356">
        <f>P96*'Параметры проекта'!$B$41*-1</f>
        <v>0</v>
      </c>
      <c r="Q104" s="356">
        <f>Q96*'Параметры проекта'!$B$41*-1</f>
        <v>0</v>
      </c>
      <c r="R104" s="356">
        <f>R96*'Параметры проекта'!$B$41*-1</f>
        <v>0</v>
      </c>
      <c r="S104" s="356">
        <f>S96*'Параметры проекта'!$B$41*-1</f>
        <v>0</v>
      </c>
      <c r="T104" s="356">
        <f>T96*'Параметры проекта'!$B$41*-1</f>
        <v>0</v>
      </c>
      <c r="U104" s="356">
        <f>U96*'Параметры проекта'!$B$41*-1</f>
        <v>0</v>
      </c>
      <c r="V104" s="356">
        <f>V96*'Параметры проекта'!$B$41*-1</f>
        <v>0</v>
      </c>
      <c r="W104" s="356">
        <f>W96*'Параметры проекта'!$B$41*-1</f>
        <v>0</v>
      </c>
      <c r="X104" s="356">
        <f>X96*'Параметры проекта'!$B$41*-1</f>
        <v>0</v>
      </c>
      <c r="Y104" s="356">
        <f>Y96*'Параметры проекта'!$B$41*-1</f>
        <v>0</v>
      </c>
      <c r="Z104" s="356">
        <f>Z96*'Параметры проекта'!$B$41*-1</f>
        <v>0</v>
      </c>
      <c r="AA104" s="356">
        <f>AA96*'Параметры проекта'!$B$41*-1</f>
        <v>0</v>
      </c>
      <c r="AB104" s="356">
        <f>AB96*'Параметры проекта'!$B$41*-1</f>
        <v>0</v>
      </c>
      <c r="AC104" s="356">
        <f>AC96*'Параметры проекта'!$B$41*-1</f>
        <v>0</v>
      </c>
      <c r="AD104" s="356">
        <f>AD96*'Параметры проекта'!$B$41*-1</f>
        <v>0</v>
      </c>
      <c r="AE104" s="356">
        <f>AE96*'Параметры проекта'!$B$41*-1</f>
        <v>0</v>
      </c>
      <c r="AF104" s="356">
        <f>AF96*'Параметры проекта'!$B$41*-1</f>
        <v>0</v>
      </c>
      <c r="AG104" s="356">
        <f>AG96*'Параметры проекта'!$B$41*-1</f>
        <v>0</v>
      </c>
      <c r="AH104" s="356">
        <f>AH96*'Параметры проекта'!$B$41*-1</f>
        <v>0</v>
      </c>
      <c r="AI104" s="357">
        <f>AI96*'Параметры проекта'!$B$41*-1</f>
        <v>0</v>
      </c>
    </row>
    <row r="105" spans="2:36" s="358" customFormat="1" thickBot="1" x14ac:dyDescent="0.25">
      <c r="B105" s="313" t="s">
        <v>108</v>
      </c>
      <c r="C105" s="392">
        <f t="shared" ref="C105:E105" si="46">SUM(C97:C104)*$O$109</f>
        <v>0</v>
      </c>
      <c r="D105" s="370">
        <f t="shared" si="46"/>
        <v>0</v>
      </c>
      <c r="E105" s="370">
        <f t="shared" si="46"/>
        <v>0</v>
      </c>
      <c r="F105" s="370">
        <f>SUM(F97:F104)*$O$109</f>
        <v>155325.75121551391</v>
      </c>
      <c r="G105" s="370">
        <f>SUM(G97:G104)*$O$109</f>
        <v>192060.93849928895</v>
      </c>
      <c r="H105" s="370">
        <f>SUM(H97:H104)*$O$109</f>
        <v>231046.12578306397</v>
      </c>
      <c r="I105" s="370">
        <f>SUM(I97:I104)*$O$109</f>
        <v>231046.12578306397</v>
      </c>
      <c r="J105" s="370">
        <f t="shared" ref="J105" si="47">SUM(J97:J104)*$O$109</f>
        <v>231046.12578306397</v>
      </c>
      <c r="K105" s="370">
        <f>SUM(K97:K104)*$O$109</f>
        <v>231046.12578306397</v>
      </c>
      <c r="L105" s="370">
        <f t="shared" ref="L105:M105" si="48">SUM(L97:L104)*$O$109</f>
        <v>231046.12578306397</v>
      </c>
      <c r="M105" s="370">
        <f t="shared" si="48"/>
        <v>231046.12578306397</v>
      </c>
      <c r="N105" s="370">
        <f>SUM(N97:N104)*$O$109</f>
        <v>231046.12578306397</v>
      </c>
      <c r="O105" s="370">
        <f>SUM(O97:O104)*$O$109</f>
        <v>231046.12578306397</v>
      </c>
      <c r="P105" s="370">
        <f>SUM(P97:P104)*$O$109</f>
        <v>231046.12578306397</v>
      </c>
      <c r="Q105" s="370">
        <f>SUM(Q97:Q104)*$O$109</f>
        <v>231046.12578306397</v>
      </c>
      <c r="R105" s="370">
        <f t="shared" ref="R105:AA105" si="49">SUM(R97:R104)*$O$109</f>
        <v>231046.12578306397</v>
      </c>
      <c r="S105" s="370">
        <f t="shared" si="49"/>
        <v>231046.12578306397</v>
      </c>
      <c r="T105" s="370">
        <f t="shared" si="49"/>
        <v>231046.12578306397</v>
      </c>
      <c r="U105" s="370">
        <f t="shared" si="49"/>
        <v>231046.12578306397</v>
      </c>
      <c r="V105" s="370">
        <f t="shared" si="49"/>
        <v>231046.12578306397</v>
      </c>
      <c r="W105" s="370">
        <f t="shared" si="49"/>
        <v>231046.12578306397</v>
      </c>
      <c r="X105" s="370">
        <f t="shared" si="49"/>
        <v>231046.12578306397</v>
      </c>
      <c r="Y105" s="370">
        <f t="shared" si="49"/>
        <v>231046.12578306397</v>
      </c>
      <c r="Z105" s="370">
        <f t="shared" si="49"/>
        <v>231046.12578306397</v>
      </c>
      <c r="AA105" s="370">
        <f t="shared" si="49"/>
        <v>231046.12578306397</v>
      </c>
      <c r="AB105" s="370">
        <f>SUM(AB97:AB104)*$O$109</f>
        <v>231046.12578306397</v>
      </c>
      <c r="AC105" s="370">
        <f t="shared" ref="AC105:AD105" si="50">SUM(AC97:AC104)*$O$109</f>
        <v>231046.12578306397</v>
      </c>
      <c r="AD105" s="370">
        <f t="shared" si="50"/>
        <v>231046.12578306397</v>
      </c>
      <c r="AE105" s="370">
        <f>SUM(AE97:AE104)*$O$109</f>
        <v>231046.12578306397</v>
      </c>
      <c r="AF105" s="370">
        <f>SUM(AF97:AF104)*$O$109</f>
        <v>231046.12578306397</v>
      </c>
      <c r="AG105" s="370">
        <f t="shared" ref="AG105" si="51">SUM(AG97:AG104)*$O$109</f>
        <v>231046.12578306397</v>
      </c>
      <c r="AH105" s="370">
        <f>SUM(AH97:AH104)*$O$109</f>
        <v>231046.12578306397</v>
      </c>
      <c r="AI105" s="371">
        <f>SUM(AI97:AI104)*$O$109</f>
        <v>231046.12578306397</v>
      </c>
      <c r="AJ105" s="358">
        <f>SUM(AJ99:AJ103)</f>
        <v>0</v>
      </c>
    </row>
    <row r="106" spans="2:36" s="358" customFormat="1" thickBot="1" x14ac:dyDescent="0.25">
      <c r="B106" s="313" t="s">
        <v>79</v>
      </c>
      <c r="C106" s="392">
        <f>SUM($C$105:C105)</f>
        <v>0</v>
      </c>
      <c r="D106" s="370">
        <f>SUM($C$105:D105)</f>
        <v>0</v>
      </c>
      <c r="E106" s="370">
        <f>SUM($C$105:E105)</f>
        <v>0</v>
      </c>
      <c r="F106" s="370">
        <f>SUM($C$105:F105)</f>
        <v>155325.75121551391</v>
      </c>
      <c r="G106" s="370">
        <f>SUM($C$105:G105)</f>
        <v>347386.68971480289</v>
      </c>
      <c r="H106" s="370">
        <f>SUM($C$105:H105)</f>
        <v>578432.81549786683</v>
      </c>
      <c r="I106" s="370">
        <f>SUM($C$105:I105)</f>
        <v>809478.94128093077</v>
      </c>
      <c r="J106" s="370">
        <f>SUM($C$105:J105)</f>
        <v>1040525.0670639947</v>
      </c>
      <c r="K106" s="370">
        <f>SUM($C$105:K105)</f>
        <v>1271571.1928470586</v>
      </c>
      <c r="L106" s="370">
        <f>SUM($C$105:L105)</f>
        <v>1502617.3186301226</v>
      </c>
      <c r="M106" s="370">
        <f>SUM($C$105:M105)</f>
        <v>1733663.4444131865</v>
      </c>
      <c r="N106" s="370">
        <f>SUM($C$105:N105)</f>
        <v>1964709.5701962505</v>
      </c>
      <c r="O106" s="370">
        <f>SUM($C$105:O105)</f>
        <v>2195755.6959793144</v>
      </c>
      <c r="P106" s="370">
        <f>SUM($C$105:P105)</f>
        <v>2426801.8217623783</v>
      </c>
      <c r="Q106" s="370">
        <f>SUM($C$105:Q105)</f>
        <v>2657847.9475454423</v>
      </c>
      <c r="R106" s="370">
        <f>SUM($C$105:R105)</f>
        <v>2888894.0733285062</v>
      </c>
      <c r="S106" s="370">
        <f>SUM($C$105:S105)</f>
        <v>3119940.1991115701</v>
      </c>
      <c r="T106" s="370">
        <f>SUM($C$105:T105)</f>
        <v>3350986.3248946341</v>
      </c>
      <c r="U106" s="370">
        <f>SUM($C$105:U105)</f>
        <v>3582032.450677698</v>
      </c>
      <c r="V106" s="370">
        <f>SUM($C$105:V105)</f>
        <v>3813078.5764607619</v>
      </c>
      <c r="W106" s="370">
        <f>SUM($C$105:W105)</f>
        <v>4044124.7022438259</v>
      </c>
      <c r="X106" s="370">
        <f>SUM($C$105:X105)</f>
        <v>4275170.8280268898</v>
      </c>
      <c r="Y106" s="370">
        <f>SUM($C$105:Y105)</f>
        <v>4506216.9538099542</v>
      </c>
      <c r="Z106" s="370">
        <f>SUM($C$105:Z105)</f>
        <v>4737263.0795930186</v>
      </c>
      <c r="AA106" s="370">
        <f>SUM($C$105:AA105)</f>
        <v>4968309.205376083</v>
      </c>
      <c r="AB106" s="370">
        <f>SUM($C$105:AB105)</f>
        <v>5199355.3311591474</v>
      </c>
      <c r="AC106" s="370">
        <f>SUM($C$105:AC105)</f>
        <v>5430401.4569422118</v>
      </c>
      <c r="AD106" s="370">
        <f>SUM($C$105:AD105)</f>
        <v>5661447.5827252762</v>
      </c>
      <c r="AE106" s="370">
        <f>SUM($C$105:AE105)</f>
        <v>5892493.7085083406</v>
      </c>
      <c r="AF106" s="370">
        <f>SUM($C$105:AF105)</f>
        <v>6123539.834291405</v>
      </c>
      <c r="AG106" s="370">
        <f>SUM($C$105:AG105)</f>
        <v>6354585.9600744694</v>
      </c>
      <c r="AH106" s="370">
        <f>SUM($C$105:AH105)</f>
        <v>6585632.0858575338</v>
      </c>
      <c r="AI106" s="371">
        <f>SUM($C$105:AI105)</f>
        <v>6816678.2116405983</v>
      </c>
    </row>
    <row r="107" spans="2:36" s="358" customFormat="1" thickBot="1" x14ac:dyDescent="0.25">
      <c r="B107" s="313" t="s">
        <v>105</v>
      </c>
      <c r="C107" s="393">
        <f t="shared" ref="C107:D107" si="52">C90*-1+C106</f>
        <v>-2300000</v>
      </c>
      <c r="D107" s="368">
        <f t="shared" si="52"/>
        <v>-3450000</v>
      </c>
      <c r="E107" s="368">
        <f>E90*-1+E106</f>
        <v>-5450000</v>
      </c>
      <c r="F107" s="368">
        <f>F90*-1+F106</f>
        <v>-6144674.2487844862</v>
      </c>
      <c r="G107" s="368">
        <f>G90*-1+G106</f>
        <v>-6802613.3102851976</v>
      </c>
      <c r="H107" s="368">
        <f t="shared" ref="H107:AI107" si="53">H90*-1+H106</f>
        <v>-6571567.1845021332</v>
      </c>
      <c r="I107" s="372">
        <f t="shared" si="53"/>
        <v>-6340521.0587190688</v>
      </c>
      <c r="J107" s="368">
        <f t="shared" si="53"/>
        <v>-6109474.9329360053</v>
      </c>
      <c r="K107" s="368">
        <f t="shared" si="53"/>
        <v>-5878428.8071529418</v>
      </c>
      <c r="L107" s="368">
        <f t="shared" si="53"/>
        <v>-5647382.6813698774</v>
      </c>
      <c r="M107" s="368">
        <f t="shared" si="53"/>
        <v>-5416336.555586813</v>
      </c>
      <c r="N107" s="368">
        <f t="shared" si="53"/>
        <v>-5185290.4298037495</v>
      </c>
      <c r="O107" s="368">
        <f>O90*-1+O106</f>
        <v>-4954244.3040206861</v>
      </c>
      <c r="P107" s="368">
        <f t="shared" si="53"/>
        <v>-4723198.1782376217</v>
      </c>
      <c r="Q107" s="368">
        <f>Q90*-1+Q106</f>
        <v>-4492152.0524545573</v>
      </c>
      <c r="R107" s="368">
        <f t="shared" si="53"/>
        <v>-4261105.9266714938</v>
      </c>
      <c r="S107" s="368">
        <f t="shared" si="53"/>
        <v>-4030059.8008884299</v>
      </c>
      <c r="T107" s="368">
        <f t="shared" si="53"/>
        <v>-3799013.6751053659</v>
      </c>
      <c r="U107" s="368">
        <f t="shared" si="53"/>
        <v>-3567967.549322302</v>
      </c>
      <c r="V107" s="368">
        <f t="shared" si="53"/>
        <v>-3336921.4235392381</v>
      </c>
      <c r="W107" s="368">
        <f t="shared" si="53"/>
        <v>-3105875.2977561741</v>
      </c>
      <c r="X107" s="368">
        <f t="shared" si="53"/>
        <v>-2874829.1719731102</v>
      </c>
      <c r="Y107" s="368">
        <f t="shared" si="53"/>
        <v>-2643783.0461900458</v>
      </c>
      <c r="Z107" s="368">
        <f t="shared" si="53"/>
        <v>-2412736.9204069814</v>
      </c>
      <c r="AA107" s="368">
        <f t="shared" si="53"/>
        <v>-2181690.794623917</v>
      </c>
      <c r="AB107" s="368">
        <f t="shared" si="53"/>
        <v>-1950644.6688408526</v>
      </c>
      <c r="AC107" s="368">
        <f t="shared" si="53"/>
        <v>-1719598.5430577882</v>
      </c>
      <c r="AD107" s="368">
        <f t="shared" si="53"/>
        <v>-1488552.4172747238</v>
      </c>
      <c r="AE107" s="368">
        <f>AE90*-1+AE106</f>
        <v>-1257506.2914916594</v>
      </c>
      <c r="AF107" s="368">
        <f>AF90*-1+AF106</f>
        <v>-1026460.165708595</v>
      </c>
      <c r="AG107" s="368">
        <f t="shared" si="53"/>
        <v>-795414.03992553055</v>
      </c>
      <c r="AH107" s="368">
        <f t="shared" si="53"/>
        <v>-564367.91414246615</v>
      </c>
      <c r="AI107" s="369">
        <f t="shared" si="53"/>
        <v>-333321.78835940175</v>
      </c>
    </row>
    <row r="108" spans="2:36" s="359" customFormat="1" ht="13.5" customHeight="1" x14ac:dyDescent="0.25">
      <c r="B108" s="363" t="s">
        <v>106</v>
      </c>
      <c r="D108" s="363"/>
      <c r="E108" s="600">
        <f>N107/(N105)*-1+$P$5</f>
        <v>34.442663395586962</v>
      </c>
      <c r="F108" s="361" t="s">
        <v>41</v>
      </c>
      <c r="O108" s="361">
        <f>((O56*-1)+('цех точка продаж'!N62)+(Ларь1!N62*'Параметры проекта'!B7))</f>
        <v>1405613.1306666667</v>
      </c>
      <c r="P108" s="361">
        <f>'цех точка продаж'!N19+(Ларь1!N19*'Параметры проекта'!B7)-P26-P33</f>
        <v>1552973.5655997915</v>
      </c>
      <c r="Q108" s="361">
        <f>P108-O108</f>
        <v>147360.43493312481</v>
      </c>
      <c r="V108" s="363" t="s">
        <v>80</v>
      </c>
      <c r="W108" s="359" t="e">
        <f>W105/#REF!*100*12</f>
        <v>#REF!</v>
      </c>
      <c r="X108" s="359" t="e">
        <f>W108/2</f>
        <v>#REF!</v>
      </c>
      <c r="Y108" s="359" t="e">
        <f>W108/4</f>
        <v>#REF!</v>
      </c>
    </row>
    <row r="109" spans="2:36" s="359" customFormat="1" ht="15.75" customHeight="1" x14ac:dyDescent="0.2">
      <c r="D109" s="523"/>
      <c r="E109" s="524" t="s">
        <v>245</v>
      </c>
      <c r="F109" s="523" t="s">
        <v>88</v>
      </c>
      <c r="G109" s="523" t="s">
        <v>87</v>
      </c>
      <c r="I109" s="359" t="s">
        <v>95</v>
      </c>
      <c r="J109" s="601" t="s">
        <v>144</v>
      </c>
      <c r="N109" s="363" t="s">
        <v>102</v>
      </c>
      <c r="O109" s="604">
        <f>'Параметры проекта'!B44</f>
        <v>0.45</v>
      </c>
      <c r="P109" s="604">
        <v>0.5</v>
      </c>
      <c r="Q109" s="359" t="s">
        <v>109</v>
      </c>
    </row>
    <row r="110" spans="2:36" s="359" customFormat="1" ht="12" x14ac:dyDescent="0.2">
      <c r="D110" s="363" t="s">
        <v>93</v>
      </c>
      <c r="E110" s="361">
        <f>'Параметры проекта'!B17</f>
        <v>25000</v>
      </c>
      <c r="F110" s="605">
        <f>(K95-J110)/I110*2</f>
        <v>8.3989473684210534</v>
      </c>
      <c r="G110" s="361">
        <f>E110*F110</f>
        <v>209973.68421052632</v>
      </c>
      <c r="I110" s="361">
        <f>'Параметры проекта'!B19</f>
        <v>19000</v>
      </c>
      <c r="J110" s="361">
        <f>M95*(I121+I122)</f>
        <v>21210</v>
      </c>
    </row>
    <row r="111" spans="2:36" s="359" customFormat="1" ht="12" x14ac:dyDescent="0.2">
      <c r="D111" s="363" t="s">
        <v>94</v>
      </c>
      <c r="E111" s="361">
        <f>'Параметры проекта'!B18</f>
        <v>20000</v>
      </c>
      <c r="F111" s="605">
        <f>(K95-J110)/I111*2</f>
        <v>5.3193333333333337</v>
      </c>
      <c r="G111" s="361">
        <f>E111*F111</f>
        <v>106386.66666666667</v>
      </c>
      <c r="I111" s="361">
        <f>'Параметры проекта'!B20</f>
        <v>30000</v>
      </c>
      <c r="J111" s="361"/>
      <c r="K111" s="361"/>
      <c r="L111" s="361"/>
    </row>
    <row r="112" spans="2:36" s="359" customFormat="1" ht="12" x14ac:dyDescent="0.2">
      <c r="D112" s="363"/>
      <c r="E112" s="361">
        <v>0</v>
      </c>
      <c r="F112" s="605">
        <v>0</v>
      </c>
      <c r="G112" s="361">
        <f>E112*F112</f>
        <v>0</v>
      </c>
      <c r="I112" s="362"/>
      <c r="J112" s="363"/>
      <c r="K112" s="361"/>
      <c r="L112" s="362"/>
      <c r="N112" s="363" t="s">
        <v>148</v>
      </c>
      <c r="O112" s="602">
        <f>SUM(O97:O104)*(100%-O109)</f>
        <v>282389.70929041156</v>
      </c>
    </row>
    <row r="113" spans="4:12" s="359" customFormat="1" ht="12" x14ac:dyDescent="0.2">
      <c r="D113" s="363"/>
      <c r="E113" s="361"/>
      <c r="G113" s="361">
        <f>SUM(G110:G112)</f>
        <v>316360.35087719298</v>
      </c>
      <c r="I113" s="362"/>
      <c r="J113" s="363"/>
      <c r="K113" s="361"/>
      <c r="L113" s="362"/>
    </row>
    <row r="114" spans="4:12" s="359" customFormat="1" ht="12" x14ac:dyDescent="0.2">
      <c r="E114" s="361"/>
      <c r="F114" s="525" t="s">
        <v>90</v>
      </c>
      <c r="G114" s="359" t="s">
        <v>87</v>
      </c>
    </row>
    <row r="115" spans="4:12" s="359" customFormat="1" ht="12" x14ac:dyDescent="0.2">
      <c r="E115" s="361" t="s">
        <v>89</v>
      </c>
      <c r="F115" s="361">
        <v>12000</v>
      </c>
      <c r="G115" s="361">
        <f>F115*(F112+F111+F110)*30.2%</f>
        <v>49715.049263157904</v>
      </c>
    </row>
    <row r="116" spans="4:12" s="359" customFormat="1" ht="12" x14ac:dyDescent="0.2">
      <c r="F116" s="361"/>
    </row>
    <row r="117" spans="4:12" s="359" customFormat="1" ht="12" x14ac:dyDescent="0.2">
      <c r="F117" s="361"/>
    </row>
    <row r="118" spans="4:12" s="359" customFormat="1" ht="12" x14ac:dyDescent="0.2">
      <c r="F118" s="361"/>
    </row>
    <row r="119" spans="4:12" s="359" customFormat="1" ht="12" x14ac:dyDescent="0.2">
      <c r="F119" s="361"/>
      <c r="H119" s="603" t="s">
        <v>130</v>
      </c>
      <c r="I119" s="525" t="s">
        <v>134</v>
      </c>
      <c r="J119" s="525" t="s">
        <v>49</v>
      </c>
    </row>
    <row r="120" spans="4:12" s="359" customFormat="1" ht="12" x14ac:dyDescent="0.2">
      <c r="F120" s="361"/>
      <c r="H120" s="363" t="s">
        <v>131</v>
      </c>
      <c r="I120" s="606">
        <f>'Параметры проекта'!B31</f>
        <v>0.79</v>
      </c>
      <c r="J120" s="607">
        <f>'Параметры проекта'!B34</f>
        <v>3.12</v>
      </c>
    </row>
    <row r="121" spans="4:12" s="359" customFormat="1" ht="12" x14ac:dyDescent="0.2">
      <c r="F121" s="361"/>
      <c r="H121" s="363" t="s">
        <v>132</v>
      </c>
      <c r="I121" s="606">
        <f>'Параметры проекта'!B32</f>
        <v>0.09</v>
      </c>
      <c r="J121" s="607">
        <f>'Параметры проекта'!B35</f>
        <v>2.1</v>
      </c>
    </row>
    <row r="122" spans="4:12" s="359" customFormat="1" ht="12" x14ac:dyDescent="0.2">
      <c r="F122" s="361"/>
      <c r="H122" s="363" t="s">
        <v>133</v>
      </c>
      <c r="I122" s="606">
        <f>'Параметры проекта'!B33</f>
        <v>0.12</v>
      </c>
      <c r="J122" s="607">
        <f>'Параметры проекта'!B36</f>
        <v>1.7</v>
      </c>
    </row>
    <row r="123" spans="4:12" s="359" customFormat="1" ht="12" x14ac:dyDescent="0.2">
      <c r="F123" s="361"/>
      <c r="I123" s="604">
        <f>SUM(I120:I122)</f>
        <v>1</v>
      </c>
      <c r="K123" s="359">
        <f>(I120*J120+I121*J121+I122*J122)/I123</f>
        <v>2.8578000000000006</v>
      </c>
    </row>
    <row r="124" spans="4:12" s="359" customFormat="1" ht="12" x14ac:dyDescent="0.2">
      <c r="F124" s="361"/>
    </row>
    <row r="125" spans="4:12" s="359" customFormat="1" ht="12" x14ac:dyDescent="0.2">
      <c r="F125" s="361"/>
    </row>
    <row r="126" spans="4:12" s="359" customFormat="1" ht="12" x14ac:dyDescent="0.2">
      <c r="E126" s="363" t="s">
        <v>149</v>
      </c>
      <c r="F126" s="361"/>
    </row>
    <row r="127" spans="4:12" s="359" customFormat="1" ht="12" x14ac:dyDescent="0.2">
      <c r="D127" s="363" t="s">
        <v>150</v>
      </c>
      <c r="E127" s="361">
        <f>'Параметры проекта'!B14</f>
        <v>0</v>
      </c>
      <c r="F127" s="361"/>
    </row>
    <row r="128" spans="4:12" s="359" customFormat="1" ht="12" x14ac:dyDescent="0.2">
      <c r="D128" s="363" t="s">
        <v>152</v>
      </c>
      <c r="E128" s="361">
        <f>'Параметры проекта'!B15</f>
        <v>0</v>
      </c>
      <c r="F128" s="361"/>
    </row>
    <row r="129" spans="4:35" s="359" customFormat="1" ht="12" x14ac:dyDescent="0.2">
      <c r="D129" s="363" t="s">
        <v>159</v>
      </c>
      <c r="E129" s="361">
        <f>'Параметры проекта'!B16</f>
        <v>0</v>
      </c>
      <c r="F129" s="361"/>
    </row>
    <row r="130" spans="4:35" s="359" customFormat="1" ht="12" x14ac:dyDescent="0.2">
      <c r="E130" s="361">
        <f>SUM(E127:E129)</f>
        <v>0</v>
      </c>
      <c r="F130" s="361"/>
    </row>
    <row r="131" spans="4:35" s="359" customFormat="1" ht="12" x14ac:dyDescent="0.2">
      <c r="F131" s="361"/>
    </row>
    <row r="132" spans="4:35" s="359" customFormat="1" ht="12" hidden="1" x14ac:dyDescent="0.2">
      <c r="D132" s="359" t="s">
        <v>210</v>
      </c>
      <c r="F132" s="361"/>
    </row>
    <row r="133" spans="4:35" s="359" customFormat="1" ht="12" hidden="1" x14ac:dyDescent="0.2">
      <c r="D133" s="363" t="s">
        <v>118</v>
      </c>
      <c r="E133" s="359">
        <f>IF(E99=0,0,1)</f>
        <v>0</v>
      </c>
      <c r="F133" s="359">
        <f t="shared" ref="F133:AI135" si="54">IF(F99=0,0,1)</f>
        <v>1</v>
      </c>
      <c r="G133" s="359">
        <f t="shared" si="54"/>
        <v>1</v>
      </c>
      <c r="H133" s="359">
        <f t="shared" si="54"/>
        <v>1</v>
      </c>
      <c r="I133" s="359">
        <f t="shared" si="54"/>
        <v>1</v>
      </c>
      <c r="J133" s="359">
        <f t="shared" si="54"/>
        <v>1</v>
      </c>
      <c r="K133" s="359">
        <f t="shared" si="54"/>
        <v>1</v>
      </c>
      <c r="L133" s="359">
        <f t="shared" si="54"/>
        <v>1</v>
      </c>
      <c r="M133" s="359">
        <f t="shared" si="54"/>
        <v>1</v>
      </c>
      <c r="N133" s="359">
        <f t="shared" si="54"/>
        <v>1</v>
      </c>
      <c r="O133" s="359">
        <f t="shared" si="54"/>
        <v>1</v>
      </c>
      <c r="P133" s="359">
        <f t="shared" si="54"/>
        <v>1</v>
      </c>
      <c r="Q133" s="359">
        <f t="shared" si="54"/>
        <v>1</v>
      </c>
      <c r="R133" s="359">
        <f t="shared" si="54"/>
        <v>1</v>
      </c>
      <c r="S133" s="359">
        <f t="shared" si="54"/>
        <v>1</v>
      </c>
      <c r="T133" s="359">
        <f t="shared" si="54"/>
        <v>1</v>
      </c>
      <c r="U133" s="359">
        <f t="shared" si="54"/>
        <v>1</v>
      </c>
      <c r="V133" s="359">
        <f t="shared" si="54"/>
        <v>1</v>
      </c>
      <c r="W133" s="359">
        <f t="shared" si="54"/>
        <v>1</v>
      </c>
      <c r="X133" s="359">
        <f t="shared" si="54"/>
        <v>1</v>
      </c>
      <c r="Y133" s="359">
        <f t="shared" si="54"/>
        <v>1</v>
      </c>
      <c r="Z133" s="359">
        <f t="shared" si="54"/>
        <v>1</v>
      </c>
      <c r="AA133" s="359">
        <f t="shared" si="54"/>
        <v>1</v>
      </c>
      <c r="AB133" s="359">
        <f t="shared" si="54"/>
        <v>1</v>
      </c>
      <c r="AC133" s="359">
        <f t="shared" si="54"/>
        <v>1</v>
      </c>
      <c r="AD133" s="359">
        <f t="shared" si="54"/>
        <v>1</v>
      </c>
      <c r="AE133" s="359">
        <f t="shared" si="54"/>
        <v>1</v>
      </c>
      <c r="AF133" s="359">
        <f t="shared" si="54"/>
        <v>1</v>
      </c>
      <c r="AG133" s="359">
        <f t="shared" si="54"/>
        <v>1</v>
      </c>
      <c r="AH133" s="359">
        <f t="shared" si="54"/>
        <v>1</v>
      </c>
      <c r="AI133" s="359">
        <f t="shared" si="54"/>
        <v>1</v>
      </c>
    </row>
    <row r="134" spans="4:35" s="359" customFormat="1" ht="12" hidden="1" x14ac:dyDescent="0.2">
      <c r="D134" s="363" t="s">
        <v>119</v>
      </c>
      <c r="E134" s="359">
        <f t="shared" ref="E134:T135" si="55">IF(E100=0,0,1)</f>
        <v>0</v>
      </c>
      <c r="F134" s="359">
        <f t="shared" si="55"/>
        <v>0</v>
      </c>
      <c r="G134" s="359">
        <f t="shared" si="55"/>
        <v>1</v>
      </c>
      <c r="H134" s="359">
        <f t="shared" si="55"/>
        <v>1</v>
      </c>
      <c r="I134" s="359">
        <f t="shared" si="55"/>
        <v>1</v>
      </c>
      <c r="J134" s="359">
        <f t="shared" si="55"/>
        <v>1</v>
      </c>
      <c r="K134" s="359">
        <f t="shared" si="55"/>
        <v>1</v>
      </c>
      <c r="L134" s="359">
        <f t="shared" si="55"/>
        <v>1</v>
      </c>
      <c r="M134" s="359">
        <f t="shared" si="55"/>
        <v>1</v>
      </c>
      <c r="N134" s="359">
        <f t="shared" si="55"/>
        <v>1</v>
      </c>
      <c r="O134" s="359">
        <f t="shared" si="55"/>
        <v>1</v>
      </c>
      <c r="P134" s="359">
        <f t="shared" si="55"/>
        <v>1</v>
      </c>
      <c r="Q134" s="359">
        <f t="shared" si="55"/>
        <v>1</v>
      </c>
      <c r="R134" s="359">
        <f t="shared" si="55"/>
        <v>1</v>
      </c>
      <c r="S134" s="359">
        <f t="shared" si="55"/>
        <v>1</v>
      </c>
      <c r="T134" s="359">
        <f t="shared" si="55"/>
        <v>1</v>
      </c>
      <c r="U134" s="359">
        <f t="shared" si="54"/>
        <v>1</v>
      </c>
      <c r="V134" s="359">
        <f t="shared" si="54"/>
        <v>1</v>
      </c>
      <c r="W134" s="359">
        <f t="shared" si="54"/>
        <v>1</v>
      </c>
      <c r="X134" s="359">
        <f t="shared" si="54"/>
        <v>1</v>
      </c>
      <c r="Y134" s="359">
        <f t="shared" si="54"/>
        <v>1</v>
      </c>
      <c r="Z134" s="359">
        <f t="shared" si="54"/>
        <v>1</v>
      </c>
      <c r="AA134" s="359">
        <f t="shared" si="54"/>
        <v>1</v>
      </c>
      <c r="AB134" s="359">
        <f t="shared" si="54"/>
        <v>1</v>
      </c>
      <c r="AC134" s="359">
        <f t="shared" si="54"/>
        <v>1</v>
      </c>
      <c r="AD134" s="359">
        <f t="shared" si="54"/>
        <v>1</v>
      </c>
      <c r="AE134" s="359">
        <f t="shared" si="54"/>
        <v>1</v>
      </c>
      <c r="AF134" s="359">
        <f t="shared" si="54"/>
        <v>1</v>
      </c>
      <c r="AG134" s="359">
        <f t="shared" si="54"/>
        <v>1</v>
      </c>
      <c r="AH134" s="359">
        <f t="shared" si="54"/>
        <v>1</v>
      </c>
      <c r="AI134" s="359">
        <f t="shared" si="54"/>
        <v>1</v>
      </c>
    </row>
    <row r="135" spans="4:35" s="359" customFormat="1" ht="12" hidden="1" x14ac:dyDescent="0.2">
      <c r="D135" s="363" t="s">
        <v>120</v>
      </c>
      <c r="E135" s="359">
        <f t="shared" si="55"/>
        <v>0</v>
      </c>
      <c r="F135" s="359">
        <f t="shared" si="54"/>
        <v>0</v>
      </c>
      <c r="G135" s="359">
        <f t="shared" si="54"/>
        <v>0</v>
      </c>
      <c r="H135" s="359">
        <f t="shared" si="54"/>
        <v>1</v>
      </c>
      <c r="I135" s="359">
        <f t="shared" si="54"/>
        <v>1</v>
      </c>
      <c r="J135" s="359">
        <f t="shared" si="54"/>
        <v>1</v>
      </c>
      <c r="K135" s="359">
        <f t="shared" si="54"/>
        <v>1</v>
      </c>
      <c r="L135" s="359">
        <f t="shared" si="54"/>
        <v>1</v>
      </c>
      <c r="M135" s="359">
        <f t="shared" si="54"/>
        <v>1</v>
      </c>
      <c r="N135" s="359">
        <f t="shared" si="54"/>
        <v>1</v>
      </c>
      <c r="O135" s="359">
        <f t="shared" si="54"/>
        <v>1</v>
      </c>
      <c r="P135" s="359">
        <f t="shared" si="54"/>
        <v>1</v>
      </c>
      <c r="Q135" s="359">
        <f t="shared" si="54"/>
        <v>1</v>
      </c>
      <c r="R135" s="359">
        <f t="shared" si="54"/>
        <v>1</v>
      </c>
      <c r="S135" s="359">
        <f t="shared" si="54"/>
        <v>1</v>
      </c>
      <c r="T135" s="359">
        <f t="shared" si="54"/>
        <v>1</v>
      </c>
      <c r="U135" s="359">
        <f t="shared" si="54"/>
        <v>1</v>
      </c>
      <c r="V135" s="359">
        <f t="shared" si="54"/>
        <v>1</v>
      </c>
      <c r="W135" s="359">
        <f t="shared" si="54"/>
        <v>1</v>
      </c>
      <c r="X135" s="359">
        <f t="shared" si="54"/>
        <v>1</v>
      </c>
      <c r="Y135" s="359">
        <f t="shared" si="54"/>
        <v>1</v>
      </c>
      <c r="Z135" s="359">
        <f t="shared" si="54"/>
        <v>1</v>
      </c>
      <c r="AA135" s="359">
        <f t="shared" si="54"/>
        <v>1</v>
      </c>
      <c r="AB135" s="359">
        <f t="shared" si="54"/>
        <v>1</v>
      </c>
      <c r="AC135" s="359">
        <f t="shared" si="54"/>
        <v>1</v>
      </c>
      <c r="AD135" s="359">
        <f t="shared" si="54"/>
        <v>1</v>
      </c>
      <c r="AE135" s="359">
        <f t="shared" si="54"/>
        <v>1</v>
      </c>
      <c r="AF135" s="359">
        <f t="shared" si="54"/>
        <v>1</v>
      </c>
      <c r="AG135" s="359">
        <f t="shared" si="54"/>
        <v>1</v>
      </c>
      <c r="AH135" s="359">
        <f t="shared" si="54"/>
        <v>1</v>
      </c>
      <c r="AI135" s="359">
        <f t="shared" si="54"/>
        <v>1</v>
      </c>
    </row>
    <row r="136" spans="4:35" s="359" customFormat="1" ht="12" x14ac:dyDescent="0.2"/>
    <row r="137" spans="4:35" s="359" customFormat="1" ht="12" x14ac:dyDescent="0.2"/>
    <row r="138" spans="4:35" s="359" customFormat="1" ht="12" x14ac:dyDescent="0.2"/>
    <row r="139" spans="4:35" s="359" customFormat="1" ht="12" x14ac:dyDescent="0.2"/>
    <row r="140" spans="4:35" s="359" customFormat="1" ht="12" x14ac:dyDescent="0.2"/>
    <row r="141" spans="4:35" s="154" customFormat="1" ht="12" x14ac:dyDescent="0.2">
      <c r="P141" s="360"/>
    </row>
    <row r="142" spans="4:35" s="154" customFormat="1" ht="12" x14ac:dyDescent="0.2">
      <c r="P142" s="360"/>
    </row>
  </sheetData>
  <sheetProtection password="CC5E" sheet="1" objects="1" scenarios="1" selectLockedCells="1" selectUnlockedCells="1"/>
  <mergeCells count="3">
    <mergeCell ref="A1:F1"/>
    <mergeCell ref="A2:F2"/>
    <mergeCell ref="A3:F3"/>
  </mergeCells>
  <conditionalFormatting sqref="E60:AI60">
    <cfRule type="cellIs" dxfId="11" priority="40" operator="greaterThan">
      <formula>0</formula>
    </cfRule>
  </conditionalFormatting>
  <conditionalFormatting sqref="C105:AI107">
    <cfRule type="cellIs" dxfId="10" priority="38" operator="lessThan">
      <formula>0.99999</formula>
    </cfRule>
    <cfRule type="cellIs" dxfId="9" priority="39" operator="greaterThan">
      <formula>1</formula>
    </cfRule>
  </conditionalFormatting>
  <conditionalFormatting sqref="E97:AI104">
    <cfRule type="cellIs" dxfId="8" priority="36" operator="lessThan">
      <formula>0.99999999</formula>
    </cfRule>
    <cfRule type="cellIs" dxfId="7" priority="37" operator="greaterThan">
      <formula>1</formula>
    </cfRule>
  </conditionalFormatting>
  <conditionalFormatting sqref="F60:AI60">
    <cfRule type="cellIs" dxfId="6" priority="3" operator="lessThan">
      <formula>0</formula>
    </cfRule>
    <cfRule type="cellIs" dxfId="5" priority="5" operator="greaterThan">
      <formula>0</formula>
    </cfRule>
  </conditionalFormatting>
  <pageMargins left="0.16" right="0.17" top="0.27" bottom="0.26" header="0.17" footer="0.25"/>
  <pageSetup paperSize="9" scale="2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182"/>
  <sheetViews>
    <sheetView zoomScaleNormal="100" workbookViewId="0">
      <selection activeCell="E4" sqref="E4"/>
    </sheetView>
  </sheetViews>
  <sheetFormatPr defaultRowHeight="12.75" outlineLevelRow="2" x14ac:dyDescent="0.2"/>
  <cols>
    <col min="1" max="1" width="30.7109375" style="494" customWidth="1"/>
    <col min="2" max="2" width="8" style="494" customWidth="1"/>
    <col min="3" max="3" width="7.85546875" style="494" customWidth="1"/>
    <col min="4" max="4" width="8.28515625" style="494" customWidth="1"/>
    <col min="5" max="5" width="10" style="494" customWidth="1"/>
    <col min="6" max="6" width="9.85546875" style="494" customWidth="1"/>
    <col min="7" max="25" width="9.140625" style="494" customWidth="1"/>
    <col min="26" max="35" width="8.85546875" style="494" customWidth="1"/>
    <col min="36" max="16384" width="9.140625" style="494"/>
  </cols>
  <sheetData>
    <row r="1" spans="1:35" x14ac:dyDescent="0.2">
      <c r="A1" s="668" t="s">
        <v>45</v>
      </c>
      <c r="B1" s="668"/>
      <c r="C1" s="668"/>
      <c r="D1" s="668"/>
      <c r="E1" s="668"/>
      <c r="F1" s="505">
        <f>F8/(F16+F18+F17)</f>
        <v>2.7273929332255933</v>
      </c>
      <c r="G1" s="505">
        <f t="shared" ref="G1:AI1" si="0">G8/(G16+G18+G17)</f>
        <v>2.7273929332255933</v>
      </c>
      <c r="H1" s="505">
        <f t="shared" si="0"/>
        <v>2.7273929332255933</v>
      </c>
      <c r="I1" s="505">
        <f t="shared" si="0"/>
        <v>2.7273929332255933</v>
      </c>
      <c r="J1" s="505">
        <f t="shared" si="0"/>
        <v>2.7273929332255933</v>
      </c>
      <c r="K1" s="505">
        <f t="shared" si="0"/>
        <v>2.7273929332255933</v>
      </c>
      <c r="L1" s="505">
        <f t="shared" si="0"/>
        <v>2.7273929332255933</v>
      </c>
      <c r="M1" s="505">
        <f t="shared" si="0"/>
        <v>2.7273929332255933</v>
      </c>
      <c r="N1" s="505">
        <f t="shared" si="0"/>
        <v>2.7273929332255933</v>
      </c>
      <c r="O1" s="505">
        <f t="shared" si="0"/>
        <v>2.7273929332255933</v>
      </c>
      <c r="P1" s="505">
        <f t="shared" si="0"/>
        <v>2.7273929332255933</v>
      </c>
      <c r="Q1" s="505">
        <f t="shared" si="0"/>
        <v>2.7273929332255933</v>
      </c>
      <c r="R1" s="505">
        <f t="shared" si="0"/>
        <v>2.7273929332255933</v>
      </c>
      <c r="S1" s="505">
        <f t="shared" si="0"/>
        <v>2.7273929332255933</v>
      </c>
      <c r="T1" s="505">
        <f t="shared" si="0"/>
        <v>2.7273929332255933</v>
      </c>
      <c r="U1" s="505">
        <f t="shared" si="0"/>
        <v>2.7273929332255933</v>
      </c>
      <c r="V1" s="505">
        <f t="shared" si="0"/>
        <v>2.7273929332255933</v>
      </c>
      <c r="W1" s="505">
        <f t="shared" si="0"/>
        <v>2.7273929332255933</v>
      </c>
      <c r="X1" s="505">
        <f t="shared" si="0"/>
        <v>2.7273929332255933</v>
      </c>
      <c r="Y1" s="505">
        <f t="shared" si="0"/>
        <v>2.7273929332255933</v>
      </c>
      <c r="Z1" s="505">
        <f t="shared" si="0"/>
        <v>2.7273929332255933</v>
      </c>
      <c r="AA1" s="505">
        <f t="shared" si="0"/>
        <v>2.7273929332255933</v>
      </c>
      <c r="AB1" s="505">
        <f t="shared" si="0"/>
        <v>2.7273929332255933</v>
      </c>
      <c r="AC1" s="505">
        <f t="shared" si="0"/>
        <v>2.7273929332255933</v>
      </c>
      <c r="AD1" s="505">
        <f t="shared" si="0"/>
        <v>2.7273929332255933</v>
      </c>
      <c r="AE1" s="505">
        <f t="shared" si="0"/>
        <v>2.7273929332255933</v>
      </c>
      <c r="AF1" s="505">
        <f t="shared" si="0"/>
        <v>2.7273929332255933</v>
      </c>
      <c r="AG1" s="505">
        <f t="shared" si="0"/>
        <v>2.7273929332255933</v>
      </c>
      <c r="AH1" s="505">
        <f t="shared" si="0"/>
        <v>2.7273929332255933</v>
      </c>
      <c r="AI1" s="505">
        <f t="shared" si="0"/>
        <v>2.7273929332255933</v>
      </c>
    </row>
    <row r="2" spans="1:35" x14ac:dyDescent="0.2">
      <c r="A2" s="506"/>
      <c r="B2" s="506"/>
      <c r="C2" s="506"/>
      <c r="D2" s="506"/>
      <c r="E2" s="507" t="s">
        <v>46</v>
      </c>
      <c r="F2" s="508">
        <f>F10/F16</f>
        <v>3.12</v>
      </c>
      <c r="G2" s="508">
        <f t="shared" ref="G2:AI2" si="1">G10/G16</f>
        <v>3.12</v>
      </c>
      <c r="H2" s="508">
        <f t="shared" si="1"/>
        <v>3.12</v>
      </c>
      <c r="I2" s="508">
        <f t="shared" si="1"/>
        <v>3.12</v>
      </c>
      <c r="J2" s="508">
        <f t="shared" si="1"/>
        <v>3.12</v>
      </c>
      <c r="K2" s="508">
        <f t="shared" si="1"/>
        <v>3.12</v>
      </c>
      <c r="L2" s="508">
        <f t="shared" si="1"/>
        <v>3.12</v>
      </c>
      <c r="M2" s="508">
        <f t="shared" si="1"/>
        <v>3.12</v>
      </c>
      <c r="N2" s="508">
        <f t="shared" si="1"/>
        <v>3.12</v>
      </c>
      <c r="O2" s="508">
        <f t="shared" si="1"/>
        <v>3.12</v>
      </c>
      <c r="P2" s="508">
        <f t="shared" si="1"/>
        <v>3.12</v>
      </c>
      <c r="Q2" s="508">
        <f t="shared" si="1"/>
        <v>3.12</v>
      </c>
      <c r="R2" s="508">
        <f t="shared" si="1"/>
        <v>3.12</v>
      </c>
      <c r="S2" s="508">
        <f t="shared" si="1"/>
        <v>3.12</v>
      </c>
      <c r="T2" s="508">
        <f t="shared" si="1"/>
        <v>3.12</v>
      </c>
      <c r="U2" s="508">
        <f t="shared" si="1"/>
        <v>3.12</v>
      </c>
      <c r="V2" s="508">
        <f t="shared" si="1"/>
        <v>3.12</v>
      </c>
      <c r="W2" s="508">
        <f t="shared" si="1"/>
        <v>3.12</v>
      </c>
      <c r="X2" s="508">
        <f t="shared" si="1"/>
        <v>3.12</v>
      </c>
      <c r="Y2" s="508">
        <f t="shared" si="1"/>
        <v>3.12</v>
      </c>
      <c r="Z2" s="508">
        <f t="shared" si="1"/>
        <v>3.12</v>
      </c>
      <c r="AA2" s="508">
        <f t="shared" si="1"/>
        <v>3.12</v>
      </c>
      <c r="AB2" s="508">
        <f t="shared" si="1"/>
        <v>3.12</v>
      </c>
      <c r="AC2" s="508">
        <f t="shared" si="1"/>
        <v>3.12</v>
      </c>
      <c r="AD2" s="508">
        <f t="shared" si="1"/>
        <v>3.12</v>
      </c>
      <c r="AE2" s="508">
        <f t="shared" si="1"/>
        <v>3.12</v>
      </c>
      <c r="AF2" s="508">
        <f t="shared" si="1"/>
        <v>3.12</v>
      </c>
      <c r="AG2" s="508">
        <f t="shared" si="1"/>
        <v>3.12</v>
      </c>
      <c r="AH2" s="508">
        <f t="shared" si="1"/>
        <v>3.12</v>
      </c>
      <c r="AI2" s="508">
        <f t="shared" si="1"/>
        <v>3.12</v>
      </c>
    </row>
    <row r="3" spans="1:35" x14ac:dyDescent="0.2">
      <c r="A3" s="506"/>
      <c r="B3" s="506"/>
      <c r="C3" s="506"/>
      <c r="D3" s="506"/>
      <c r="E3" s="507" t="s">
        <v>140</v>
      </c>
      <c r="F3" s="508">
        <f>IFERROR(F11/F17,0)</f>
        <v>2.1</v>
      </c>
      <c r="G3" s="508">
        <f t="shared" ref="G3:AI3" si="2">IFERROR(G11/G17,0)</f>
        <v>2.1</v>
      </c>
      <c r="H3" s="508">
        <f t="shared" si="2"/>
        <v>2.1</v>
      </c>
      <c r="I3" s="508">
        <f t="shared" si="2"/>
        <v>2.1</v>
      </c>
      <c r="J3" s="508">
        <f t="shared" si="2"/>
        <v>2.1</v>
      </c>
      <c r="K3" s="508">
        <f t="shared" si="2"/>
        <v>2.1</v>
      </c>
      <c r="L3" s="508">
        <f t="shared" si="2"/>
        <v>2.1</v>
      </c>
      <c r="M3" s="508">
        <f t="shared" si="2"/>
        <v>2.1</v>
      </c>
      <c r="N3" s="508">
        <f t="shared" si="2"/>
        <v>2.1</v>
      </c>
      <c r="O3" s="508">
        <f t="shared" si="2"/>
        <v>2.1</v>
      </c>
      <c r="P3" s="508">
        <f t="shared" si="2"/>
        <v>2.1</v>
      </c>
      <c r="Q3" s="508">
        <f t="shared" si="2"/>
        <v>2.1</v>
      </c>
      <c r="R3" s="508">
        <f t="shared" si="2"/>
        <v>2.1</v>
      </c>
      <c r="S3" s="508">
        <f t="shared" si="2"/>
        <v>2.1</v>
      </c>
      <c r="T3" s="508">
        <f t="shared" si="2"/>
        <v>2.1</v>
      </c>
      <c r="U3" s="508">
        <f t="shared" si="2"/>
        <v>2.1</v>
      </c>
      <c r="V3" s="508">
        <f t="shared" si="2"/>
        <v>2.1</v>
      </c>
      <c r="W3" s="508">
        <f t="shared" si="2"/>
        <v>2.1</v>
      </c>
      <c r="X3" s="508">
        <f t="shared" si="2"/>
        <v>2.1</v>
      </c>
      <c r="Y3" s="508">
        <f t="shared" si="2"/>
        <v>2.1</v>
      </c>
      <c r="Z3" s="508">
        <f t="shared" si="2"/>
        <v>2.1</v>
      </c>
      <c r="AA3" s="508">
        <f t="shared" si="2"/>
        <v>2.1</v>
      </c>
      <c r="AB3" s="508">
        <f t="shared" si="2"/>
        <v>2.1</v>
      </c>
      <c r="AC3" s="508">
        <f t="shared" si="2"/>
        <v>2.1</v>
      </c>
      <c r="AD3" s="508">
        <f t="shared" si="2"/>
        <v>2.1</v>
      </c>
      <c r="AE3" s="508">
        <f t="shared" si="2"/>
        <v>2.1</v>
      </c>
      <c r="AF3" s="508">
        <f t="shared" si="2"/>
        <v>2.1</v>
      </c>
      <c r="AG3" s="508">
        <f t="shared" si="2"/>
        <v>2.1</v>
      </c>
      <c r="AH3" s="508">
        <f t="shared" si="2"/>
        <v>2.1</v>
      </c>
      <c r="AI3" s="508">
        <f t="shared" si="2"/>
        <v>2.1</v>
      </c>
    </row>
    <row r="4" spans="1:35" x14ac:dyDescent="0.2">
      <c r="A4" s="506"/>
      <c r="B4" s="506"/>
      <c r="C4" s="506"/>
      <c r="D4" s="506"/>
      <c r="E4" s="507" t="s">
        <v>47</v>
      </c>
      <c r="F4" s="508">
        <f>F12/F18</f>
        <v>1.7</v>
      </c>
      <c r="G4" s="508">
        <f t="shared" ref="G4:AI4" si="3">G12/G18</f>
        <v>1.7</v>
      </c>
      <c r="H4" s="508">
        <f t="shared" si="3"/>
        <v>1.7</v>
      </c>
      <c r="I4" s="508">
        <f t="shared" si="3"/>
        <v>1.7</v>
      </c>
      <c r="J4" s="508">
        <f t="shared" si="3"/>
        <v>1.7</v>
      </c>
      <c r="K4" s="508">
        <f t="shared" si="3"/>
        <v>1.7</v>
      </c>
      <c r="L4" s="508">
        <f t="shared" si="3"/>
        <v>1.7</v>
      </c>
      <c r="M4" s="508">
        <f t="shared" si="3"/>
        <v>1.7</v>
      </c>
      <c r="N4" s="508">
        <f t="shared" si="3"/>
        <v>1.7</v>
      </c>
      <c r="O4" s="508">
        <f t="shared" si="3"/>
        <v>1.7</v>
      </c>
      <c r="P4" s="508">
        <f t="shared" si="3"/>
        <v>1.7</v>
      </c>
      <c r="Q4" s="508">
        <f t="shared" si="3"/>
        <v>1.7</v>
      </c>
      <c r="R4" s="508">
        <f t="shared" si="3"/>
        <v>1.7</v>
      </c>
      <c r="S4" s="508">
        <f t="shared" si="3"/>
        <v>1.7</v>
      </c>
      <c r="T4" s="508">
        <f t="shared" si="3"/>
        <v>1.7</v>
      </c>
      <c r="U4" s="508">
        <f t="shared" si="3"/>
        <v>1.7</v>
      </c>
      <c r="V4" s="508">
        <f t="shared" si="3"/>
        <v>1.7</v>
      </c>
      <c r="W4" s="508">
        <f t="shared" si="3"/>
        <v>1.7</v>
      </c>
      <c r="X4" s="508">
        <f t="shared" si="3"/>
        <v>1.7</v>
      </c>
      <c r="Y4" s="508">
        <f t="shared" si="3"/>
        <v>1.7</v>
      </c>
      <c r="Z4" s="508">
        <f t="shared" si="3"/>
        <v>1.7</v>
      </c>
      <c r="AA4" s="508">
        <f t="shared" si="3"/>
        <v>1.7</v>
      </c>
      <c r="AB4" s="508">
        <f t="shared" si="3"/>
        <v>1.7</v>
      </c>
      <c r="AC4" s="508">
        <f t="shared" si="3"/>
        <v>1.7</v>
      </c>
      <c r="AD4" s="508">
        <f t="shared" si="3"/>
        <v>1.7</v>
      </c>
      <c r="AE4" s="508">
        <f t="shared" si="3"/>
        <v>1.7</v>
      </c>
      <c r="AF4" s="508">
        <f t="shared" si="3"/>
        <v>1.7</v>
      </c>
      <c r="AG4" s="508">
        <f t="shared" si="3"/>
        <v>1.7</v>
      </c>
      <c r="AH4" s="508">
        <f t="shared" si="3"/>
        <v>1.7</v>
      </c>
      <c r="AI4" s="508">
        <f t="shared" si="3"/>
        <v>1.7</v>
      </c>
    </row>
    <row r="5" spans="1:35" ht="14.25" customHeight="1" x14ac:dyDescent="0.3">
      <c r="A5" s="510" t="s">
        <v>147</v>
      </c>
      <c r="B5" s="511"/>
      <c r="C5" s="502">
        <f>цех!L105</f>
        <v>231046.12578306397</v>
      </c>
      <c r="D5" s="511"/>
      <c r="E5" s="512"/>
      <c r="F5" s="513" t="s">
        <v>73</v>
      </c>
      <c r="G5" s="513" t="s">
        <v>74</v>
      </c>
      <c r="H5" s="513" t="s">
        <v>75</v>
      </c>
      <c r="I5" s="513" t="s">
        <v>76</v>
      </c>
      <c r="J5" s="513" t="s">
        <v>66</v>
      </c>
      <c r="K5" s="513" t="s">
        <v>63</v>
      </c>
      <c r="L5" s="513" t="s">
        <v>67</v>
      </c>
      <c r="M5" s="513" t="s">
        <v>68</v>
      </c>
      <c r="N5" s="513" t="s">
        <v>69</v>
      </c>
      <c r="O5" s="513" t="s">
        <v>70</v>
      </c>
      <c r="P5" s="513" t="s">
        <v>71</v>
      </c>
      <c r="Q5" s="513" t="s">
        <v>72</v>
      </c>
      <c r="R5" s="513" t="s">
        <v>73</v>
      </c>
      <c r="S5" s="513" t="s">
        <v>74</v>
      </c>
      <c r="T5" s="513" t="s">
        <v>75</v>
      </c>
      <c r="U5" s="513" t="s">
        <v>76</v>
      </c>
      <c r="V5" s="513" t="s">
        <v>66</v>
      </c>
      <c r="W5" s="513" t="s">
        <v>63</v>
      </c>
      <c r="X5" s="513" t="s">
        <v>67</v>
      </c>
      <c r="Y5" s="513" t="s">
        <v>68</v>
      </c>
      <c r="Z5" s="513" t="s">
        <v>69</v>
      </c>
      <c r="AA5" s="513" t="s">
        <v>70</v>
      </c>
      <c r="AB5" s="513" t="s">
        <v>71</v>
      </c>
      <c r="AC5" s="513" t="s">
        <v>72</v>
      </c>
      <c r="AD5" s="513" t="s">
        <v>73</v>
      </c>
      <c r="AE5" s="513" t="s">
        <v>74</v>
      </c>
      <c r="AF5" s="513" t="s">
        <v>75</v>
      </c>
      <c r="AG5" s="513" t="s">
        <v>76</v>
      </c>
      <c r="AH5" s="513" t="s">
        <v>66</v>
      </c>
      <c r="AI5" s="513" t="s">
        <v>63</v>
      </c>
    </row>
    <row r="6" spans="1:35" ht="15" x14ac:dyDescent="0.25">
      <c r="A6" s="512"/>
      <c r="B6" s="511"/>
      <c r="C6" s="511"/>
      <c r="D6" s="507" t="s">
        <v>43</v>
      </c>
      <c r="E6" s="503">
        <v>0</v>
      </c>
      <c r="F6" s="503">
        <v>0</v>
      </c>
      <c r="G6" s="502"/>
      <c r="H6" s="502"/>
      <c r="I6" s="502"/>
      <c r="J6" s="502"/>
      <c r="K6" s="502"/>
      <c r="L6" s="502"/>
      <c r="M6" s="502"/>
      <c r="N6" s="502"/>
      <c r="O6" s="502"/>
      <c r="P6" s="502"/>
      <c r="Q6" s="502"/>
      <c r="R6" s="502"/>
      <c r="S6" s="511"/>
      <c r="T6" s="511"/>
      <c r="U6" s="511"/>
    </row>
    <row r="7" spans="1:35" x14ac:dyDescent="0.2">
      <c r="A7" s="512" t="s">
        <v>1</v>
      </c>
      <c r="B7" s="512"/>
      <c r="C7" s="512"/>
      <c r="D7" s="512"/>
      <c r="E7" s="512"/>
      <c r="F7" s="514">
        <f>цех!$E$75</f>
        <v>41000</v>
      </c>
      <c r="G7" s="514">
        <f>цех!$E$75</f>
        <v>41000</v>
      </c>
      <c r="H7" s="514">
        <f>цех!$E$75</f>
        <v>41000</v>
      </c>
      <c r="I7" s="514">
        <f>цех!$E$75</f>
        <v>41000</v>
      </c>
      <c r="J7" s="514">
        <f>цех!$E$75</f>
        <v>41000</v>
      </c>
      <c r="K7" s="514">
        <f>цех!$E$75</f>
        <v>41000</v>
      </c>
      <c r="L7" s="514">
        <f>цех!$E$75</f>
        <v>41000</v>
      </c>
      <c r="M7" s="514">
        <f>цех!$E$75</f>
        <v>41000</v>
      </c>
      <c r="N7" s="514">
        <f>цех!$E$75</f>
        <v>41000</v>
      </c>
      <c r="O7" s="514">
        <f>цех!$E$75</f>
        <v>41000</v>
      </c>
      <c r="P7" s="514">
        <f>цех!$E$75</f>
        <v>41000</v>
      </c>
      <c r="Q7" s="514">
        <f>цех!$E$75</f>
        <v>41000</v>
      </c>
      <c r="R7" s="514">
        <f>цех!$E$75</f>
        <v>41000</v>
      </c>
      <c r="S7" s="514">
        <f>цех!$E$75</f>
        <v>41000</v>
      </c>
      <c r="T7" s="514">
        <f>цех!$E$75</f>
        <v>41000</v>
      </c>
      <c r="U7" s="514">
        <f>цех!$E$75</f>
        <v>41000</v>
      </c>
      <c r="V7" s="514">
        <f>цех!$E$75</f>
        <v>41000</v>
      </c>
      <c r="W7" s="514">
        <f>цех!$E$75</f>
        <v>41000</v>
      </c>
      <c r="X7" s="514">
        <f>цех!$E$75</f>
        <v>41000</v>
      </c>
      <c r="Y7" s="514">
        <f>цех!$E$75</f>
        <v>41000</v>
      </c>
      <c r="Z7" s="514">
        <f>цех!$E$75</f>
        <v>41000</v>
      </c>
      <c r="AA7" s="514">
        <f>цех!$E$75</f>
        <v>41000</v>
      </c>
      <c r="AB7" s="514">
        <f>цех!$E$75</f>
        <v>41000</v>
      </c>
      <c r="AC7" s="514">
        <f>цех!$E$75</f>
        <v>41000</v>
      </c>
      <c r="AD7" s="514">
        <f>цех!$E$75</f>
        <v>41000</v>
      </c>
      <c r="AE7" s="514">
        <f>цех!$E$75</f>
        <v>41000</v>
      </c>
      <c r="AF7" s="514">
        <f>цех!$E$75</f>
        <v>41000</v>
      </c>
      <c r="AG7" s="514">
        <f>цех!$E$75</f>
        <v>41000</v>
      </c>
      <c r="AH7" s="514">
        <f>цех!$E$75</f>
        <v>41000</v>
      </c>
      <c r="AI7" s="514">
        <f>цех!$E$75</f>
        <v>41000</v>
      </c>
    </row>
    <row r="8" spans="1:35" x14ac:dyDescent="0.2">
      <c r="A8" s="512" t="s">
        <v>2</v>
      </c>
      <c r="B8" s="512"/>
      <c r="C8" s="512"/>
      <c r="D8" s="512"/>
      <c r="E8" s="512"/>
      <c r="F8" s="514">
        <f t="shared" ref="F8:AI8" si="4">F7*30</f>
        <v>1230000</v>
      </c>
      <c r="G8" s="514">
        <f t="shared" si="4"/>
        <v>1230000</v>
      </c>
      <c r="H8" s="514">
        <f t="shared" si="4"/>
        <v>1230000</v>
      </c>
      <c r="I8" s="514">
        <f t="shared" si="4"/>
        <v>1230000</v>
      </c>
      <c r="J8" s="514">
        <f t="shared" si="4"/>
        <v>1230000</v>
      </c>
      <c r="K8" s="514">
        <f t="shared" si="4"/>
        <v>1230000</v>
      </c>
      <c r="L8" s="514">
        <f t="shared" si="4"/>
        <v>1230000</v>
      </c>
      <c r="M8" s="514">
        <f t="shared" si="4"/>
        <v>1230000</v>
      </c>
      <c r="N8" s="514">
        <f t="shared" si="4"/>
        <v>1230000</v>
      </c>
      <c r="O8" s="514">
        <f>O7*30</f>
        <v>1230000</v>
      </c>
      <c r="P8" s="514">
        <f t="shared" si="4"/>
        <v>1230000</v>
      </c>
      <c r="Q8" s="514">
        <f t="shared" si="4"/>
        <v>1230000</v>
      </c>
      <c r="R8" s="514">
        <f t="shared" si="4"/>
        <v>1230000</v>
      </c>
      <c r="S8" s="514">
        <f t="shared" si="4"/>
        <v>1230000</v>
      </c>
      <c r="T8" s="514">
        <f t="shared" si="4"/>
        <v>1230000</v>
      </c>
      <c r="U8" s="514">
        <f t="shared" si="4"/>
        <v>1230000</v>
      </c>
      <c r="V8" s="514">
        <f t="shared" si="4"/>
        <v>1230000</v>
      </c>
      <c r="W8" s="514">
        <f t="shared" si="4"/>
        <v>1230000</v>
      </c>
      <c r="X8" s="514">
        <f t="shared" si="4"/>
        <v>1230000</v>
      </c>
      <c r="Y8" s="514">
        <f t="shared" si="4"/>
        <v>1230000</v>
      </c>
      <c r="Z8" s="514">
        <f t="shared" si="4"/>
        <v>1230000</v>
      </c>
      <c r="AA8" s="514">
        <f t="shared" si="4"/>
        <v>1230000</v>
      </c>
      <c r="AB8" s="514">
        <f t="shared" si="4"/>
        <v>1230000</v>
      </c>
      <c r="AC8" s="514">
        <f t="shared" si="4"/>
        <v>1230000</v>
      </c>
      <c r="AD8" s="514">
        <f t="shared" si="4"/>
        <v>1230000</v>
      </c>
      <c r="AE8" s="514">
        <f t="shared" si="4"/>
        <v>1230000</v>
      </c>
      <c r="AF8" s="514">
        <f t="shared" si="4"/>
        <v>1230000</v>
      </c>
      <c r="AG8" s="514">
        <f t="shared" si="4"/>
        <v>1230000</v>
      </c>
      <c r="AH8" s="514">
        <f t="shared" si="4"/>
        <v>1230000</v>
      </c>
      <c r="AI8" s="514">
        <f t="shared" si="4"/>
        <v>1230000</v>
      </c>
    </row>
    <row r="9" spans="1:35" x14ac:dyDescent="0.2">
      <c r="A9" s="512" t="s">
        <v>3</v>
      </c>
      <c r="B9" s="512"/>
      <c r="C9" s="512"/>
      <c r="D9" s="512"/>
      <c r="E9" s="512"/>
      <c r="F9" s="514"/>
      <c r="G9" s="514"/>
      <c r="H9" s="514"/>
      <c r="I9" s="514"/>
      <c r="J9" s="514"/>
      <c r="K9" s="514"/>
      <c r="L9" s="514"/>
      <c r="M9" s="514"/>
      <c r="N9" s="514"/>
      <c r="O9" s="514"/>
      <c r="P9" s="514"/>
      <c r="Q9" s="514"/>
      <c r="R9" s="514"/>
      <c r="S9" s="514"/>
      <c r="T9" s="514"/>
      <c r="U9" s="514"/>
      <c r="V9" s="514"/>
      <c r="W9" s="514"/>
      <c r="X9" s="514"/>
      <c r="Y9" s="514"/>
      <c r="Z9" s="514"/>
      <c r="AA9" s="514"/>
      <c r="AB9" s="514"/>
      <c r="AC9" s="514"/>
      <c r="AD9" s="514"/>
      <c r="AE9" s="514"/>
      <c r="AF9" s="514"/>
      <c r="AG9" s="514"/>
      <c r="AH9" s="514"/>
      <c r="AI9" s="514"/>
    </row>
    <row r="10" spans="1:35" x14ac:dyDescent="0.2">
      <c r="A10" s="512" t="s">
        <v>4</v>
      </c>
      <c r="B10" s="512"/>
      <c r="C10" s="512" t="s">
        <v>5</v>
      </c>
      <c r="D10" s="515">
        <f>цех!I120</f>
        <v>0.79</v>
      </c>
      <c r="E10" s="512"/>
      <c r="F10" s="514">
        <f>F8*$D10</f>
        <v>971700</v>
      </c>
      <c r="G10" s="514">
        <f t="shared" ref="G10:AI10" si="5">G8*$D10</f>
        <v>971700</v>
      </c>
      <c r="H10" s="514">
        <f t="shared" si="5"/>
        <v>971700</v>
      </c>
      <c r="I10" s="514">
        <f t="shared" si="5"/>
        <v>971700</v>
      </c>
      <c r="J10" s="514">
        <f t="shared" si="5"/>
        <v>971700</v>
      </c>
      <c r="K10" s="514">
        <f t="shared" si="5"/>
        <v>971700</v>
      </c>
      <c r="L10" s="514">
        <f t="shared" si="5"/>
        <v>971700</v>
      </c>
      <c r="M10" s="514">
        <f t="shared" si="5"/>
        <v>971700</v>
      </c>
      <c r="N10" s="514">
        <f t="shared" si="5"/>
        <v>971700</v>
      </c>
      <c r="O10" s="514">
        <f t="shared" si="5"/>
        <v>971700</v>
      </c>
      <c r="P10" s="514">
        <f t="shared" si="5"/>
        <v>971700</v>
      </c>
      <c r="Q10" s="514">
        <f t="shared" si="5"/>
        <v>971700</v>
      </c>
      <c r="R10" s="514">
        <f t="shared" si="5"/>
        <v>971700</v>
      </c>
      <c r="S10" s="514">
        <f t="shared" si="5"/>
        <v>971700</v>
      </c>
      <c r="T10" s="514">
        <f t="shared" si="5"/>
        <v>971700</v>
      </c>
      <c r="U10" s="514">
        <f t="shared" si="5"/>
        <v>971700</v>
      </c>
      <c r="V10" s="514">
        <f t="shared" si="5"/>
        <v>971700</v>
      </c>
      <c r="W10" s="514">
        <f t="shared" si="5"/>
        <v>971700</v>
      </c>
      <c r="X10" s="514">
        <f t="shared" si="5"/>
        <v>971700</v>
      </c>
      <c r="Y10" s="514">
        <f t="shared" si="5"/>
        <v>971700</v>
      </c>
      <c r="Z10" s="514">
        <f t="shared" si="5"/>
        <v>971700</v>
      </c>
      <c r="AA10" s="514">
        <f t="shared" si="5"/>
        <v>971700</v>
      </c>
      <c r="AB10" s="514">
        <f t="shared" si="5"/>
        <v>971700</v>
      </c>
      <c r="AC10" s="514">
        <f t="shared" si="5"/>
        <v>971700</v>
      </c>
      <c r="AD10" s="514">
        <f t="shared" si="5"/>
        <v>971700</v>
      </c>
      <c r="AE10" s="514">
        <f t="shared" si="5"/>
        <v>971700</v>
      </c>
      <c r="AF10" s="514">
        <f t="shared" si="5"/>
        <v>971700</v>
      </c>
      <c r="AG10" s="514">
        <f t="shared" si="5"/>
        <v>971700</v>
      </c>
      <c r="AH10" s="514">
        <f t="shared" si="5"/>
        <v>971700</v>
      </c>
      <c r="AI10" s="514">
        <f t="shared" si="5"/>
        <v>971700</v>
      </c>
    </row>
    <row r="11" spans="1:35" x14ac:dyDescent="0.2">
      <c r="A11" s="512" t="s">
        <v>6</v>
      </c>
      <c r="B11" s="512"/>
      <c r="C11" s="512" t="s">
        <v>5</v>
      </c>
      <c r="D11" s="515">
        <f>цех!I121</f>
        <v>0.09</v>
      </c>
      <c r="E11" s="512"/>
      <c r="F11" s="514">
        <f>F8*$D11</f>
        <v>110700</v>
      </c>
      <c r="G11" s="514">
        <f t="shared" ref="G11:AI11" si="6">G8*$D11</f>
        <v>110700</v>
      </c>
      <c r="H11" s="514">
        <f t="shared" si="6"/>
        <v>110700</v>
      </c>
      <c r="I11" s="514">
        <f t="shared" si="6"/>
        <v>110700</v>
      </c>
      <c r="J11" s="514">
        <f t="shared" si="6"/>
        <v>110700</v>
      </c>
      <c r="K11" s="514">
        <f t="shared" si="6"/>
        <v>110700</v>
      </c>
      <c r="L11" s="514">
        <f t="shared" si="6"/>
        <v>110700</v>
      </c>
      <c r="M11" s="514">
        <f t="shared" si="6"/>
        <v>110700</v>
      </c>
      <c r="N11" s="514">
        <f t="shared" si="6"/>
        <v>110700</v>
      </c>
      <c r="O11" s="514">
        <f t="shared" si="6"/>
        <v>110700</v>
      </c>
      <c r="P11" s="514">
        <f t="shared" si="6"/>
        <v>110700</v>
      </c>
      <c r="Q11" s="514">
        <f t="shared" si="6"/>
        <v>110700</v>
      </c>
      <c r="R11" s="514">
        <f t="shared" si="6"/>
        <v>110700</v>
      </c>
      <c r="S11" s="514">
        <f t="shared" si="6"/>
        <v>110700</v>
      </c>
      <c r="T11" s="514">
        <f t="shared" si="6"/>
        <v>110700</v>
      </c>
      <c r="U11" s="514">
        <f t="shared" si="6"/>
        <v>110700</v>
      </c>
      <c r="V11" s="514">
        <f t="shared" si="6"/>
        <v>110700</v>
      </c>
      <c r="W11" s="514">
        <f t="shared" si="6"/>
        <v>110700</v>
      </c>
      <c r="X11" s="514">
        <f t="shared" si="6"/>
        <v>110700</v>
      </c>
      <c r="Y11" s="514">
        <f t="shared" si="6"/>
        <v>110700</v>
      </c>
      <c r="Z11" s="514">
        <f t="shared" si="6"/>
        <v>110700</v>
      </c>
      <c r="AA11" s="514">
        <f t="shared" si="6"/>
        <v>110700</v>
      </c>
      <c r="AB11" s="514">
        <f t="shared" si="6"/>
        <v>110700</v>
      </c>
      <c r="AC11" s="514">
        <f t="shared" si="6"/>
        <v>110700</v>
      </c>
      <c r="AD11" s="514">
        <f t="shared" si="6"/>
        <v>110700</v>
      </c>
      <c r="AE11" s="514">
        <f t="shared" si="6"/>
        <v>110700</v>
      </c>
      <c r="AF11" s="514">
        <f t="shared" si="6"/>
        <v>110700</v>
      </c>
      <c r="AG11" s="514">
        <f t="shared" si="6"/>
        <v>110700</v>
      </c>
      <c r="AH11" s="514">
        <f t="shared" si="6"/>
        <v>110700</v>
      </c>
      <c r="AI11" s="514">
        <f t="shared" si="6"/>
        <v>110700</v>
      </c>
    </row>
    <row r="12" spans="1:35" x14ac:dyDescent="0.2">
      <c r="A12" s="512" t="s">
        <v>7</v>
      </c>
      <c r="B12" s="512"/>
      <c r="C12" s="512" t="s">
        <v>5</v>
      </c>
      <c r="D12" s="515">
        <f>цех!I122</f>
        <v>0.12</v>
      </c>
      <c r="E12" s="512"/>
      <c r="F12" s="514">
        <f>F8*$D12</f>
        <v>147600</v>
      </c>
      <c r="G12" s="514">
        <f t="shared" ref="G12:AI12" si="7">G8*$D12</f>
        <v>147600</v>
      </c>
      <c r="H12" s="514">
        <f t="shared" si="7"/>
        <v>147600</v>
      </c>
      <c r="I12" s="514">
        <f t="shared" si="7"/>
        <v>147600</v>
      </c>
      <c r="J12" s="514">
        <f t="shared" si="7"/>
        <v>147600</v>
      </c>
      <c r="K12" s="514">
        <f t="shared" si="7"/>
        <v>147600</v>
      </c>
      <c r="L12" s="514">
        <f t="shared" si="7"/>
        <v>147600</v>
      </c>
      <c r="M12" s="514">
        <f t="shared" si="7"/>
        <v>147600</v>
      </c>
      <c r="N12" s="514">
        <f t="shared" si="7"/>
        <v>147600</v>
      </c>
      <c r="O12" s="514">
        <f t="shared" si="7"/>
        <v>147600</v>
      </c>
      <c r="P12" s="514">
        <f t="shared" si="7"/>
        <v>147600</v>
      </c>
      <c r="Q12" s="514">
        <f t="shared" si="7"/>
        <v>147600</v>
      </c>
      <c r="R12" s="514">
        <f t="shared" si="7"/>
        <v>147600</v>
      </c>
      <c r="S12" s="514">
        <f t="shared" si="7"/>
        <v>147600</v>
      </c>
      <c r="T12" s="514">
        <f t="shared" si="7"/>
        <v>147600</v>
      </c>
      <c r="U12" s="514">
        <f t="shared" si="7"/>
        <v>147600</v>
      </c>
      <c r="V12" s="514">
        <f t="shared" si="7"/>
        <v>147600</v>
      </c>
      <c r="W12" s="514">
        <f t="shared" si="7"/>
        <v>147600</v>
      </c>
      <c r="X12" s="514">
        <f t="shared" si="7"/>
        <v>147600</v>
      </c>
      <c r="Y12" s="514">
        <f t="shared" si="7"/>
        <v>147600</v>
      </c>
      <c r="Z12" s="514">
        <f t="shared" si="7"/>
        <v>147600</v>
      </c>
      <c r="AA12" s="514">
        <f t="shared" si="7"/>
        <v>147600</v>
      </c>
      <c r="AB12" s="514">
        <f t="shared" si="7"/>
        <v>147600</v>
      </c>
      <c r="AC12" s="514">
        <f t="shared" si="7"/>
        <v>147600</v>
      </c>
      <c r="AD12" s="514">
        <f t="shared" si="7"/>
        <v>147600</v>
      </c>
      <c r="AE12" s="514">
        <f t="shared" si="7"/>
        <v>147600</v>
      </c>
      <c r="AF12" s="514">
        <f t="shared" si="7"/>
        <v>147600</v>
      </c>
      <c r="AG12" s="514">
        <f t="shared" si="7"/>
        <v>147600</v>
      </c>
      <c r="AH12" s="514">
        <f t="shared" si="7"/>
        <v>147600</v>
      </c>
      <c r="AI12" s="514">
        <f t="shared" si="7"/>
        <v>147600</v>
      </c>
    </row>
    <row r="13" spans="1:35" x14ac:dyDescent="0.2">
      <c r="A13" s="512" t="s">
        <v>8</v>
      </c>
      <c r="B13" s="512"/>
      <c r="C13" s="512" t="s">
        <v>5</v>
      </c>
      <c r="D13" s="515">
        <v>0.33</v>
      </c>
      <c r="E13" s="512"/>
      <c r="F13" s="514">
        <f>F8*$D13</f>
        <v>405900</v>
      </c>
      <c r="G13" s="514">
        <f>G8*$D13</f>
        <v>405900</v>
      </c>
      <c r="H13" s="514">
        <f t="shared" ref="H13:AI13" si="8">H8*$D13</f>
        <v>405900</v>
      </c>
      <c r="I13" s="514">
        <f t="shared" si="8"/>
        <v>405900</v>
      </c>
      <c r="J13" s="514">
        <f t="shared" si="8"/>
        <v>405900</v>
      </c>
      <c r="K13" s="514">
        <f t="shared" si="8"/>
        <v>405900</v>
      </c>
      <c r="L13" s="514">
        <f t="shared" si="8"/>
        <v>405900</v>
      </c>
      <c r="M13" s="514">
        <f t="shared" si="8"/>
        <v>405900</v>
      </c>
      <c r="N13" s="514">
        <f t="shared" si="8"/>
        <v>405900</v>
      </c>
      <c r="O13" s="514">
        <f t="shared" si="8"/>
        <v>405900</v>
      </c>
      <c r="P13" s="514">
        <f t="shared" si="8"/>
        <v>405900</v>
      </c>
      <c r="Q13" s="514">
        <f t="shared" si="8"/>
        <v>405900</v>
      </c>
      <c r="R13" s="514">
        <f t="shared" si="8"/>
        <v>405900</v>
      </c>
      <c r="S13" s="514">
        <f t="shared" si="8"/>
        <v>405900</v>
      </c>
      <c r="T13" s="514">
        <f t="shared" si="8"/>
        <v>405900</v>
      </c>
      <c r="U13" s="514">
        <f t="shared" si="8"/>
        <v>405900</v>
      </c>
      <c r="V13" s="514">
        <f t="shared" si="8"/>
        <v>405900</v>
      </c>
      <c r="W13" s="514">
        <f t="shared" si="8"/>
        <v>405900</v>
      </c>
      <c r="X13" s="514">
        <f t="shared" si="8"/>
        <v>405900</v>
      </c>
      <c r="Y13" s="514">
        <f t="shared" si="8"/>
        <v>405900</v>
      </c>
      <c r="Z13" s="514">
        <f t="shared" si="8"/>
        <v>405900</v>
      </c>
      <c r="AA13" s="514">
        <f t="shared" si="8"/>
        <v>405900</v>
      </c>
      <c r="AB13" s="514">
        <f t="shared" si="8"/>
        <v>405900</v>
      </c>
      <c r="AC13" s="514">
        <f t="shared" si="8"/>
        <v>405900</v>
      </c>
      <c r="AD13" s="514">
        <f t="shared" si="8"/>
        <v>405900</v>
      </c>
      <c r="AE13" s="514">
        <f t="shared" si="8"/>
        <v>405900</v>
      </c>
      <c r="AF13" s="514">
        <f t="shared" si="8"/>
        <v>405900</v>
      </c>
      <c r="AG13" s="514">
        <f t="shared" si="8"/>
        <v>405900</v>
      </c>
      <c r="AH13" s="514">
        <f t="shared" si="8"/>
        <v>405900</v>
      </c>
      <c r="AI13" s="514">
        <f t="shared" si="8"/>
        <v>405900</v>
      </c>
    </row>
    <row r="14" spans="1:35" x14ac:dyDescent="0.2">
      <c r="A14" s="512" t="s">
        <v>9</v>
      </c>
      <c r="B14" s="512"/>
      <c r="C14" s="512" t="s">
        <v>5</v>
      </c>
      <c r="D14" s="515">
        <v>0.67</v>
      </c>
      <c r="E14" s="512"/>
      <c r="F14" s="514">
        <f>F8*$D14</f>
        <v>824100</v>
      </c>
      <c r="G14" s="514">
        <f>G8*$D14</f>
        <v>824100</v>
      </c>
      <c r="H14" s="514">
        <f t="shared" ref="H14:AI14" si="9">H8*$D14</f>
        <v>824100</v>
      </c>
      <c r="I14" s="514">
        <f t="shared" si="9"/>
        <v>824100</v>
      </c>
      <c r="J14" s="514">
        <f t="shared" si="9"/>
        <v>824100</v>
      </c>
      <c r="K14" s="514">
        <f t="shared" si="9"/>
        <v>824100</v>
      </c>
      <c r="L14" s="514">
        <f t="shared" si="9"/>
        <v>824100</v>
      </c>
      <c r="M14" s="514">
        <f t="shared" si="9"/>
        <v>824100</v>
      </c>
      <c r="N14" s="514">
        <f t="shared" si="9"/>
        <v>824100</v>
      </c>
      <c r="O14" s="514">
        <f t="shared" si="9"/>
        <v>824100</v>
      </c>
      <c r="P14" s="514">
        <f t="shared" si="9"/>
        <v>824100</v>
      </c>
      <c r="Q14" s="514">
        <f t="shared" si="9"/>
        <v>824100</v>
      </c>
      <c r="R14" s="514">
        <f t="shared" si="9"/>
        <v>824100</v>
      </c>
      <c r="S14" s="514">
        <f t="shared" si="9"/>
        <v>824100</v>
      </c>
      <c r="T14" s="514">
        <f t="shared" si="9"/>
        <v>824100</v>
      </c>
      <c r="U14" s="514">
        <f t="shared" si="9"/>
        <v>824100</v>
      </c>
      <c r="V14" s="514">
        <f t="shared" si="9"/>
        <v>824100</v>
      </c>
      <c r="W14" s="514">
        <f t="shared" si="9"/>
        <v>824100</v>
      </c>
      <c r="X14" s="514">
        <f t="shared" si="9"/>
        <v>824100</v>
      </c>
      <c r="Y14" s="514">
        <f t="shared" si="9"/>
        <v>824100</v>
      </c>
      <c r="Z14" s="514">
        <f t="shared" si="9"/>
        <v>824100</v>
      </c>
      <c r="AA14" s="514">
        <f t="shared" si="9"/>
        <v>824100</v>
      </c>
      <c r="AB14" s="514">
        <f t="shared" si="9"/>
        <v>824100</v>
      </c>
      <c r="AC14" s="514">
        <f t="shared" si="9"/>
        <v>824100</v>
      </c>
      <c r="AD14" s="514">
        <f t="shared" si="9"/>
        <v>824100</v>
      </c>
      <c r="AE14" s="514">
        <f t="shared" si="9"/>
        <v>824100</v>
      </c>
      <c r="AF14" s="514">
        <f t="shared" si="9"/>
        <v>824100</v>
      </c>
      <c r="AG14" s="514">
        <f t="shared" si="9"/>
        <v>824100</v>
      </c>
      <c r="AH14" s="514">
        <f t="shared" si="9"/>
        <v>824100</v>
      </c>
      <c r="AI14" s="514">
        <f t="shared" si="9"/>
        <v>824100</v>
      </c>
    </row>
    <row r="15" spans="1:35" x14ac:dyDescent="0.2">
      <c r="A15" s="512"/>
      <c r="B15" s="512"/>
      <c r="C15" s="512"/>
      <c r="D15" s="515"/>
      <c r="E15" s="512"/>
      <c r="F15" s="514">
        <f>F16+F17+F18</f>
        <v>450980.12281835813</v>
      </c>
      <c r="G15" s="514">
        <f t="shared" ref="G15:AI15" si="10">G16+G17+G18</f>
        <v>450980.12281835813</v>
      </c>
      <c r="H15" s="514">
        <f t="shared" si="10"/>
        <v>450980.12281835813</v>
      </c>
      <c r="I15" s="514">
        <f t="shared" si="10"/>
        <v>450980.12281835813</v>
      </c>
      <c r="J15" s="514">
        <f t="shared" si="10"/>
        <v>450980.12281835813</v>
      </c>
      <c r="K15" s="514">
        <f t="shared" si="10"/>
        <v>450980.12281835813</v>
      </c>
      <c r="L15" s="514">
        <f t="shared" si="10"/>
        <v>450980.12281835813</v>
      </c>
      <c r="M15" s="514">
        <f t="shared" si="10"/>
        <v>450980.12281835813</v>
      </c>
      <c r="N15" s="514">
        <f t="shared" si="10"/>
        <v>450980.12281835813</v>
      </c>
      <c r="O15" s="514">
        <f t="shared" si="10"/>
        <v>450980.12281835813</v>
      </c>
      <c r="P15" s="514">
        <f t="shared" si="10"/>
        <v>450980.12281835813</v>
      </c>
      <c r="Q15" s="514">
        <f t="shared" si="10"/>
        <v>450980.12281835813</v>
      </c>
      <c r="R15" s="514">
        <f t="shared" si="10"/>
        <v>450980.12281835813</v>
      </c>
      <c r="S15" s="514">
        <f t="shared" si="10"/>
        <v>450980.12281835813</v>
      </c>
      <c r="T15" s="514">
        <f t="shared" si="10"/>
        <v>450980.12281835813</v>
      </c>
      <c r="U15" s="514">
        <f t="shared" si="10"/>
        <v>450980.12281835813</v>
      </c>
      <c r="V15" s="514">
        <f t="shared" si="10"/>
        <v>450980.12281835813</v>
      </c>
      <c r="W15" s="514">
        <f t="shared" si="10"/>
        <v>450980.12281835813</v>
      </c>
      <c r="X15" s="514">
        <f t="shared" si="10"/>
        <v>450980.12281835813</v>
      </c>
      <c r="Y15" s="514">
        <f t="shared" si="10"/>
        <v>450980.12281835813</v>
      </c>
      <c r="Z15" s="514">
        <f t="shared" si="10"/>
        <v>450980.12281835813</v>
      </c>
      <c r="AA15" s="514">
        <f t="shared" si="10"/>
        <v>450980.12281835813</v>
      </c>
      <c r="AB15" s="514">
        <f t="shared" si="10"/>
        <v>450980.12281835813</v>
      </c>
      <c r="AC15" s="514">
        <f t="shared" si="10"/>
        <v>450980.12281835813</v>
      </c>
      <c r="AD15" s="514">
        <f t="shared" si="10"/>
        <v>450980.12281835813</v>
      </c>
      <c r="AE15" s="514">
        <f t="shared" si="10"/>
        <v>450980.12281835813</v>
      </c>
      <c r="AF15" s="514">
        <f t="shared" si="10"/>
        <v>450980.12281835813</v>
      </c>
      <c r="AG15" s="514">
        <f t="shared" si="10"/>
        <v>450980.12281835813</v>
      </c>
      <c r="AH15" s="514">
        <f t="shared" si="10"/>
        <v>450980.12281835813</v>
      </c>
      <c r="AI15" s="514">
        <f t="shared" si="10"/>
        <v>450980.12281835813</v>
      </c>
    </row>
    <row r="16" spans="1:35" x14ac:dyDescent="0.2">
      <c r="A16" s="512" t="s">
        <v>135</v>
      </c>
      <c r="B16" s="512"/>
      <c r="C16" s="512"/>
      <c r="D16" s="515"/>
      <c r="E16" s="512"/>
      <c r="F16" s="514">
        <f>F10/$D$20</f>
        <v>311442.30769230769</v>
      </c>
      <c r="G16" s="514">
        <f t="shared" ref="G16:AI16" si="11">G10/$D$20</f>
        <v>311442.30769230769</v>
      </c>
      <c r="H16" s="514">
        <f t="shared" si="11"/>
        <v>311442.30769230769</v>
      </c>
      <c r="I16" s="514">
        <f t="shared" si="11"/>
        <v>311442.30769230769</v>
      </c>
      <c r="J16" s="514">
        <f t="shared" si="11"/>
        <v>311442.30769230769</v>
      </c>
      <c r="K16" s="514">
        <f t="shared" si="11"/>
        <v>311442.30769230769</v>
      </c>
      <c r="L16" s="514">
        <f t="shared" si="11"/>
        <v>311442.30769230769</v>
      </c>
      <c r="M16" s="514">
        <f t="shared" si="11"/>
        <v>311442.30769230769</v>
      </c>
      <c r="N16" s="514">
        <f t="shared" si="11"/>
        <v>311442.30769230769</v>
      </c>
      <c r="O16" s="514">
        <f t="shared" si="11"/>
        <v>311442.30769230769</v>
      </c>
      <c r="P16" s="514">
        <f t="shared" si="11"/>
        <v>311442.30769230769</v>
      </c>
      <c r="Q16" s="514">
        <f t="shared" si="11"/>
        <v>311442.30769230769</v>
      </c>
      <c r="R16" s="514">
        <f t="shared" si="11"/>
        <v>311442.30769230769</v>
      </c>
      <c r="S16" s="514">
        <f t="shared" si="11"/>
        <v>311442.30769230769</v>
      </c>
      <c r="T16" s="514">
        <f t="shared" si="11"/>
        <v>311442.30769230769</v>
      </c>
      <c r="U16" s="514">
        <f t="shared" si="11"/>
        <v>311442.30769230769</v>
      </c>
      <c r="V16" s="514">
        <f t="shared" si="11"/>
        <v>311442.30769230769</v>
      </c>
      <c r="W16" s="514">
        <f t="shared" si="11"/>
        <v>311442.30769230769</v>
      </c>
      <c r="X16" s="514">
        <f t="shared" si="11"/>
        <v>311442.30769230769</v>
      </c>
      <c r="Y16" s="514">
        <f t="shared" si="11"/>
        <v>311442.30769230769</v>
      </c>
      <c r="Z16" s="514">
        <f t="shared" si="11"/>
        <v>311442.30769230769</v>
      </c>
      <c r="AA16" s="514">
        <f t="shared" si="11"/>
        <v>311442.30769230769</v>
      </c>
      <c r="AB16" s="514">
        <f t="shared" si="11"/>
        <v>311442.30769230769</v>
      </c>
      <c r="AC16" s="514">
        <f t="shared" si="11"/>
        <v>311442.30769230769</v>
      </c>
      <c r="AD16" s="514">
        <f t="shared" si="11"/>
        <v>311442.30769230769</v>
      </c>
      <c r="AE16" s="514">
        <f t="shared" si="11"/>
        <v>311442.30769230769</v>
      </c>
      <c r="AF16" s="514">
        <f t="shared" si="11"/>
        <v>311442.30769230769</v>
      </c>
      <c r="AG16" s="514">
        <f t="shared" si="11"/>
        <v>311442.30769230769</v>
      </c>
      <c r="AH16" s="514">
        <f t="shared" si="11"/>
        <v>311442.30769230769</v>
      </c>
      <c r="AI16" s="514">
        <f t="shared" si="11"/>
        <v>311442.30769230769</v>
      </c>
    </row>
    <row r="17" spans="1:35" x14ac:dyDescent="0.2">
      <c r="A17" s="512" t="s">
        <v>136</v>
      </c>
      <c r="B17" s="512"/>
      <c r="C17" s="512"/>
      <c r="D17" s="515"/>
      <c r="E17" s="512"/>
      <c r="F17" s="514">
        <f>F11/$D$21</f>
        <v>52714.28571428571</v>
      </c>
      <c r="G17" s="514">
        <f>G11/$D$21</f>
        <v>52714.28571428571</v>
      </c>
      <c r="H17" s="514">
        <f t="shared" ref="H17:AI17" si="12">H11/$D$21</f>
        <v>52714.28571428571</v>
      </c>
      <c r="I17" s="514">
        <f t="shared" si="12"/>
        <v>52714.28571428571</v>
      </c>
      <c r="J17" s="514">
        <f t="shared" si="12"/>
        <v>52714.28571428571</v>
      </c>
      <c r="K17" s="514">
        <f t="shared" si="12"/>
        <v>52714.28571428571</v>
      </c>
      <c r="L17" s="514">
        <f t="shared" si="12"/>
        <v>52714.28571428571</v>
      </c>
      <c r="M17" s="514">
        <f t="shared" si="12"/>
        <v>52714.28571428571</v>
      </c>
      <c r="N17" s="514">
        <f t="shared" si="12"/>
        <v>52714.28571428571</v>
      </c>
      <c r="O17" s="514">
        <f t="shared" si="12"/>
        <v>52714.28571428571</v>
      </c>
      <c r="P17" s="514">
        <f t="shared" si="12"/>
        <v>52714.28571428571</v>
      </c>
      <c r="Q17" s="514">
        <f t="shared" si="12"/>
        <v>52714.28571428571</v>
      </c>
      <c r="R17" s="514">
        <f t="shared" si="12"/>
        <v>52714.28571428571</v>
      </c>
      <c r="S17" s="514">
        <f t="shared" si="12"/>
        <v>52714.28571428571</v>
      </c>
      <c r="T17" s="514">
        <f t="shared" si="12"/>
        <v>52714.28571428571</v>
      </c>
      <c r="U17" s="514">
        <f t="shared" si="12"/>
        <v>52714.28571428571</v>
      </c>
      <c r="V17" s="514">
        <f t="shared" si="12"/>
        <v>52714.28571428571</v>
      </c>
      <c r="W17" s="514">
        <f t="shared" si="12"/>
        <v>52714.28571428571</v>
      </c>
      <c r="X17" s="514">
        <f t="shared" si="12"/>
        <v>52714.28571428571</v>
      </c>
      <c r="Y17" s="514">
        <f t="shared" si="12"/>
        <v>52714.28571428571</v>
      </c>
      <c r="Z17" s="514">
        <f t="shared" si="12"/>
        <v>52714.28571428571</v>
      </c>
      <c r="AA17" s="514">
        <f t="shared" si="12"/>
        <v>52714.28571428571</v>
      </c>
      <c r="AB17" s="514">
        <f t="shared" si="12"/>
        <v>52714.28571428571</v>
      </c>
      <c r="AC17" s="514">
        <f t="shared" si="12"/>
        <v>52714.28571428571</v>
      </c>
      <c r="AD17" s="514">
        <f t="shared" si="12"/>
        <v>52714.28571428571</v>
      </c>
      <c r="AE17" s="514">
        <f t="shared" si="12"/>
        <v>52714.28571428571</v>
      </c>
      <c r="AF17" s="514">
        <f t="shared" si="12"/>
        <v>52714.28571428571</v>
      </c>
      <c r="AG17" s="514">
        <f t="shared" si="12"/>
        <v>52714.28571428571</v>
      </c>
      <c r="AH17" s="514">
        <f t="shared" si="12"/>
        <v>52714.28571428571</v>
      </c>
      <c r="AI17" s="514">
        <f t="shared" si="12"/>
        <v>52714.28571428571</v>
      </c>
    </row>
    <row r="18" spans="1:35" x14ac:dyDescent="0.2">
      <c r="A18" s="512" t="s">
        <v>145</v>
      </c>
      <c r="B18" s="512"/>
      <c r="C18" s="512"/>
      <c r="D18" s="515"/>
      <c r="E18" s="512"/>
      <c r="F18" s="514">
        <f>F12/$D$22</f>
        <v>86823.529411764714</v>
      </c>
      <c r="G18" s="514">
        <f t="shared" ref="G18:AI18" si="13">G12/$D$22</f>
        <v>86823.529411764714</v>
      </c>
      <c r="H18" s="514">
        <f t="shared" si="13"/>
        <v>86823.529411764714</v>
      </c>
      <c r="I18" s="514">
        <f t="shared" si="13"/>
        <v>86823.529411764714</v>
      </c>
      <c r="J18" s="514">
        <f t="shared" si="13"/>
        <v>86823.529411764714</v>
      </c>
      <c r="K18" s="514">
        <f t="shared" si="13"/>
        <v>86823.529411764714</v>
      </c>
      <c r="L18" s="514">
        <f t="shared" si="13"/>
        <v>86823.529411764714</v>
      </c>
      <c r="M18" s="514">
        <f t="shared" si="13"/>
        <v>86823.529411764714</v>
      </c>
      <c r="N18" s="514">
        <f t="shared" si="13"/>
        <v>86823.529411764714</v>
      </c>
      <c r="O18" s="514">
        <f t="shared" si="13"/>
        <v>86823.529411764714</v>
      </c>
      <c r="P18" s="514">
        <f t="shared" si="13"/>
        <v>86823.529411764714</v>
      </c>
      <c r="Q18" s="514">
        <f t="shared" si="13"/>
        <v>86823.529411764714</v>
      </c>
      <c r="R18" s="514">
        <f t="shared" si="13"/>
        <v>86823.529411764714</v>
      </c>
      <c r="S18" s="514">
        <f t="shared" si="13"/>
        <v>86823.529411764714</v>
      </c>
      <c r="T18" s="514">
        <f t="shared" si="13"/>
        <v>86823.529411764714</v>
      </c>
      <c r="U18" s="514">
        <f t="shared" si="13"/>
        <v>86823.529411764714</v>
      </c>
      <c r="V18" s="514">
        <f t="shared" si="13"/>
        <v>86823.529411764714</v>
      </c>
      <c r="W18" s="514">
        <f t="shared" si="13"/>
        <v>86823.529411764714</v>
      </c>
      <c r="X18" s="514">
        <f t="shared" si="13"/>
        <v>86823.529411764714</v>
      </c>
      <c r="Y18" s="514">
        <f t="shared" si="13"/>
        <v>86823.529411764714</v>
      </c>
      <c r="Z18" s="514">
        <f t="shared" si="13"/>
        <v>86823.529411764714</v>
      </c>
      <c r="AA18" s="514">
        <f t="shared" si="13"/>
        <v>86823.529411764714</v>
      </c>
      <c r="AB18" s="514">
        <f t="shared" si="13"/>
        <v>86823.529411764714</v>
      </c>
      <c r="AC18" s="514">
        <f t="shared" si="13"/>
        <v>86823.529411764714</v>
      </c>
      <c r="AD18" s="514">
        <f t="shared" si="13"/>
        <v>86823.529411764714</v>
      </c>
      <c r="AE18" s="514">
        <f t="shared" si="13"/>
        <v>86823.529411764714</v>
      </c>
      <c r="AF18" s="514">
        <f t="shared" si="13"/>
        <v>86823.529411764714</v>
      </c>
      <c r="AG18" s="514">
        <f t="shared" si="13"/>
        <v>86823.529411764714</v>
      </c>
      <c r="AH18" s="514">
        <f t="shared" si="13"/>
        <v>86823.529411764714</v>
      </c>
      <c r="AI18" s="514">
        <f t="shared" si="13"/>
        <v>86823.529411764714</v>
      </c>
    </row>
    <row r="19" spans="1:35" x14ac:dyDescent="0.2">
      <c r="A19" s="512" t="s">
        <v>10</v>
      </c>
      <c r="B19" s="512"/>
      <c r="C19" s="504" t="s">
        <v>49</v>
      </c>
      <c r="D19" s="518"/>
      <c r="E19" s="512"/>
      <c r="F19" s="514">
        <f>SUM(F20:F22)</f>
        <v>779019.87718164187</v>
      </c>
      <c r="G19" s="514">
        <f t="shared" ref="G19:AI19" si="14">SUM(G20:G22)</f>
        <v>779019.87718164187</v>
      </c>
      <c r="H19" s="514">
        <f t="shared" si="14"/>
        <v>779019.87718164187</v>
      </c>
      <c r="I19" s="514">
        <f t="shared" si="14"/>
        <v>779019.87718164187</v>
      </c>
      <c r="J19" s="514">
        <f t="shared" si="14"/>
        <v>779019.87718164187</v>
      </c>
      <c r="K19" s="514">
        <f t="shared" si="14"/>
        <v>779019.87718164187</v>
      </c>
      <c r="L19" s="514">
        <f t="shared" si="14"/>
        <v>779019.87718164187</v>
      </c>
      <c r="M19" s="514">
        <f t="shared" si="14"/>
        <v>779019.87718164187</v>
      </c>
      <c r="N19" s="514">
        <f>SUM(N20:N22)</f>
        <v>779019.87718164187</v>
      </c>
      <c r="O19" s="514">
        <f t="shared" si="14"/>
        <v>779019.87718164187</v>
      </c>
      <c r="P19" s="514">
        <f t="shared" si="14"/>
        <v>779019.87718164187</v>
      </c>
      <c r="Q19" s="514">
        <f t="shared" si="14"/>
        <v>779019.87718164187</v>
      </c>
      <c r="R19" s="514">
        <f t="shared" si="14"/>
        <v>779019.87718164187</v>
      </c>
      <c r="S19" s="514">
        <f t="shared" si="14"/>
        <v>779019.87718164187</v>
      </c>
      <c r="T19" s="514">
        <f t="shared" si="14"/>
        <v>779019.87718164187</v>
      </c>
      <c r="U19" s="514">
        <f t="shared" si="14"/>
        <v>779019.87718164187</v>
      </c>
      <c r="V19" s="514">
        <f t="shared" si="14"/>
        <v>779019.87718164187</v>
      </c>
      <c r="W19" s="514">
        <f t="shared" si="14"/>
        <v>779019.87718164187</v>
      </c>
      <c r="X19" s="514">
        <f t="shared" si="14"/>
        <v>779019.87718164187</v>
      </c>
      <c r="Y19" s="514">
        <f t="shared" si="14"/>
        <v>779019.87718164187</v>
      </c>
      <c r="Z19" s="514">
        <f t="shared" si="14"/>
        <v>779019.87718164187</v>
      </c>
      <c r="AA19" s="514">
        <f t="shared" si="14"/>
        <v>779019.87718164187</v>
      </c>
      <c r="AB19" s="514">
        <f t="shared" si="14"/>
        <v>779019.87718164187</v>
      </c>
      <c r="AC19" s="514">
        <f t="shared" si="14"/>
        <v>779019.87718164187</v>
      </c>
      <c r="AD19" s="514">
        <f t="shared" si="14"/>
        <v>779019.87718164187</v>
      </c>
      <c r="AE19" s="514">
        <f t="shared" si="14"/>
        <v>779019.87718164187</v>
      </c>
      <c r="AF19" s="514">
        <f t="shared" si="14"/>
        <v>779019.87718164187</v>
      </c>
      <c r="AG19" s="514">
        <f t="shared" si="14"/>
        <v>779019.87718164187</v>
      </c>
      <c r="AH19" s="514">
        <f t="shared" si="14"/>
        <v>779019.87718164187</v>
      </c>
      <c r="AI19" s="514">
        <f t="shared" si="14"/>
        <v>779019.87718164187</v>
      </c>
    </row>
    <row r="20" spans="1:35" x14ac:dyDescent="0.2">
      <c r="A20" s="512" t="s">
        <v>137</v>
      </c>
      <c r="B20" s="512"/>
      <c r="C20" s="504"/>
      <c r="D20" s="518">
        <f>цех!J120</f>
        <v>3.12</v>
      </c>
      <c r="E20" s="512"/>
      <c r="F20" s="514">
        <f>F10-F16</f>
        <v>660257.69230769225</v>
      </c>
      <c r="G20" s="514">
        <f t="shared" ref="G20:AI20" si="15">G10-G16</f>
        <v>660257.69230769225</v>
      </c>
      <c r="H20" s="514">
        <f t="shared" si="15"/>
        <v>660257.69230769225</v>
      </c>
      <c r="I20" s="514">
        <f t="shared" si="15"/>
        <v>660257.69230769225</v>
      </c>
      <c r="J20" s="514">
        <f t="shared" si="15"/>
        <v>660257.69230769225</v>
      </c>
      <c r="K20" s="514">
        <f t="shared" si="15"/>
        <v>660257.69230769225</v>
      </c>
      <c r="L20" s="514">
        <f t="shared" si="15"/>
        <v>660257.69230769225</v>
      </c>
      <c r="M20" s="514">
        <f t="shared" si="15"/>
        <v>660257.69230769225</v>
      </c>
      <c r="N20" s="514">
        <f>N10-N16</f>
        <v>660257.69230769225</v>
      </c>
      <c r="O20" s="514">
        <f t="shared" si="15"/>
        <v>660257.69230769225</v>
      </c>
      <c r="P20" s="514">
        <f t="shared" si="15"/>
        <v>660257.69230769225</v>
      </c>
      <c r="Q20" s="514">
        <f t="shared" si="15"/>
        <v>660257.69230769225</v>
      </c>
      <c r="R20" s="514">
        <f t="shared" si="15"/>
        <v>660257.69230769225</v>
      </c>
      <c r="S20" s="514">
        <f t="shared" si="15"/>
        <v>660257.69230769225</v>
      </c>
      <c r="T20" s="514">
        <f t="shared" si="15"/>
        <v>660257.69230769225</v>
      </c>
      <c r="U20" s="514">
        <f t="shared" si="15"/>
        <v>660257.69230769225</v>
      </c>
      <c r="V20" s="514">
        <f t="shared" si="15"/>
        <v>660257.69230769225</v>
      </c>
      <c r="W20" s="514">
        <f t="shared" si="15"/>
        <v>660257.69230769225</v>
      </c>
      <c r="X20" s="514">
        <f t="shared" si="15"/>
        <v>660257.69230769225</v>
      </c>
      <c r="Y20" s="514">
        <f t="shared" si="15"/>
        <v>660257.69230769225</v>
      </c>
      <c r="Z20" s="514">
        <f t="shared" si="15"/>
        <v>660257.69230769225</v>
      </c>
      <c r="AA20" s="514">
        <f t="shared" si="15"/>
        <v>660257.69230769225</v>
      </c>
      <c r="AB20" s="514">
        <f t="shared" si="15"/>
        <v>660257.69230769225</v>
      </c>
      <c r="AC20" s="514">
        <f t="shared" si="15"/>
        <v>660257.69230769225</v>
      </c>
      <c r="AD20" s="514">
        <f t="shared" si="15"/>
        <v>660257.69230769225</v>
      </c>
      <c r="AE20" s="514">
        <f t="shared" si="15"/>
        <v>660257.69230769225</v>
      </c>
      <c r="AF20" s="514">
        <f t="shared" si="15"/>
        <v>660257.69230769225</v>
      </c>
      <c r="AG20" s="514">
        <f t="shared" si="15"/>
        <v>660257.69230769225</v>
      </c>
      <c r="AH20" s="514">
        <f t="shared" si="15"/>
        <v>660257.69230769225</v>
      </c>
      <c r="AI20" s="514">
        <f t="shared" si="15"/>
        <v>660257.69230769225</v>
      </c>
    </row>
    <row r="21" spans="1:35" x14ac:dyDescent="0.2">
      <c r="A21" s="512" t="s">
        <v>138</v>
      </c>
      <c r="B21" s="512"/>
      <c r="C21" s="504">
        <v>0.66500000000000004</v>
      </c>
      <c r="D21" s="518">
        <f>цех!J121</f>
        <v>2.1</v>
      </c>
      <c r="E21" s="512"/>
      <c r="F21" s="514">
        <f>F11-F17</f>
        <v>57985.71428571429</v>
      </c>
      <c r="G21" s="514">
        <f t="shared" ref="G21:AI21" si="16">G11-G17</f>
        <v>57985.71428571429</v>
      </c>
      <c r="H21" s="514">
        <f t="shared" si="16"/>
        <v>57985.71428571429</v>
      </c>
      <c r="I21" s="514">
        <f t="shared" si="16"/>
        <v>57985.71428571429</v>
      </c>
      <c r="J21" s="514">
        <f t="shared" si="16"/>
        <v>57985.71428571429</v>
      </c>
      <c r="K21" s="514">
        <f t="shared" si="16"/>
        <v>57985.71428571429</v>
      </c>
      <c r="L21" s="514">
        <f t="shared" si="16"/>
        <v>57985.71428571429</v>
      </c>
      <c r="M21" s="514">
        <f t="shared" si="16"/>
        <v>57985.71428571429</v>
      </c>
      <c r="N21" s="514">
        <f t="shared" si="16"/>
        <v>57985.71428571429</v>
      </c>
      <c r="O21" s="514">
        <f t="shared" si="16"/>
        <v>57985.71428571429</v>
      </c>
      <c r="P21" s="514">
        <f t="shared" si="16"/>
        <v>57985.71428571429</v>
      </c>
      <c r="Q21" s="514">
        <f t="shared" si="16"/>
        <v>57985.71428571429</v>
      </c>
      <c r="R21" s="514">
        <f t="shared" si="16"/>
        <v>57985.71428571429</v>
      </c>
      <c r="S21" s="514">
        <f t="shared" si="16"/>
        <v>57985.71428571429</v>
      </c>
      <c r="T21" s="514">
        <f t="shared" si="16"/>
        <v>57985.71428571429</v>
      </c>
      <c r="U21" s="514">
        <f t="shared" si="16"/>
        <v>57985.71428571429</v>
      </c>
      <c r="V21" s="514">
        <f t="shared" si="16"/>
        <v>57985.71428571429</v>
      </c>
      <c r="W21" s="514">
        <f t="shared" si="16"/>
        <v>57985.71428571429</v>
      </c>
      <c r="X21" s="514">
        <f t="shared" si="16"/>
        <v>57985.71428571429</v>
      </c>
      <c r="Y21" s="514">
        <f t="shared" si="16"/>
        <v>57985.71428571429</v>
      </c>
      <c r="Z21" s="514">
        <f t="shared" si="16"/>
        <v>57985.71428571429</v>
      </c>
      <c r="AA21" s="514">
        <f t="shared" si="16"/>
        <v>57985.71428571429</v>
      </c>
      <c r="AB21" s="514">
        <f t="shared" si="16"/>
        <v>57985.71428571429</v>
      </c>
      <c r="AC21" s="514">
        <f t="shared" si="16"/>
        <v>57985.71428571429</v>
      </c>
      <c r="AD21" s="514">
        <f t="shared" si="16"/>
        <v>57985.71428571429</v>
      </c>
      <c r="AE21" s="514">
        <f t="shared" si="16"/>
        <v>57985.71428571429</v>
      </c>
      <c r="AF21" s="514">
        <f t="shared" si="16"/>
        <v>57985.71428571429</v>
      </c>
      <c r="AG21" s="514">
        <f t="shared" si="16"/>
        <v>57985.71428571429</v>
      </c>
      <c r="AH21" s="514">
        <f t="shared" si="16"/>
        <v>57985.71428571429</v>
      </c>
      <c r="AI21" s="514">
        <f t="shared" si="16"/>
        <v>57985.71428571429</v>
      </c>
    </row>
    <row r="22" spans="1:35" x14ac:dyDescent="0.2">
      <c r="A22" s="512" t="s">
        <v>139</v>
      </c>
      <c r="B22" s="512"/>
      <c r="C22" s="504">
        <v>0.25</v>
      </c>
      <c r="D22" s="518">
        <f>цех!J122</f>
        <v>1.7</v>
      </c>
      <c r="E22" s="512"/>
      <c r="F22" s="514">
        <f>F12-F18</f>
        <v>60776.470588235286</v>
      </c>
      <c r="G22" s="514">
        <f t="shared" ref="G22:AI22" si="17">G12-G18</f>
        <v>60776.470588235286</v>
      </c>
      <c r="H22" s="514">
        <f t="shared" si="17"/>
        <v>60776.470588235286</v>
      </c>
      <c r="I22" s="514">
        <f t="shared" si="17"/>
        <v>60776.470588235286</v>
      </c>
      <c r="J22" s="514">
        <f t="shared" si="17"/>
        <v>60776.470588235286</v>
      </c>
      <c r="K22" s="514">
        <f t="shared" si="17"/>
        <v>60776.470588235286</v>
      </c>
      <c r="L22" s="514">
        <f t="shared" si="17"/>
        <v>60776.470588235286</v>
      </c>
      <c r="M22" s="514">
        <f t="shared" si="17"/>
        <v>60776.470588235286</v>
      </c>
      <c r="N22" s="514">
        <f t="shared" si="17"/>
        <v>60776.470588235286</v>
      </c>
      <c r="O22" s="514">
        <f t="shared" si="17"/>
        <v>60776.470588235286</v>
      </c>
      <c r="P22" s="514">
        <f t="shared" si="17"/>
        <v>60776.470588235286</v>
      </c>
      <c r="Q22" s="514">
        <f t="shared" si="17"/>
        <v>60776.470588235286</v>
      </c>
      <c r="R22" s="514">
        <f t="shared" si="17"/>
        <v>60776.470588235286</v>
      </c>
      <c r="S22" s="514">
        <f t="shared" si="17"/>
        <v>60776.470588235286</v>
      </c>
      <c r="T22" s="514">
        <f t="shared" si="17"/>
        <v>60776.470588235286</v>
      </c>
      <c r="U22" s="514">
        <f t="shared" si="17"/>
        <v>60776.470588235286</v>
      </c>
      <c r="V22" s="514">
        <f t="shared" si="17"/>
        <v>60776.470588235286</v>
      </c>
      <c r="W22" s="514">
        <f t="shared" si="17"/>
        <v>60776.470588235286</v>
      </c>
      <c r="X22" s="514">
        <f t="shared" si="17"/>
        <v>60776.470588235286</v>
      </c>
      <c r="Y22" s="514">
        <f t="shared" si="17"/>
        <v>60776.470588235286</v>
      </c>
      <c r="Z22" s="514">
        <f t="shared" si="17"/>
        <v>60776.470588235286</v>
      </c>
      <c r="AA22" s="514">
        <f t="shared" si="17"/>
        <v>60776.470588235286</v>
      </c>
      <c r="AB22" s="514">
        <f t="shared" si="17"/>
        <v>60776.470588235286</v>
      </c>
      <c r="AC22" s="514">
        <f t="shared" si="17"/>
        <v>60776.470588235286</v>
      </c>
      <c r="AD22" s="514">
        <f t="shared" si="17"/>
        <v>60776.470588235286</v>
      </c>
      <c r="AE22" s="514">
        <f t="shared" si="17"/>
        <v>60776.470588235286</v>
      </c>
      <c r="AF22" s="514">
        <f t="shared" si="17"/>
        <v>60776.470588235286</v>
      </c>
      <c r="AG22" s="514">
        <f t="shared" si="17"/>
        <v>60776.470588235286</v>
      </c>
      <c r="AH22" s="514">
        <f t="shared" si="17"/>
        <v>60776.470588235286</v>
      </c>
      <c r="AI22" s="514">
        <f t="shared" si="17"/>
        <v>60776.470588235286</v>
      </c>
    </row>
    <row r="23" spans="1:35" x14ac:dyDescent="0.2">
      <c r="A23" s="512" t="s">
        <v>11</v>
      </c>
      <c r="B23" s="512"/>
      <c r="C23" s="512"/>
      <c r="D23" s="512"/>
      <c r="E23" s="512"/>
      <c r="F23" s="514"/>
      <c r="G23" s="514"/>
      <c r="H23" s="514"/>
      <c r="I23" s="514"/>
      <c r="J23" s="514"/>
      <c r="K23" s="514"/>
      <c r="L23" s="514"/>
      <c r="M23" s="514"/>
      <c r="N23" s="514"/>
      <c r="O23" s="514"/>
      <c r="P23" s="514"/>
      <c r="Q23" s="514"/>
      <c r="R23" s="514"/>
      <c r="S23" s="514"/>
      <c r="T23" s="514"/>
      <c r="U23" s="514"/>
      <c r="V23" s="514"/>
      <c r="W23" s="514"/>
      <c r="X23" s="514"/>
      <c r="Y23" s="514"/>
      <c r="Z23" s="514"/>
      <c r="AA23" s="514"/>
      <c r="AB23" s="514"/>
      <c r="AC23" s="514"/>
      <c r="AD23" s="514"/>
      <c r="AE23" s="514"/>
      <c r="AF23" s="514"/>
      <c r="AG23" s="514"/>
      <c r="AH23" s="514"/>
      <c r="AI23" s="514"/>
    </row>
    <row r="24" spans="1:35" x14ac:dyDescent="0.2">
      <c r="A24" s="512" t="s">
        <v>98</v>
      </c>
      <c r="B24" s="512"/>
      <c r="C24" s="512"/>
      <c r="D24" s="512"/>
      <c r="E24" s="512">
        <f>SUM(E25:E28,E35,E39:E40,E43:E49)</f>
        <v>0</v>
      </c>
      <c r="F24" s="514">
        <f>SUM(F25:F28,F35,F39:F40,F43:F50)</f>
        <v>96527.72</v>
      </c>
      <c r="G24" s="514">
        <f>SUM(G25:G28,G35,G39:G40,G43:G50)</f>
        <v>96527.72</v>
      </c>
      <c r="H24" s="514">
        <f t="shared" ref="H24:AI24" si="18">SUM(H25:H28,H35,H39:H40,H43:H50)</f>
        <v>96527.72</v>
      </c>
      <c r="I24" s="514">
        <f>SUM(I25:I28,I35,I39:I40,I43:I50)</f>
        <v>96527.72</v>
      </c>
      <c r="J24" s="514">
        <f>SUM(J25:J28,J35,J39:J40,J43:J50)</f>
        <v>96527.72</v>
      </c>
      <c r="K24" s="514">
        <f>SUM(K25:K28,K35,K39:K40,K43:K50)</f>
        <v>96527.72</v>
      </c>
      <c r="L24" s="514">
        <f>SUM(L25:L28,L35,L39:L40,L43:L50)</f>
        <v>96527.72</v>
      </c>
      <c r="M24" s="514">
        <f>SUM(M25:M28,M35,M39:M40,M43:M50)</f>
        <v>96527.72</v>
      </c>
      <c r="N24" s="514">
        <f t="shared" si="18"/>
        <v>96527.72</v>
      </c>
      <c r="O24" s="514">
        <f t="shared" si="18"/>
        <v>96527.72</v>
      </c>
      <c r="P24" s="514">
        <f t="shared" si="18"/>
        <v>96527.72</v>
      </c>
      <c r="Q24" s="514">
        <f t="shared" si="18"/>
        <v>96527.72</v>
      </c>
      <c r="R24" s="514">
        <f t="shared" si="18"/>
        <v>96527.72</v>
      </c>
      <c r="S24" s="514">
        <f t="shared" si="18"/>
        <v>96527.72</v>
      </c>
      <c r="T24" s="514">
        <f t="shared" si="18"/>
        <v>96527.72</v>
      </c>
      <c r="U24" s="514">
        <f t="shared" si="18"/>
        <v>96527.72</v>
      </c>
      <c r="V24" s="514">
        <f t="shared" si="18"/>
        <v>96527.72</v>
      </c>
      <c r="W24" s="514">
        <f t="shared" si="18"/>
        <v>96527.72</v>
      </c>
      <c r="X24" s="514">
        <f t="shared" si="18"/>
        <v>96527.72</v>
      </c>
      <c r="Y24" s="514">
        <f t="shared" si="18"/>
        <v>96527.72</v>
      </c>
      <c r="Z24" s="514">
        <f t="shared" si="18"/>
        <v>96527.72</v>
      </c>
      <c r="AA24" s="514">
        <f t="shared" si="18"/>
        <v>96527.72</v>
      </c>
      <c r="AB24" s="514">
        <f t="shared" si="18"/>
        <v>96527.72</v>
      </c>
      <c r="AC24" s="514">
        <f t="shared" si="18"/>
        <v>96527.72</v>
      </c>
      <c r="AD24" s="514">
        <f t="shared" si="18"/>
        <v>96527.72</v>
      </c>
      <c r="AE24" s="514">
        <f t="shared" si="18"/>
        <v>96527.72</v>
      </c>
      <c r="AF24" s="514">
        <f t="shared" si="18"/>
        <v>96527.72</v>
      </c>
      <c r="AG24" s="514">
        <f t="shared" si="18"/>
        <v>96527.72</v>
      </c>
      <c r="AH24" s="514">
        <f t="shared" si="18"/>
        <v>96527.72</v>
      </c>
      <c r="AI24" s="514">
        <f t="shared" si="18"/>
        <v>96527.72</v>
      </c>
    </row>
    <row r="25" spans="1:35" x14ac:dyDescent="0.2">
      <c r="A25" s="512" t="s">
        <v>12</v>
      </c>
      <c r="B25" s="512"/>
      <c r="C25" s="512" t="s">
        <v>60</v>
      </c>
      <c r="D25" s="512"/>
      <c r="E25" s="512"/>
      <c r="F25" s="514">
        <v>0</v>
      </c>
      <c r="G25" s="514">
        <v>0</v>
      </c>
      <c r="H25" s="514">
        <v>0</v>
      </c>
      <c r="I25" s="514">
        <v>0</v>
      </c>
      <c r="J25" s="514">
        <v>0</v>
      </c>
      <c r="K25" s="514">
        <v>0</v>
      </c>
      <c r="L25" s="514">
        <v>0</v>
      </c>
      <c r="M25" s="514">
        <v>0</v>
      </c>
      <c r="N25" s="514">
        <v>0</v>
      </c>
      <c r="O25" s="514">
        <v>0</v>
      </c>
      <c r="P25" s="514">
        <v>0</v>
      </c>
      <c r="Q25" s="514">
        <v>0</v>
      </c>
      <c r="R25" s="514">
        <v>0</v>
      </c>
      <c r="S25" s="514">
        <v>0</v>
      </c>
      <c r="T25" s="514">
        <v>0</v>
      </c>
      <c r="U25" s="514">
        <v>0</v>
      </c>
      <c r="V25" s="514">
        <v>0</v>
      </c>
      <c r="W25" s="514">
        <v>0</v>
      </c>
      <c r="X25" s="514">
        <v>0</v>
      </c>
      <c r="Y25" s="514">
        <v>0</v>
      </c>
      <c r="Z25" s="514">
        <v>0</v>
      </c>
      <c r="AA25" s="514">
        <v>0</v>
      </c>
      <c r="AB25" s="514">
        <v>0</v>
      </c>
      <c r="AC25" s="514">
        <v>0</v>
      </c>
      <c r="AD25" s="514">
        <v>0</v>
      </c>
      <c r="AE25" s="514">
        <v>0</v>
      </c>
      <c r="AF25" s="514">
        <v>0</v>
      </c>
      <c r="AG25" s="514">
        <v>0</v>
      </c>
      <c r="AH25" s="514">
        <v>0</v>
      </c>
      <c r="AI25" s="514">
        <v>0</v>
      </c>
    </row>
    <row r="26" spans="1:35" ht="11.25" customHeight="1" x14ac:dyDescent="0.2">
      <c r="A26" s="512" t="s">
        <v>13</v>
      </c>
      <c r="B26" s="512"/>
      <c r="C26" s="512"/>
      <c r="D26" s="512"/>
      <c r="E26" s="512"/>
      <c r="F26" s="514">
        <v>0</v>
      </c>
      <c r="G26" s="514">
        <v>0</v>
      </c>
      <c r="H26" s="514">
        <v>0</v>
      </c>
      <c r="I26" s="514">
        <v>0</v>
      </c>
      <c r="J26" s="514">
        <v>0</v>
      </c>
      <c r="K26" s="514">
        <v>0</v>
      </c>
      <c r="L26" s="514">
        <v>0</v>
      </c>
      <c r="M26" s="514">
        <v>0</v>
      </c>
      <c r="N26" s="514">
        <v>0</v>
      </c>
      <c r="O26" s="514">
        <v>0</v>
      </c>
      <c r="P26" s="514">
        <v>0</v>
      </c>
      <c r="Q26" s="514">
        <v>0</v>
      </c>
      <c r="R26" s="514">
        <v>0</v>
      </c>
      <c r="S26" s="514">
        <v>0</v>
      </c>
      <c r="T26" s="514">
        <v>0</v>
      </c>
      <c r="U26" s="514">
        <v>0</v>
      </c>
      <c r="V26" s="514">
        <v>0</v>
      </c>
      <c r="W26" s="514">
        <v>0</v>
      </c>
      <c r="X26" s="514">
        <v>0</v>
      </c>
      <c r="Y26" s="514">
        <v>0</v>
      </c>
      <c r="Z26" s="514">
        <v>0</v>
      </c>
      <c r="AA26" s="514">
        <v>0</v>
      </c>
      <c r="AB26" s="514">
        <v>0</v>
      </c>
      <c r="AC26" s="514">
        <v>0</v>
      </c>
      <c r="AD26" s="514">
        <v>0</v>
      </c>
      <c r="AE26" s="514">
        <v>0</v>
      </c>
      <c r="AF26" s="514">
        <v>0</v>
      </c>
      <c r="AG26" s="514">
        <v>0</v>
      </c>
      <c r="AH26" s="514">
        <v>0</v>
      </c>
      <c r="AI26" s="514">
        <v>0</v>
      </c>
    </row>
    <row r="27" spans="1:35" ht="1.5" customHeight="1" x14ac:dyDescent="0.2">
      <c r="A27" s="512"/>
      <c r="B27" s="512"/>
      <c r="C27" s="512"/>
      <c r="D27" s="512"/>
      <c r="E27" s="512"/>
      <c r="F27" s="514"/>
      <c r="G27" s="514"/>
      <c r="H27" s="514"/>
      <c r="I27" s="514"/>
      <c r="J27" s="514"/>
      <c r="K27" s="514"/>
      <c r="L27" s="514"/>
      <c r="M27" s="514"/>
      <c r="N27" s="514"/>
      <c r="O27" s="514"/>
      <c r="P27" s="514"/>
      <c r="Q27" s="514"/>
      <c r="R27" s="514"/>
      <c r="S27" s="514"/>
      <c r="T27" s="514"/>
      <c r="U27" s="514"/>
      <c r="V27" s="514"/>
      <c r="W27" s="514"/>
      <c r="X27" s="514"/>
      <c r="Y27" s="514"/>
      <c r="Z27" s="514"/>
      <c r="AA27" s="514"/>
      <c r="AB27" s="514"/>
      <c r="AC27" s="514"/>
      <c r="AD27" s="514"/>
      <c r="AE27" s="514"/>
      <c r="AF27" s="514"/>
      <c r="AG27" s="514"/>
      <c r="AH27" s="514"/>
      <c r="AI27" s="514"/>
    </row>
    <row r="28" spans="1:35" x14ac:dyDescent="0.2">
      <c r="A28" s="512" t="s">
        <v>52</v>
      </c>
      <c r="B28" s="512"/>
      <c r="C28" s="512"/>
      <c r="D28" s="512"/>
      <c r="E28" s="512">
        <v>0</v>
      </c>
      <c r="F28" s="514">
        <f>IF(F7=0,0,$H$68)</f>
        <v>46000</v>
      </c>
      <c r="G28" s="514">
        <f t="shared" ref="G28:AI28" si="19">IF(G7=0,0,$H$68)</f>
        <v>46000</v>
      </c>
      <c r="H28" s="514">
        <f t="shared" si="19"/>
        <v>46000</v>
      </c>
      <c r="I28" s="514">
        <f t="shared" si="19"/>
        <v>46000</v>
      </c>
      <c r="J28" s="514">
        <f t="shared" si="19"/>
        <v>46000</v>
      </c>
      <c r="K28" s="514">
        <f t="shared" si="19"/>
        <v>46000</v>
      </c>
      <c r="L28" s="514">
        <f t="shared" si="19"/>
        <v>46000</v>
      </c>
      <c r="M28" s="514">
        <f t="shared" si="19"/>
        <v>46000</v>
      </c>
      <c r="N28" s="514">
        <f t="shared" si="19"/>
        <v>46000</v>
      </c>
      <c r="O28" s="514">
        <f t="shared" si="19"/>
        <v>46000</v>
      </c>
      <c r="P28" s="514">
        <f t="shared" si="19"/>
        <v>46000</v>
      </c>
      <c r="Q28" s="514">
        <f t="shared" si="19"/>
        <v>46000</v>
      </c>
      <c r="R28" s="514">
        <f t="shared" si="19"/>
        <v>46000</v>
      </c>
      <c r="S28" s="514">
        <f t="shared" si="19"/>
        <v>46000</v>
      </c>
      <c r="T28" s="514">
        <f t="shared" si="19"/>
        <v>46000</v>
      </c>
      <c r="U28" s="514">
        <f t="shared" si="19"/>
        <v>46000</v>
      </c>
      <c r="V28" s="514">
        <f t="shared" si="19"/>
        <v>46000</v>
      </c>
      <c r="W28" s="514">
        <f t="shared" si="19"/>
        <v>46000</v>
      </c>
      <c r="X28" s="514">
        <f t="shared" si="19"/>
        <v>46000</v>
      </c>
      <c r="Y28" s="514">
        <f t="shared" si="19"/>
        <v>46000</v>
      </c>
      <c r="Z28" s="514">
        <f t="shared" si="19"/>
        <v>46000</v>
      </c>
      <c r="AA28" s="514">
        <f t="shared" si="19"/>
        <v>46000</v>
      </c>
      <c r="AB28" s="514">
        <f t="shared" si="19"/>
        <v>46000</v>
      </c>
      <c r="AC28" s="514">
        <f t="shared" si="19"/>
        <v>46000</v>
      </c>
      <c r="AD28" s="514">
        <f t="shared" si="19"/>
        <v>46000</v>
      </c>
      <c r="AE28" s="514">
        <f t="shared" si="19"/>
        <v>46000</v>
      </c>
      <c r="AF28" s="514">
        <f t="shared" si="19"/>
        <v>46000</v>
      </c>
      <c r="AG28" s="514">
        <f t="shared" si="19"/>
        <v>46000</v>
      </c>
      <c r="AH28" s="514">
        <f t="shared" si="19"/>
        <v>46000</v>
      </c>
      <c r="AI28" s="514">
        <f t="shared" si="19"/>
        <v>46000</v>
      </c>
    </row>
    <row r="29" spans="1:35" hidden="1" outlineLevel="1" x14ac:dyDescent="0.2">
      <c r="A29" s="512" t="s">
        <v>14</v>
      </c>
      <c r="B29" s="512">
        <v>2</v>
      </c>
      <c r="C29" s="512">
        <v>35000</v>
      </c>
      <c r="D29" s="512">
        <f>B29*C29</f>
        <v>70000</v>
      </c>
      <c r="E29" s="512"/>
      <c r="F29" s="514"/>
      <c r="G29" s="514"/>
      <c r="H29" s="514"/>
      <c r="I29" s="514"/>
      <c r="J29" s="514"/>
      <c r="K29" s="514"/>
      <c r="L29" s="514"/>
      <c r="M29" s="514"/>
      <c r="N29" s="514"/>
      <c r="O29" s="514"/>
      <c r="P29" s="514"/>
      <c r="Q29" s="514"/>
      <c r="R29" s="514"/>
      <c r="S29" s="514"/>
      <c r="T29" s="514"/>
      <c r="U29" s="514"/>
      <c r="V29" s="514"/>
      <c r="W29" s="514"/>
      <c r="X29" s="514"/>
      <c r="Y29" s="514"/>
      <c r="Z29" s="514"/>
      <c r="AA29" s="514"/>
      <c r="AB29" s="514"/>
      <c r="AC29" s="514"/>
      <c r="AD29" s="514"/>
      <c r="AE29" s="514"/>
      <c r="AF29" s="514"/>
      <c r="AG29" s="514"/>
      <c r="AH29" s="514"/>
      <c r="AI29" s="514"/>
    </row>
    <row r="30" spans="1:35" hidden="1" outlineLevel="1" x14ac:dyDescent="0.2">
      <c r="A30" s="512" t="s">
        <v>15</v>
      </c>
      <c r="B30" s="512">
        <v>0</v>
      </c>
      <c r="C30" s="512">
        <v>37000</v>
      </c>
      <c r="D30" s="512">
        <f t="shared" ref="D30:D31" si="20">B30*C30</f>
        <v>0</v>
      </c>
      <c r="E30" s="512"/>
      <c r="F30" s="514"/>
      <c r="G30" s="514"/>
      <c r="H30" s="514"/>
      <c r="I30" s="514"/>
      <c r="J30" s="514"/>
      <c r="K30" s="514"/>
      <c r="L30" s="514"/>
      <c r="M30" s="514"/>
      <c r="N30" s="514"/>
      <c r="O30" s="514"/>
      <c r="P30" s="514"/>
      <c r="Q30" s="514"/>
      <c r="R30" s="514"/>
      <c r="S30" s="514"/>
      <c r="T30" s="514"/>
      <c r="U30" s="514"/>
      <c r="V30" s="514"/>
      <c r="W30" s="514"/>
      <c r="X30" s="514"/>
      <c r="Y30" s="514"/>
      <c r="Z30" s="514"/>
      <c r="AA30" s="514"/>
      <c r="AB30" s="514"/>
      <c r="AC30" s="514"/>
      <c r="AD30" s="514"/>
      <c r="AE30" s="514"/>
      <c r="AF30" s="514"/>
      <c r="AG30" s="514"/>
      <c r="AH30" s="514"/>
      <c r="AI30" s="514"/>
    </row>
    <row r="31" spans="1:35" hidden="1" outlineLevel="1" x14ac:dyDescent="0.2">
      <c r="A31" s="512" t="s">
        <v>16</v>
      </c>
      <c r="B31" s="512">
        <v>0</v>
      </c>
      <c r="C31" s="512">
        <v>24000</v>
      </c>
      <c r="D31" s="512">
        <f t="shared" si="20"/>
        <v>0</v>
      </c>
      <c r="E31" s="512"/>
      <c r="F31" s="514"/>
      <c r="G31" s="514"/>
      <c r="H31" s="514"/>
      <c r="I31" s="514"/>
      <c r="J31" s="514"/>
      <c r="K31" s="514"/>
      <c r="L31" s="514"/>
      <c r="M31" s="514"/>
      <c r="N31" s="514"/>
      <c r="O31" s="514"/>
      <c r="P31" s="514"/>
      <c r="Q31" s="514"/>
      <c r="R31" s="514"/>
      <c r="S31" s="514"/>
      <c r="T31" s="514"/>
      <c r="U31" s="514"/>
      <c r="V31" s="514"/>
      <c r="W31" s="514"/>
      <c r="X31" s="514"/>
      <c r="Y31" s="514"/>
      <c r="Z31" s="514"/>
      <c r="AA31" s="514"/>
      <c r="AB31" s="514"/>
      <c r="AC31" s="514"/>
      <c r="AD31" s="514"/>
      <c r="AE31" s="514"/>
      <c r="AF31" s="514"/>
      <c r="AG31" s="514"/>
      <c r="AH31" s="514"/>
      <c r="AI31" s="514"/>
    </row>
    <row r="32" spans="1:35" hidden="1" outlineLevel="1" x14ac:dyDescent="0.2">
      <c r="A32" s="512" t="s">
        <v>17</v>
      </c>
      <c r="B32" s="512">
        <v>0</v>
      </c>
      <c r="C32" s="512"/>
      <c r="D32" s="512">
        <f>B32*C32</f>
        <v>0</v>
      </c>
      <c r="E32" s="512"/>
      <c r="F32" s="514"/>
      <c r="G32" s="514"/>
      <c r="H32" s="514"/>
      <c r="I32" s="514"/>
      <c r="J32" s="514"/>
      <c r="K32" s="514"/>
      <c r="L32" s="514"/>
      <c r="M32" s="514"/>
      <c r="N32" s="514"/>
      <c r="O32" s="514"/>
      <c r="P32" s="514"/>
      <c r="Q32" s="514"/>
      <c r="R32" s="514"/>
      <c r="S32" s="514"/>
      <c r="T32" s="514"/>
      <c r="U32" s="514"/>
      <c r="V32" s="514"/>
      <c r="W32" s="514"/>
      <c r="X32" s="514"/>
      <c r="Y32" s="514"/>
      <c r="Z32" s="514"/>
      <c r="AA32" s="514"/>
      <c r="AB32" s="514"/>
      <c r="AC32" s="514"/>
      <c r="AD32" s="514"/>
      <c r="AE32" s="514"/>
      <c r="AF32" s="514"/>
      <c r="AG32" s="514"/>
      <c r="AH32" s="514"/>
      <c r="AI32" s="514"/>
    </row>
    <row r="33" spans="1:35" hidden="1" outlineLevel="1" x14ac:dyDescent="0.2">
      <c r="A33" s="512" t="s">
        <v>18</v>
      </c>
      <c r="B33" s="512"/>
      <c r="C33" s="512"/>
      <c r="D33" s="512">
        <f>SUM(D29:D32)</f>
        <v>70000</v>
      </c>
      <c r="E33" s="512"/>
      <c r="F33" s="514"/>
      <c r="G33" s="514"/>
      <c r="H33" s="514"/>
      <c r="I33" s="514"/>
      <c r="J33" s="514"/>
      <c r="K33" s="514"/>
      <c r="L33" s="514"/>
      <c r="M33" s="514"/>
      <c r="N33" s="514"/>
      <c r="O33" s="514"/>
      <c r="P33" s="514"/>
      <c r="Q33" s="514"/>
      <c r="R33" s="514"/>
      <c r="S33" s="514"/>
      <c r="T33" s="514"/>
      <c r="U33" s="514"/>
      <c r="V33" s="514"/>
      <c r="W33" s="514"/>
      <c r="X33" s="514"/>
      <c r="Y33" s="514"/>
      <c r="Z33" s="514"/>
      <c r="AA33" s="514"/>
      <c r="AB33" s="514"/>
      <c r="AC33" s="514"/>
      <c r="AD33" s="514"/>
      <c r="AE33" s="514"/>
      <c r="AF33" s="514"/>
      <c r="AG33" s="514"/>
      <c r="AH33" s="514"/>
      <c r="AI33" s="514"/>
    </row>
    <row r="34" spans="1:35" hidden="1" outlineLevel="1" x14ac:dyDescent="0.2">
      <c r="A34" s="512" t="s">
        <v>19</v>
      </c>
      <c r="B34" s="512"/>
      <c r="C34" s="512"/>
      <c r="D34" s="512">
        <f>D33-D32</f>
        <v>70000</v>
      </c>
      <c r="E34" s="512"/>
      <c r="F34" s="514"/>
      <c r="G34" s="514"/>
      <c r="H34" s="514"/>
      <c r="I34" s="514"/>
      <c r="J34" s="514"/>
      <c r="K34" s="514"/>
      <c r="L34" s="514"/>
      <c r="M34" s="514"/>
      <c r="N34" s="514"/>
      <c r="O34" s="514"/>
      <c r="P34" s="514"/>
      <c r="Q34" s="514"/>
      <c r="R34" s="514"/>
      <c r="S34" s="514"/>
      <c r="T34" s="514"/>
      <c r="U34" s="514"/>
      <c r="V34" s="514"/>
      <c r="W34" s="514"/>
      <c r="X34" s="514"/>
      <c r="Y34" s="514"/>
      <c r="Z34" s="514"/>
      <c r="AA34" s="514"/>
      <c r="AB34" s="514"/>
      <c r="AC34" s="514"/>
      <c r="AD34" s="514"/>
      <c r="AE34" s="514"/>
      <c r="AF34" s="514"/>
      <c r="AG34" s="514"/>
      <c r="AH34" s="514"/>
      <c r="AI34" s="514"/>
    </row>
    <row r="35" spans="1:35" collapsed="1" x14ac:dyDescent="0.2">
      <c r="A35" s="512" t="s">
        <v>20</v>
      </c>
      <c r="B35" s="512">
        <f>B29+B30+B31</f>
        <v>2</v>
      </c>
      <c r="C35" s="512">
        <v>11000</v>
      </c>
      <c r="D35" s="519">
        <v>0.30199999999999999</v>
      </c>
      <c r="E35" s="512"/>
      <c r="F35" s="514">
        <f>IF(F7=0,0,$H$70)</f>
        <v>7248</v>
      </c>
      <c r="G35" s="514">
        <f t="shared" ref="G35:AI35" si="21">IF(G7=0,0,$H$70)</f>
        <v>7248</v>
      </c>
      <c r="H35" s="514">
        <f t="shared" si="21"/>
        <v>7248</v>
      </c>
      <c r="I35" s="514">
        <f t="shared" si="21"/>
        <v>7248</v>
      </c>
      <c r="J35" s="514">
        <f t="shared" si="21"/>
        <v>7248</v>
      </c>
      <c r="K35" s="514">
        <f t="shared" si="21"/>
        <v>7248</v>
      </c>
      <c r="L35" s="514">
        <f t="shared" si="21"/>
        <v>7248</v>
      </c>
      <c r="M35" s="514">
        <f t="shared" si="21"/>
        <v>7248</v>
      </c>
      <c r="N35" s="514">
        <f t="shared" si="21"/>
        <v>7248</v>
      </c>
      <c r="O35" s="514">
        <f t="shared" si="21"/>
        <v>7248</v>
      </c>
      <c r="P35" s="514">
        <f t="shared" si="21"/>
        <v>7248</v>
      </c>
      <c r="Q35" s="514">
        <f t="shared" si="21"/>
        <v>7248</v>
      </c>
      <c r="R35" s="514">
        <f t="shared" si="21"/>
        <v>7248</v>
      </c>
      <c r="S35" s="514">
        <f t="shared" si="21"/>
        <v>7248</v>
      </c>
      <c r="T35" s="514">
        <f t="shared" si="21"/>
        <v>7248</v>
      </c>
      <c r="U35" s="514">
        <f t="shared" si="21"/>
        <v>7248</v>
      </c>
      <c r="V35" s="514">
        <f t="shared" si="21"/>
        <v>7248</v>
      </c>
      <c r="W35" s="514">
        <f t="shared" si="21"/>
        <v>7248</v>
      </c>
      <c r="X35" s="514">
        <f t="shared" si="21"/>
        <v>7248</v>
      </c>
      <c r="Y35" s="514">
        <f t="shared" si="21"/>
        <v>7248</v>
      </c>
      <c r="Z35" s="514">
        <f t="shared" si="21"/>
        <v>7248</v>
      </c>
      <c r="AA35" s="514">
        <f t="shared" si="21"/>
        <v>7248</v>
      </c>
      <c r="AB35" s="514">
        <f t="shared" si="21"/>
        <v>7248</v>
      </c>
      <c r="AC35" s="514">
        <f t="shared" si="21"/>
        <v>7248</v>
      </c>
      <c r="AD35" s="514">
        <f t="shared" si="21"/>
        <v>7248</v>
      </c>
      <c r="AE35" s="514">
        <f t="shared" si="21"/>
        <v>7248</v>
      </c>
      <c r="AF35" s="514">
        <f t="shared" si="21"/>
        <v>7248</v>
      </c>
      <c r="AG35" s="514">
        <f t="shared" si="21"/>
        <v>7248</v>
      </c>
      <c r="AH35" s="514">
        <f t="shared" si="21"/>
        <v>7248</v>
      </c>
      <c r="AI35" s="514">
        <f t="shared" si="21"/>
        <v>7248</v>
      </c>
    </row>
    <row r="36" spans="1:35" hidden="1" outlineLevel="2" x14ac:dyDescent="0.2">
      <c r="A36" s="512"/>
      <c r="B36" s="512"/>
      <c r="C36" s="512" t="s">
        <v>21</v>
      </c>
      <c r="D36" s="512">
        <f>SUM(B29:B32)-B32</f>
        <v>2</v>
      </c>
      <c r="E36" s="512"/>
      <c r="F36" s="514"/>
      <c r="G36" s="514"/>
      <c r="H36" s="514"/>
      <c r="I36" s="514"/>
      <c r="J36" s="514"/>
      <c r="K36" s="514"/>
      <c r="L36" s="514"/>
      <c r="M36" s="514"/>
      <c r="N36" s="514"/>
      <c r="O36" s="514"/>
      <c r="P36" s="514"/>
      <c r="Q36" s="514"/>
      <c r="R36" s="514"/>
      <c r="S36" s="514"/>
      <c r="T36" s="514"/>
      <c r="U36" s="514"/>
      <c r="V36" s="514"/>
      <c r="W36" s="514"/>
      <c r="X36" s="514"/>
      <c r="Y36" s="514"/>
      <c r="Z36" s="514"/>
      <c r="AA36" s="514"/>
      <c r="AB36" s="514"/>
      <c r="AC36" s="514"/>
      <c r="AD36" s="514"/>
      <c r="AE36" s="514"/>
      <c r="AF36" s="514"/>
      <c r="AG36" s="514"/>
      <c r="AH36" s="514"/>
      <c r="AI36" s="514"/>
    </row>
    <row r="37" spans="1:35" hidden="1" outlineLevel="2" x14ac:dyDescent="0.2">
      <c r="A37" s="512"/>
      <c r="B37" s="512"/>
      <c r="C37" s="512" t="s">
        <v>22</v>
      </c>
      <c r="D37" s="512">
        <v>10000</v>
      </c>
      <c r="E37" s="512"/>
      <c r="F37" s="514"/>
      <c r="G37" s="514"/>
      <c r="H37" s="514"/>
      <c r="I37" s="514"/>
      <c r="J37" s="514"/>
      <c r="K37" s="514"/>
      <c r="L37" s="514"/>
      <c r="M37" s="514"/>
      <c r="N37" s="514"/>
      <c r="O37" s="514"/>
      <c r="P37" s="514"/>
      <c r="Q37" s="514"/>
      <c r="R37" s="514"/>
      <c r="S37" s="514"/>
      <c r="T37" s="514"/>
      <c r="U37" s="514"/>
      <c r="V37" s="514"/>
      <c r="W37" s="514"/>
      <c r="X37" s="514"/>
      <c r="Y37" s="514"/>
      <c r="Z37" s="514"/>
      <c r="AA37" s="514"/>
      <c r="AB37" s="514"/>
      <c r="AC37" s="514"/>
      <c r="AD37" s="514"/>
      <c r="AE37" s="514"/>
      <c r="AF37" s="514"/>
      <c r="AG37" s="514"/>
      <c r="AH37" s="514"/>
      <c r="AI37" s="514"/>
    </row>
    <row r="38" spans="1:35" hidden="1" outlineLevel="2" x14ac:dyDescent="0.2">
      <c r="A38" s="512"/>
      <c r="B38" s="512"/>
      <c r="C38" s="512" t="s">
        <v>23</v>
      </c>
      <c r="D38" s="520">
        <v>0.30199999999999999</v>
      </c>
      <c r="E38" s="512"/>
      <c r="F38" s="514"/>
      <c r="G38" s="514"/>
      <c r="H38" s="514"/>
      <c r="I38" s="514"/>
      <c r="J38" s="514"/>
      <c r="K38" s="514"/>
      <c r="L38" s="514"/>
      <c r="M38" s="514"/>
      <c r="N38" s="514"/>
      <c r="O38" s="514"/>
      <c r="P38" s="514"/>
      <c r="Q38" s="514"/>
      <c r="R38" s="514"/>
      <c r="S38" s="514"/>
      <c r="T38" s="514"/>
      <c r="U38" s="514"/>
      <c r="V38" s="514"/>
      <c r="W38" s="514"/>
      <c r="X38" s="514"/>
      <c r="Y38" s="514"/>
      <c r="Z38" s="514"/>
      <c r="AA38" s="514"/>
      <c r="AB38" s="514"/>
      <c r="AC38" s="514"/>
      <c r="AD38" s="514"/>
      <c r="AE38" s="514"/>
      <c r="AF38" s="514"/>
      <c r="AG38" s="514"/>
      <c r="AH38" s="514"/>
      <c r="AI38" s="514"/>
    </row>
    <row r="39" spans="1:35" collapsed="1" x14ac:dyDescent="0.2">
      <c r="A39" s="512" t="s">
        <v>24</v>
      </c>
      <c r="B39" s="512"/>
      <c r="C39" s="512"/>
      <c r="D39" s="512"/>
      <c r="E39" s="512"/>
      <c r="F39" s="514">
        <f>IF(F7=0,0,1300+200)</f>
        <v>1500</v>
      </c>
      <c r="G39" s="514">
        <f t="shared" ref="G39:AI39" si="22">IF(G7=0,0,1300+200)</f>
        <v>1500</v>
      </c>
      <c r="H39" s="514">
        <f t="shared" si="22"/>
        <v>1500</v>
      </c>
      <c r="I39" s="514">
        <f t="shared" si="22"/>
        <v>1500</v>
      </c>
      <c r="J39" s="514">
        <f t="shared" si="22"/>
        <v>1500</v>
      </c>
      <c r="K39" s="514">
        <f t="shared" si="22"/>
        <v>1500</v>
      </c>
      <c r="L39" s="514">
        <f t="shared" si="22"/>
        <v>1500</v>
      </c>
      <c r="M39" s="514">
        <f t="shared" si="22"/>
        <v>1500</v>
      </c>
      <c r="N39" s="514">
        <f t="shared" si="22"/>
        <v>1500</v>
      </c>
      <c r="O39" s="514">
        <f t="shared" si="22"/>
        <v>1500</v>
      </c>
      <c r="P39" s="514">
        <f t="shared" si="22"/>
        <v>1500</v>
      </c>
      <c r="Q39" s="514">
        <f t="shared" si="22"/>
        <v>1500</v>
      </c>
      <c r="R39" s="514">
        <f t="shared" si="22"/>
        <v>1500</v>
      </c>
      <c r="S39" s="514">
        <f t="shared" si="22"/>
        <v>1500</v>
      </c>
      <c r="T39" s="514">
        <f t="shared" si="22"/>
        <v>1500</v>
      </c>
      <c r="U39" s="514">
        <f t="shared" si="22"/>
        <v>1500</v>
      </c>
      <c r="V39" s="514">
        <f t="shared" si="22"/>
        <v>1500</v>
      </c>
      <c r="W39" s="514">
        <f t="shared" si="22"/>
        <v>1500</v>
      </c>
      <c r="X39" s="514">
        <f t="shared" si="22"/>
        <v>1500</v>
      </c>
      <c r="Y39" s="514">
        <f t="shared" si="22"/>
        <v>1500</v>
      </c>
      <c r="Z39" s="514">
        <f t="shared" si="22"/>
        <v>1500</v>
      </c>
      <c r="AA39" s="514">
        <f t="shared" si="22"/>
        <v>1500</v>
      </c>
      <c r="AB39" s="514">
        <f t="shared" si="22"/>
        <v>1500</v>
      </c>
      <c r="AC39" s="514">
        <f t="shared" si="22"/>
        <v>1500</v>
      </c>
      <c r="AD39" s="514">
        <f t="shared" si="22"/>
        <v>1500</v>
      </c>
      <c r="AE39" s="514">
        <f t="shared" si="22"/>
        <v>1500</v>
      </c>
      <c r="AF39" s="514">
        <f t="shared" si="22"/>
        <v>1500</v>
      </c>
      <c r="AG39" s="514">
        <f t="shared" si="22"/>
        <v>1500</v>
      </c>
      <c r="AH39" s="514">
        <f t="shared" si="22"/>
        <v>1500</v>
      </c>
      <c r="AI39" s="514">
        <f t="shared" si="22"/>
        <v>1500</v>
      </c>
    </row>
    <row r="40" spans="1:35" x14ac:dyDescent="0.2">
      <c r="A40" s="512" t="s">
        <v>25</v>
      </c>
      <c r="B40" s="512"/>
      <c r="C40" s="512"/>
      <c r="D40" s="512"/>
      <c r="E40" s="512"/>
      <c r="F40" s="514">
        <f>IF(F7=0,0,F41+F42)</f>
        <v>5000</v>
      </c>
      <c r="G40" s="514">
        <f t="shared" ref="G40:AI40" si="23">IF(G7=0,0,G41+G42)</f>
        <v>5000</v>
      </c>
      <c r="H40" s="514">
        <f t="shared" si="23"/>
        <v>5000</v>
      </c>
      <c r="I40" s="514">
        <f t="shared" si="23"/>
        <v>5000</v>
      </c>
      <c r="J40" s="514">
        <f t="shared" si="23"/>
        <v>5000</v>
      </c>
      <c r="K40" s="514">
        <f t="shared" si="23"/>
        <v>5000</v>
      </c>
      <c r="L40" s="514">
        <f t="shared" si="23"/>
        <v>5000</v>
      </c>
      <c r="M40" s="514">
        <f t="shared" si="23"/>
        <v>5000</v>
      </c>
      <c r="N40" s="514">
        <f t="shared" si="23"/>
        <v>5000</v>
      </c>
      <c r="O40" s="514">
        <f t="shared" si="23"/>
        <v>5000</v>
      </c>
      <c r="P40" s="514">
        <f t="shared" si="23"/>
        <v>5000</v>
      </c>
      <c r="Q40" s="514">
        <f t="shared" si="23"/>
        <v>5000</v>
      </c>
      <c r="R40" s="514">
        <f t="shared" si="23"/>
        <v>5000</v>
      </c>
      <c r="S40" s="514">
        <f t="shared" si="23"/>
        <v>5000</v>
      </c>
      <c r="T40" s="514">
        <f t="shared" si="23"/>
        <v>5000</v>
      </c>
      <c r="U40" s="514">
        <f t="shared" si="23"/>
        <v>5000</v>
      </c>
      <c r="V40" s="514">
        <f t="shared" si="23"/>
        <v>5000</v>
      </c>
      <c r="W40" s="514">
        <f t="shared" si="23"/>
        <v>5000</v>
      </c>
      <c r="X40" s="514">
        <f t="shared" si="23"/>
        <v>5000</v>
      </c>
      <c r="Y40" s="514">
        <f t="shared" si="23"/>
        <v>5000</v>
      </c>
      <c r="Z40" s="514">
        <f t="shared" si="23"/>
        <v>5000</v>
      </c>
      <c r="AA40" s="514">
        <f t="shared" si="23"/>
        <v>5000</v>
      </c>
      <c r="AB40" s="514">
        <f t="shared" si="23"/>
        <v>5000</v>
      </c>
      <c r="AC40" s="514">
        <f t="shared" si="23"/>
        <v>5000</v>
      </c>
      <c r="AD40" s="514">
        <f t="shared" si="23"/>
        <v>5000</v>
      </c>
      <c r="AE40" s="514">
        <f t="shared" si="23"/>
        <v>5000</v>
      </c>
      <c r="AF40" s="514">
        <f t="shared" si="23"/>
        <v>5000</v>
      </c>
      <c r="AG40" s="514">
        <f t="shared" si="23"/>
        <v>5000</v>
      </c>
      <c r="AH40" s="514">
        <f t="shared" si="23"/>
        <v>5000</v>
      </c>
      <c r="AI40" s="514">
        <f t="shared" si="23"/>
        <v>5000</v>
      </c>
    </row>
    <row r="41" spans="1:35" hidden="1" x14ac:dyDescent="0.2">
      <c r="A41" s="512" t="s">
        <v>26</v>
      </c>
      <c r="B41" s="512"/>
      <c r="C41" s="512"/>
      <c r="D41" s="512"/>
      <c r="E41" s="512"/>
      <c r="F41" s="514">
        <v>1000</v>
      </c>
      <c r="G41" s="514">
        <v>1000</v>
      </c>
      <c r="H41" s="514">
        <v>1000</v>
      </c>
      <c r="I41" s="514">
        <v>1000</v>
      </c>
      <c r="J41" s="514">
        <v>1000</v>
      </c>
      <c r="K41" s="514">
        <v>1000</v>
      </c>
      <c r="L41" s="514">
        <v>1000</v>
      </c>
      <c r="M41" s="514">
        <v>1000</v>
      </c>
      <c r="N41" s="514">
        <v>1000</v>
      </c>
      <c r="O41" s="514">
        <v>1000</v>
      </c>
      <c r="P41" s="514">
        <v>1000</v>
      </c>
      <c r="Q41" s="514">
        <v>1000</v>
      </c>
      <c r="R41" s="514">
        <v>1000</v>
      </c>
      <c r="S41" s="514">
        <v>1000</v>
      </c>
      <c r="T41" s="514">
        <v>1000</v>
      </c>
      <c r="U41" s="514">
        <v>1000</v>
      </c>
      <c r="V41" s="514">
        <v>1000</v>
      </c>
      <c r="W41" s="514">
        <v>1000</v>
      </c>
      <c r="X41" s="514">
        <v>1000</v>
      </c>
      <c r="Y41" s="514">
        <v>1000</v>
      </c>
      <c r="Z41" s="514">
        <v>1000</v>
      </c>
      <c r="AA41" s="514">
        <v>1000</v>
      </c>
      <c r="AB41" s="514">
        <v>1000</v>
      </c>
      <c r="AC41" s="514">
        <v>1000</v>
      </c>
      <c r="AD41" s="514">
        <v>1000</v>
      </c>
      <c r="AE41" s="514">
        <v>1000</v>
      </c>
      <c r="AF41" s="514">
        <v>1000</v>
      </c>
      <c r="AG41" s="514">
        <v>1000</v>
      </c>
      <c r="AH41" s="514">
        <v>1000</v>
      </c>
      <c r="AI41" s="514">
        <v>1000</v>
      </c>
    </row>
    <row r="42" spans="1:35" hidden="1" x14ac:dyDescent="0.2">
      <c r="A42" s="512" t="s">
        <v>27</v>
      </c>
      <c r="B42" s="512"/>
      <c r="C42" s="512"/>
      <c r="D42" s="512"/>
      <c r="E42" s="512"/>
      <c r="F42" s="514">
        <v>4000</v>
      </c>
      <c r="G42" s="514">
        <v>4000</v>
      </c>
      <c r="H42" s="514">
        <v>4000</v>
      </c>
      <c r="I42" s="514">
        <v>4000</v>
      </c>
      <c r="J42" s="514">
        <v>4000</v>
      </c>
      <c r="K42" s="514">
        <v>4000</v>
      </c>
      <c r="L42" s="514">
        <v>4000</v>
      </c>
      <c r="M42" s="514">
        <v>4000</v>
      </c>
      <c r="N42" s="514">
        <v>4000</v>
      </c>
      <c r="O42" s="514">
        <v>4000</v>
      </c>
      <c r="P42" s="514">
        <v>4000</v>
      </c>
      <c r="Q42" s="514">
        <v>4000</v>
      </c>
      <c r="R42" s="514">
        <v>4000</v>
      </c>
      <c r="S42" s="514">
        <v>4000</v>
      </c>
      <c r="T42" s="514">
        <v>4000</v>
      </c>
      <c r="U42" s="514">
        <v>4000</v>
      </c>
      <c r="V42" s="514">
        <v>4000</v>
      </c>
      <c r="W42" s="514">
        <v>4000</v>
      </c>
      <c r="X42" s="514">
        <v>4000</v>
      </c>
      <c r="Y42" s="514">
        <v>4000</v>
      </c>
      <c r="Z42" s="514">
        <v>4000</v>
      </c>
      <c r="AA42" s="514">
        <v>4000</v>
      </c>
      <c r="AB42" s="514">
        <v>4000</v>
      </c>
      <c r="AC42" s="514">
        <v>4000</v>
      </c>
      <c r="AD42" s="514">
        <v>4000</v>
      </c>
      <c r="AE42" s="514">
        <v>4000</v>
      </c>
      <c r="AF42" s="514">
        <v>4000</v>
      </c>
      <c r="AG42" s="514">
        <v>4000</v>
      </c>
      <c r="AH42" s="514">
        <v>4000</v>
      </c>
      <c r="AI42" s="514">
        <v>4000</v>
      </c>
    </row>
    <row r="43" spans="1:35" x14ac:dyDescent="0.2">
      <c r="A43" s="512" t="s">
        <v>111</v>
      </c>
      <c r="B43" s="512"/>
      <c r="C43" s="512"/>
      <c r="D43" s="512"/>
      <c r="E43" s="512"/>
      <c r="F43" s="514">
        <f>IF(F7=0,0,5000)</f>
        <v>5000</v>
      </c>
      <c r="G43" s="514">
        <f t="shared" ref="G43:AI43" si="24">IF(G7=0,0,5000)</f>
        <v>5000</v>
      </c>
      <c r="H43" s="514">
        <f t="shared" si="24"/>
        <v>5000</v>
      </c>
      <c r="I43" s="514">
        <f t="shared" si="24"/>
        <v>5000</v>
      </c>
      <c r="J43" s="514">
        <f t="shared" si="24"/>
        <v>5000</v>
      </c>
      <c r="K43" s="514">
        <f t="shared" si="24"/>
        <v>5000</v>
      </c>
      <c r="L43" s="514">
        <f t="shared" si="24"/>
        <v>5000</v>
      </c>
      <c r="M43" s="514">
        <f t="shared" si="24"/>
        <v>5000</v>
      </c>
      <c r="N43" s="514">
        <f t="shared" si="24"/>
        <v>5000</v>
      </c>
      <c r="O43" s="514">
        <f t="shared" si="24"/>
        <v>5000</v>
      </c>
      <c r="P43" s="514">
        <f t="shared" si="24"/>
        <v>5000</v>
      </c>
      <c r="Q43" s="514">
        <f t="shared" si="24"/>
        <v>5000</v>
      </c>
      <c r="R43" s="514">
        <f t="shared" si="24"/>
        <v>5000</v>
      </c>
      <c r="S43" s="514">
        <f t="shared" si="24"/>
        <v>5000</v>
      </c>
      <c r="T43" s="514">
        <f t="shared" si="24"/>
        <v>5000</v>
      </c>
      <c r="U43" s="514">
        <f t="shared" si="24"/>
        <v>5000</v>
      </c>
      <c r="V43" s="514">
        <f t="shared" si="24"/>
        <v>5000</v>
      </c>
      <c r="W43" s="514">
        <f t="shared" si="24"/>
        <v>5000</v>
      </c>
      <c r="X43" s="514">
        <f t="shared" si="24"/>
        <v>5000</v>
      </c>
      <c r="Y43" s="514">
        <f t="shared" si="24"/>
        <v>5000</v>
      </c>
      <c r="Z43" s="514">
        <f t="shared" si="24"/>
        <v>5000</v>
      </c>
      <c r="AA43" s="514">
        <f t="shared" si="24"/>
        <v>5000</v>
      </c>
      <c r="AB43" s="514">
        <f t="shared" si="24"/>
        <v>5000</v>
      </c>
      <c r="AC43" s="514">
        <f t="shared" si="24"/>
        <v>5000</v>
      </c>
      <c r="AD43" s="514">
        <f t="shared" si="24"/>
        <v>5000</v>
      </c>
      <c r="AE43" s="514">
        <f t="shared" si="24"/>
        <v>5000</v>
      </c>
      <c r="AF43" s="514">
        <f t="shared" si="24"/>
        <v>5000</v>
      </c>
      <c r="AG43" s="514">
        <f t="shared" si="24"/>
        <v>5000</v>
      </c>
      <c r="AH43" s="514">
        <f t="shared" si="24"/>
        <v>5000</v>
      </c>
      <c r="AI43" s="514">
        <f t="shared" si="24"/>
        <v>5000</v>
      </c>
    </row>
    <row r="44" spans="1:35" x14ac:dyDescent="0.2">
      <c r="A44" s="512" t="s">
        <v>29</v>
      </c>
      <c r="B44" s="512"/>
      <c r="C44" s="512"/>
      <c r="D44" s="512"/>
      <c r="E44" s="512"/>
      <c r="F44" s="514">
        <f>IF(F7=0,0,3000)</f>
        <v>3000</v>
      </c>
      <c r="G44" s="514">
        <f t="shared" ref="G44:AI44" si="25">IF(G7=0,0,3000)</f>
        <v>3000</v>
      </c>
      <c r="H44" s="514">
        <f t="shared" si="25"/>
        <v>3000</v>
      </c>
      <c r="I44" s="514">
        <f t="shared" si="25"/>
        <v>3000</v>
      </c>
      <c r="J44" s="514">
        <f t="shared" si="25"/>
        <v>3000</v>
      </c>
      <c r="K44" s="514">
        <f t="shared" si="25"/>
        <v>3000</v>
      </c>
      <c r="L44" s="514">
        <f t="shared" si="25"/>
        <v>3000</v>
      </c>
      <c r="M44" s="514">
        <f t="shared" si="25"/>
        <v>3000</v>
      </c>
      <c r="N44" s="514">
        <f t="shared" si="25"/>
        <v>3000</v>
      </c>
      <c r="O44" s="514">
        <f t="shared" si="25"/>
        <v>3000</v>
      </c>
      <c r="P44" s="514">
        <f t="shared" si="25"/>
        <v>3000</v>
      </c>
      <c r="Q44" s="514">
        <f t="shared" si="25"/>
        <v>3000</v>
      </c>
      <c r="R44" s="514">
        <f t="shared" si="25"/>
        <v>3000</v>
      </c>
      <c r="S44" s="514">
        <f t="shared" si="25"/>
        <v>3000</v>
      </c>
      <c r="T44" s="514">
        <f t="shared" si="25"/>
        <v>3000</v>
      </c>
      <c r="U44" s="514">
        <f t="shared" si="25"/>
        <v>3000</v>
      </c>
      <c r="V44" s="514">
        <f t="shared" si="25"/>
        <v>3000</v>
      </c>
      <c r="W44" s="514">
        <f t="shared" si="25"/>
        <v>3000</v>
      </c>
      <c r="X44" s="514">
        <f t="shared" si="25"/>
        <v>3000</v>
      </c>
      <c r="Y44" s="514">
        <f t="shared" si="25"/>
        <v>3000</v>
      </c>
      <c r="Z44" s="514">
        <f t="shared" si="25"/>
        <v>3000</v>
      </c>
      <c r="AA44" s="514">
        <f t="shared" si="25"/>
        <v>3000</v>
      </c>
      <c r="AB44" s="514">
        <f t="shared" si="25"/>
        <v>3000</v>
      </c>
      <c r="AC44" s="514">
        <f t="shared" si="25"/>
        <v>3000</v>
      </c>
      <c r="AD44" s="514">
        <f t="shared" si="25"/>
        <v>3000</v>
      </c>
      <c r="AE44" s="514">
        <f t="shared" si="25"/>
        <v>3000</v>
      </c>
      <c r="AF44" s="514">
        <f t="shared" si="25"/>
        <v>3000</v>
      </c>
      <c r="AG44" s="514">
        <f t="shared" si="25"/>
        <v>3000</v>
      </c>
      <c r="AH44" s="514">
        <f t="shared" si="25"/>
        <v>3000</v>
      </c>
      <c r="AI44" s="514">
        <f t="shared" si="25"/>
        <v>3000</v>
      </c>
    </row>
    <row r="45" spans="1:35" x14ac:dyDescent="0.2">
      <c r="A45" s="512" t="s">
        <v>97</v>
      </c>
      <c r="B45" s="512"/>
      <c r="C45" s="512"/>
      <c r="D45" s="512"/>
      <c r="E45" s="512"/>
      <c r="F45" s="514">
        <f>IF(F7=0,0,10000)</f>
        <v>10000</v>
      </c>
      <c r="G45" s="514">
        <f t="shared" ref="G45:AI45" si="26">IF(G7=0,0,10000)</f>
        <v>10000</v>
      </c>
      <c r="H45" s="514">
        <f t="shared" si="26"/>
        <v>10000</v>
      </c>
      <c r="I45" s="514">
        <f t="shared" si="26"/>
        <v>10000</v>
      </c>
      <c r="J45" s="514">
        <f t="shared" si="26"/>
        <v>10000</v>
      </c>
      <c r="K45" s="514">
        <f t="shared" si="26"/>
        <v>10000</v>
      </c>
      <c r="L45" s="514">
        <f t="shared" si="26"/>
        <v>10000</v>
      </c>
      <c r="M45" s="514">
        <f t="shared" si="26"/>
        <v>10000</v>
      </c>
      <c r="N45" s="514">
        <f t="shared" si="26"/>
        <v>10000</v>
      </c>
      <c r="O45" s="514">
        <f t="shared" si="26"/>
        <v>10000</v>
      </c>
      <c r="P45" s="514">
        <f t="shared" si="26"/>
        <v>10000</v>
      </c>
      <c r="Q45" s="514">
        <f t="shared" si="26"/>
        <v>10000</v>
      </c>
      <c r="R45" s="514">
        <f t="shared" si="26"/>
        <v>10000</v>
      </c>
      <c r="S45" s="514">
        <f t="shared" si="26"/>
        <v>10000</v>
      </c>
      <c r="T45" s="514">
        <f t="shared" si="26"/>
        <v>10000</v>
      </c>
      <c r="U45" s="514">
        <f t="shared" si="26"/>
        <v>10000</v>
      </c>
      <c r="V45" s="514">
        <f t="shared" si="26"/>
        <v>10000</v>
      </c>
      <c r="W45" s="514">
        <f t="shared" si="26"/>
        <v>10000</v>
      </c>
      <c r="X45" s="514">
        <f t="shared" si="26"/>
        <v>10000</v>
      </c>
      <c r="Y45" s="514">
        <f t="shared" si="26"/>
        <v>10000</v>
      </c>
      <c r="Z45" s="514">
        <f t="shared" si="26"/>
        <v>10000</v>
      </c>
      <c r="AA45" s="514">
        <f t="shared" si="26"/>
        <v>10000</v>
      </c>
      <c r="AB45" s="514">
        <f t="shared" si="26"/>
        <v>10000</v>
      </c>
      <c r="AC45" s="514">
        <f t="shared" si="26"/>
        <v>10000</v>
      </c>
      <c r="AD45" s="514">
        <f t="shared" si="26"/>
        <v>10000</v>
      </c>
      <c r="AE45" s="514">
        <f t="shared" si="26"/>
        <v>10000</v>
      </c>
      <c r="AF45" s="514">
        <f t="shared" si="26"/>
        <v>10000</v>
      </c>
      <c r="AG45" s="514">
        <f t="shared" si="26"/>
        <v>10000</v>
      </c>
      <c r="AH45" s="514">
        <f t="shared" si="26"/>
        <v>10000</v>
      </c>
      <c r="AI45" s="514">
        <f t="shared" si="26"/>
        <v>10000</v>
      </c>
    </row>
    <row r="46" spans="1:35" x14ac:dyDescent="0.2">
      <c r="A46" s="512" t="s">
        <v>44</v>
      </c>
      <c r="B46" s="512"/>
      <c r="C46" s="512" t="s">
        <v>30</v>
      </c>
      <c r="D46" s="515">
        <v>1.6E-2</v>
      </c>
      <c r="E46" s="512"/>
      <c r="F46" s="514">
        <f>IF(F7=0,0,F13*$D46)</f>
        <v>6494.4000000000005</v>
      </c>
      <c r="G46" s="514">
        <f t="shared" ref="G46:AI46" si="27">IF(G7=0,0,G13*$D46)</f>
        <v>6494.4000000000005</v>
      </c>
      <c r="H46" s="514">
        <f t="shared" si="27"/>
        <v>6494.4000000000005</v>
      </c>
      <c r="I46" s="514">
        <f t="shared" si="27"/>
        <v>6494.4000000000005</v>
      </c>
      <c r="J46" s="514">
        <f t="shared" si="27"/>
        <v>6494.4000000000005</v>
      </c>
      <c r="K46" s="514">
        <f t="shared" si="27"/>
        <v>6494.4000000000005</v>
      </c>
      <c r="L46" s="514">
        <f t="shared" si="27"/>
        <v>6494.4000000000005</v>
      </c>
      <c r="M46" s="514">
        <f t="shared" si="27"/>
        <v>6494.4000000000005</v>
      </c>
      <c r="N46" s="514">
        <f t="shared" si="27"/>
        <v>6494.4000000000005</v>
      </c>
      <c r="O46" s="514">
        <f t="shared" si="27"/>
        <v>6494.4000000000005</v>
      </c>
      <c r="P46" s="514">
        <f t="shared" si="27"/>
        <v>6494.4000000000005</v>
      </c>
      <c r="Q46" s="514">
        <f t="shared" si="27"/>
        <v>6494.4000000000005</v>
      </c>
      <c r="R46" s="514">
        <f t="shared" si="27"/>
        <v>6494.4000000000005</v>
      </c>
      <c r="S46" s="514">
        <f t="shared" si="27"/>
        <v>6494.4000000000005</v>
      </c>
      <c r="T46" s="514">
        <f t="shared" si="27"/>
        <v>6494.4000000000005</v>
      </c>
      <c r="U46" s="514">
        <f t="shared" si="27"/>
        <v>6494.4000000000005</v>
      </c>
      <c r="V46" s="514">
        <f t="shared" si="27"/>
        <v>6494.4000000000005</v>
      </c>
      <c r="W46" s="514">
        <f t="shared" si="27"/>
        <v>6494.4000000000005</v>
      </c>
      <c r="X46" s="514">
        <f t="shared" si="27"/>
        <v>6494.4000000000005</v>
      </c>
      <c r="Y46" s="514">
        <f t="shared" si="27"/>
        <v>6494.4000000000005</v>
      </c>
      <c r="Z46" s="514">
        <f t="shared" si="27"/>
        <v>6494.4000000000005</v>
      </c>
      <c r="AA46" s="514">
        <f t="shared" si="27"/>
        <v>6494.4000000000005</v>
      </c>
      <c r="AB46" s="514">
        <f t="shared" si="27"/>
        <v>6494.4000000000005</v>
      </c>
      <c r="AC46" s="514">
        <f t="shared" si="27"/>
        <v>6494.4000000000005</v>
      </c>
      <c r="AD46" s="514">
        <f t="shared" si="27"/>
        <v>6494.4000000000005</v>
      </c>
      <c r="AE46" s="514">
        <f t="shared" si="27"/>
        <v>6494.4000000000005</v>
      </c>
      <c r="AF46" s="514">
        <f t="shared" si="27"/>
        <v>6494.4000000000005</v>
      </c>
      <c r="AG46" s="514">
        <f t="shared" si="27"/>
        <v>6494.4000000000005</v>
      </c>
      <c r="AH46" s="514">
        <f t="shared" si="27"/>
        <v>6494.4000000000005</v>
      </c>
      <c r="AI46" s="514">
        <f t="shared" si="27"/>
        <v>6494.4000000000005</v>
      </c>
    </row>
    <row r="47" spans="1:35" x14ac:dyDescent="0.2">
      <c r="A47" s="512" t="s">
        <v>31</v>
      </c>
      <c r="B47" s="512"/>
      <c r="C47" s="512" t="s">
        <v>30</v>
      </c>
      <c r="D47" s="515">
        <v>5.1999999999999998E-3</v>
      </c>
      <c r="E47" s="512"/>
      <c r="F47" s="514">
        <f>IF(F7=0,0,F14*$D47)</f>
        <v>4285.32</v>
      </c>
      <c r="G47" s="514">
        <f t="shared" ref="G47:AI47" si="28">IF(G7=0,0,G14*$D47)</f>
        <v>4285.32</v>
      </c>
      <c r="H47" s="514">
        <f t="shared" si="28"/>
        <v>4285.32</v>
      </c>
      <c r="I47" s="514">
        <f t="shared" si="28"/>
        <v>4285.32</v>
      </c>
      <c r="J47" s="514">
        <f t="shared" si="28"/>
        <v>4285.32</v>
      </c>
      <c r="K47" s="514">
        <f t="shared" si="28"/>
        <v>4285.32</v>
      </c>
      <c r="L47" s="514">
        <f t="shared" si="28"/>
        <v>4285.32</v>
      </c>
      <c r="M47" s="514">
        <f t="shared" si="28"/>
        <v>4285.32</v>
      </c>
      <c r="N47" s="514">
        <f t="shared" si="28"/>
        <v>4285.32</v>
      </c>
      <c r="O47" s="514">
        <f t="shared" si="28"/>
        <v>4285.32</v>
      </c>
      <c r="P47" s="514">
        <f t="shared" si="28"/>
        <v>4285.32</v>
      </c>
      <c r="Q47" s="514">
        <f t="shared" si="28"/>
        <v>4285.32</v>
      </c>
      <c r="R47" s="514">
        <f t="shared" si="28"/>
        <v>4285.32</v>
      </c>
      <c r="S47" s="514">
        <f t="shared" si="28"/>
        <v>4285.32</v>
      </c>
      <c r="T47" s="514">
        <f t="shared" si="28"/>
        <v>4285.32</v>
      </c>
      <c r="U47" s="514">
        <f t="shared" si="28"/>
        <v>4285.32</v>
      </c>
      <c r="V47" s="514">
        <f t="shared" si="28"/>
        <v>4285.32</v>
      </c>
      <c r="W47" s="514">
        <f t="shared" si="28"/>
        <v>4285.32</v>
      </c>
      <c r="X47" s="514">
        <f t="shared" si="28"/>
        <v>4285.32</v>
      </c>
      <c r="Y47" s="514">
        <f t="shared" si="28"/>
        <v>4285.32</v>
      </c>
      <c r="Z47" s="514">
        <f t="shared" si="28"/>
        <v>4285.32</v>
      </c>
      <c r="AA47" s="514">
        <f t="shared" si="28"/>
        <v>4285.32</v>
      </c>
      <c r="AB47" s="514">
        <f t="shared" si="28"/>
        <v>4285.32</v>
      </c>
      <c r="AC47" s="514">
        <f t="shared" si="28"/>
        <v>4285.32</v>
      </c>
      <c r="AD47" s="514">
        <f t="shared" si="28"/>
        <v>4285.32</v>
      </c>
      <c r="AE47" s="514">
        <f t="shared" si="28"/>
        <v>4285.32</v>
      </c>
      <c r="AF47" s="514">
        <f t="shared" si="28"/>
        <v>4285.32</v>
      </c>
      <c r="AG47" s="514">
        <f t="shared" si="28"/>
        <v>4285.32</v>
      </c>
      <c r="AH47" s="514">
        <f t="shared" si="28"/>
        <v>4285.32</v>
      </c>
      <c r="AI47" s="514">
        <f t="shared" si="28"/>
        <v>4285.32</v>
      </c>
    </row>
    <row r="48" spans="1:35" x14ac:dyDescent="0.2">
      <c r="A48" s="512" t="s">
        <v>91</v>
      </c>
      <c r="B48" s="512"/>
      <c r="C48" s="512"/>
      <c r="D48" s="512"/>
      <c r="E48" s="512"/>
      <c r="F48" s="514">
        <f>IF(F7=0,0,7000)</f>
        <v>7000</v>
      </c>
      <c r="G48" s="514">
        <f t="shared" ref="G48:AI48" si="29">IF(G7=0,0,7000)</f>
        <v>7000</v>
      </c>
      <c r="H48" s="514">
        <f t="shared" si="29"/>
        <v>7000</v>
      </c>
      <c r="I48" s="514">
        <f t="shared" si="29"/>
        <v>7000</v>
      </c>
      <c r="J48" s="514">
        <f t="shared" si="29"/>
        <v>7000</v>
      </c>
      <c r="K48" s="514">
        <f t="shared" si="29"/>
        <v>7000</v>
      </c>
      <c r="L48" s="514">
        <f t="shared" si="29"/>
        <v>7000</v>
      </c>
      <c r="M48" s="514">
        <f t="shared" si="29"/>
        <v>7000</v>
      </c>
      <c r="N48" s="514">
        <f t="shared" si="29"/>
        <v>7000</v>
      </c>
      <c r="O48" s="514">
        <f t="shared" si="29"/>
        <v>7000</v>
      </c>
      <c r="P48" s="514">
        <f t="shared" si="29"/>
        <v>7000</v>
      </c>
      <c r="Q48" s="514">
        <f t="shared" si="29"/>
        <v>7000</v>
      </c>
      <c r="R48" s="514">
        <f t="shared" si="29"/>
        <v>7000</v>
      </c>
      <c r="S48" s="514">
        <f t="shared" si="29"/>
        <v>7000</v>
      </c>
      <c r="T48" s="514">
        <f t="shared" si="29"/>
        <v>7000</v>
      </c>
      <c r="U48" s="514">
        <f t="shared" si="29"/>
        <v>7000</v>
      </c>
      <c r="V48" s="514">
        <f t="shared" si="29"/>
        <v>7000</v>
      </c>
      <c r="W48" s="514">
        <f t="shared" si="29"/>
        <v>7000</v>
      </c>
      <c r="X48" s="514">
        <f t="shared" si="29"/>
        <v>7000</v>
      </c>
      <c r="Y48" s="514">
        <f t="shared" si="29"/>
        <v>7000</v>
      </c>
      <c r="Z48" s="514">
        <f t="shared" si="29"/>
        <v>7000</v>
      </c>
      <c r="AA48" s="514">
        <f t="shared" si="29"/>
        <v>7000</v>
      </c>
      <c r="AB48" s="514">
        <f t="shared" si="29"/>
        <v>7000</v>
      </c>
      <c r="AC48" s="514">
        <f t="shared" si="29"/>
        <v>7000</v>
      </c>
      <c r="AD48" s="514">
        <f t="shared" si="29"/>
        <v>7000</v>
      </c>
      <c r="AE48" s="514">
        <f t="shared" si="29"/>
        <v>7000</v>
      </c>
      <c r="AF48" s="514">
        <f t="shared" si="29"/>
        <v>7000</v>
      </c>
      <c r="AG48" s="514">
        <f t="shared" si="29"/>
        <v>7000</v>
      </c>
      <c r="AH48" s="514">
        <f t="shared" si="29"/>
        <v>7000</v>
      </c>
      <c r="AI48" s="514">
        <f t="shared" si="29"/>
        <v>7000</v>
      </c>
    </row>
    <row r="49" spans="1:36" x14ac:dyDescent="0.2">
      <c r="A49" s="512" t="s">
        <v>32</v>
      </c>
      <c r="B49" s="512"/>
      <c r="C49" s="512"/>
      <c r="D49" s="512"/>
      <c r="E49" s="512"/>
      <c r="F49" s="514">
        <f>IF(F7=0,0,1000)</f>
        <v>1000</v>
      </c>
      <c r="G49" s="514">
        <f t="shared" ref="G49:AI49" si="30">IF(G7=0,0,1000)</f>
        <v>1000</v>
      </c>
      <c r="H49" s="514">
        <f t="shared" si="30"/>
        <v>1000</v>
      </c>
      <c r="I49" s="514">
        <f t="shared" si="30"/>
        <v>1000</v>
      </c>
      <c r="J49" s="514">
        <f t="shared" si="30"/>
        <v>1000</v>
      </c>
      <c r="K49" s="514">
        <f t="shared" si="30"/>
        <v>1000</v>
      </c>
      <c r="L49" s="514">
        <f t="shared" si="30"/>
        <v>1000</v>
      </c>
      <c r="M49" s="514">
        <f t="shared" si="30"/>
        <v>1000</v>
      </c>
      <c r="N49" s="514">
        <f t="shared" si="30"/>
        <v>1000</v>
      </c>
      <c r="O49" s="514">
        <f t="shared" si="30"/>
        <v>1000</v>
      </c>
      <c r="P49" s="514">
        <f t="shared" si="30"/>
        <v>1000</v>
      </c>
      <c r="Q49" s="514">
        <f t="shared" si="30"/>
        <v>1000</v>
      </c>
      <c r="R49" s="514">
        <f t="shared" si="30"/>
        <v>1000</v>
      </c>
      <c r="S49" s="514">
        <f t="shared" si="30"/>
        <v>1000</v>
      </c>
      <c r="T49" s="514">
        <f t="shared" si="30"/>
        <v>1000</v>
      </c>
      <c r="U49" s="514">
        <f t="shared" si="30"/>
        <v>1000</v>
      </c>
      <c r="V49" s="514">
        <f t="shared" si="30"/>
        <v>1000</v>
      </c>
      <c r="W49" s="514">
        <f t="shared" si="30"/>
        <v>1000</v>
      </c>
      <c r="X49" s="514">
        <f t="shared" si="30"/>
        <v>1000</v>
      </c>
      <c r="Y49" s="514">
        <f t="shared" si="30"/>
        <v>1000</v>
      </c>
      <c r="Z49" s="514">
        <f t="shared" si="30"/>
        <v>1000</v>
      </c>
      <c r="AA49" s="514">
        <f t="shared" si="30"/>
        <v>1000</v>
      </c>
      <c r="AB49" s="514">
        <f t="shared" si="30"/>
        <v>1000</v>
      </c>
      <c r="AC49" s="514">
        <f t="shared" si="30"/>
        <v>1000</v>
      </c>
      <c r="AD49" s="514">
        <f t="shared" si="30"/>
        <v>1000</v>
      </c>
      <c r="AE49" s="514">
        <f t="shared" si="30"/>
        <v>1000</v>
      </c>
      <c r="AF49" s="514">
        <f t="shared" si="30"/>
        <v>1000</v>
      </c>
      <c r="AG49" s="514">
        <f t="shared" si="30"/>
        <v>1000</v>
      </c>
      <c r="AH49" s="514">
        <f t="shared" si="30"/>
        <v>1000</v>
      </c>
      <c r="AI49" s="514">
        <f t="shared" si="30"/>
        <v>1000</v>
      </c>
    </row>
    <row r="50" spans="1:36" hidden="1" x14ac:dyDescent="0.2">
      <c r="A50" s="507"/>
      <c r="B50" s="512"/>
      <c r="C50" s="512"/>
      <c r="D50" s="512"/>
      <c r="E50" s="512"/>
      <c r="F50" s="514">
        <v>0</v>
      </c>
      <c r="G50" s="514">
        <v>0</v>
      </c>
      <c r="H50" s="514">
        <v>0</v>
      </c>
      <c r="I50" s="514">
        <v>0</v>
      </c>
      <c r="J50" s="514">
        <v>0</v>
      </c>
      <c r="K50" s="514">
        <v>0</v>
      </c>
      <c r="L50" s="514">
        <v>0</v>
      </c>
      <c r="M50" s="514">
        <v>0</v>
      </c>
      <c r="N50" s="514">
        <v>0</v>
      </c>
      <c r="O50" s="514">
        <v>0</v>
      </c>
      <c r="P50" s="514">
        <v>0</v>
      </c>
      <c r="Q50" s="514">
        <v>0</v>
      </c>
      <c r="R50" s="514">
        <v>0</v>
      </c>
      <c r="S50" s="514">
        <v>0</v>
      </c>
      <c r="T50" s="514">
        <v>0</v>
      </c>
      <c r="U50" s="514">
        <v>0</v>
      </c>
      <c r="V50" s="514">
        <v>0</v>
      </c>
      <c r="W50" s="514">
        <v>0</v>
      </c>
      <c r="X50" s="514">
        <v>0</v>
      </c>
      <c r="Y50" s="514">
        <v>0</v>
      </c>
      <c r="Z50" s="514">
        <v>0</v>
      </c>
      <c r="AA50" s="514">
        <v>0</v>
      </c>
      <c r="AB50" s="514">
        <v>0</v>
      </c>
      <c r="AC50" s="514">
        <v>0</v>
      </c>
      <c r="AD50" s="514">
        <v>0</v>
      </c>
      <c r="AE50" s="514">
        <v>0</v>
      </c>
      <c r="AF50" s="514">
        <v>0</v>
      </c>
      <c r="AG50" s="514">
        <v>0</v>
      </c>
      <c r="AH50" s="514">
        <v>0</v>
      </c>
      <c r="AI50" s="514">
        <v>0</v>
      </c>
    </row>
    <row r="51" spans="1:36" x14ac:dyDescent="0.2">
      <c r="A51" s="512" t="s">
        <v>33</v>
      </c>
      <c r="B51" s="512"/>
      <c r="C51" s="512" t="s">
        <v>34</v>
      </c>
      <c r="D51" s="515"/>
      <c r="E51" s="512"/>
      <c r="F51" s="514">
        <v>0</v>
      </c>
      <c r="G51" s="514">
        <v>0</v>
      </c>
      <c r="H51" s="514">
        <v>0</v>
      </c>
      <c r="I51" s="514">
        <v>0</v>
      </c>
      <c r="J51" s="514">
        <v>0</v>
      </c>
      <c r="K51" s="514">
        <v>0</v>
      </c>
      <c r="L51" s="514">
        <v>0</v>
      </c>
      <c r="M51" s="514">
        <v>0</v>
      </c>
      <c r="N51" s="514">
        <v>0</v>
      </c>
      <c r="O51" s="514">
        <v>0</v>
      </c>
      <c r="P51" s="514">
        <v>0</v>
      </c>
      <c r="Q51" s="514">
        <v>0</v>
      </c>
      <c r="R51" s="514">
        <v>0</v>
      </c>
      <c r="S51" s="514">
        <v>0</v>
      </c>
      <c r="T51" s="514">
        <v>0</v>
      </c>
      <c r="U51" s="514">
        <v>0</v>
      </c>
      <c r="V51" s="514">
        <v>0</v>
      </c>
      <c r="W51" s="514">
        <v>0</v>
      </c>
      <c r="X51" s="514">
        <v>0</v>
      </c>
      <c r="Y51" s="514">
        <v>0</v>
      </c>
      <c r="Z51" s="514">
        <v>0</v>
      </c>
      <c r="AA51" s="514">
        <v>0</v>
      </c>
      <c r="AB51" s="514">
        <v>0</v>
      </c>
      <c r="AC51" s="514">
        <v>0</v>
      </c>
      <c r="AD51" s="514">
        <v>0</v>
      </c>
      <c r="AE51" s="514">
        <v>0</v>
      </c>
      <c r="AF51" s="514">
        <v>0</v>
      </c>
      <c r="AG51" s="514">
        <v>0</v>
      </c>
      <c r="AH51" s="514">
        <v>0</v>
      </c>
      <c r="AI51" s="514">
        <v>0</v>
      </c>
    </row>
    <row r="52" spans="1:36" hidden="1" x14ac:dyDescent="0.2">
      <c r="A52" s="512"/>
      <c r="B52" s="512"/>
      <c r="C52" s="512"/>
      <c r="D52" s="512"/>
      <c r="E52" s="512"/>
      <c r="F52" s="514">
        <v>0</v>
      </c>
      <c r="G52" s="514">
        <v>0</v>
      </c>
      <c r="H52" s="514"/>
      <c r="I52" s="514"/>
      <c r="J52" s="514"/>
      <c r="K52" s="514"/>
      <c r="L52" s="514"/>
      <c r="M52" s="514"/>
      <c r="N52" s="514"/>
      <c r="O52" s="514"/>
      <c r="P52" s="514"/>
      <c r="Q52" s="514"/>
      <c r="R52" s="514"/>
      <c r="S52" s="514"/>
      <c r="T52" s="514"/>
      <c r="U52" s="514"/>
      <c r="V52" s="514"/>
      <c r="W52" s="514"/>
      <c r="X52" s="514"/>
      <c r="Y52" s="514"/>
      <c r="Z52" s="514"/>
      <c r="AA52" s="514"/>
      <c r="AB52" s="514"/>
      <c r="AC52" s="514"/>
      <c r="AD52" s="514"/>
      <c r="AE52" s="514"/>
      <c r="AF52" s="514"/>
      <c r="AG52" s="514"/>
      <c r="AH52" s="514"/>
      <c r="AI52" s="514"/>
    </row>
    <row r="53" spans="1:36" hidden="1" x14ac:dyDescent="0.2">
      <c r="A53" s="507" t="s">
        <v>35</v>
      </c>
      <c r="B53" s="512"/>
      <c r="C53" s="512"/>
      <c r="D53" s="512"/>
      <c r="E53" s="512"/>
      <c r="F53" s="514">
        <v>0</v>
      </c>
      <c r="G53" s="514">
        <v>0</v>
      </c>
      <c r="H53" s="514">
        <v>0</v>
      </c>
      <c r="I53" s="514">
        <v>0</v>
      </c>
      <c r="J53" s="514">
        <v>0</v>
      </c>
      <c r="K53" s="514">
        <v>0</v>
      </c>
      <c r="L53" s="514">
        <v>0</v>
      </c>
      <c r="M53" s="514">
        <v>0</v>
      </c>
      <c r="N53" s="514">
        <v>0</v>
      </c>
      <c r="O53" s="514">
        <v>0</v>
      </c>
      <c r="P53" s="514">
        <v>0</v>
      </c>
      <c r="Q53" s="514">
        <v>0</v>
      </c>
      <c r="R53" s="514">
        <v>0</v>
      </c>
      <c r="S53" s="514">
        <v>0</v>
      </c>
      <c r="T53" s="514">
        <v>0</v>
      </c>
      <c r="U53" s="514">
        <v>0</v>
      </c>
      <c r="V53" s="514">
        <v>0</v>
      </c>
      <c r="W53" s="514">
        <v>0</v>
      </c>
      <c r="X53" s="514">
        <v>0</v>
      </c>
      <c r="Y53" s="514">
        <v>0</v>
      </c>
      <c r="Z53" s="514">
        <v>0</v>
      </c>
      <c r="AA53" s="514">
        <v>0</v>
      </c>
      <c r="AB53" s="514">
        <v>0</v>
      </c>
      <c r="AC53" s="514">
        <v>0</v>
      </c>
      <c r="AD53" s="514">
        <v>0</v>
      </c>
      <c r="AE53" s="514">
        <v>0</v>
      </c>
      <c r="AF53" s="514">
        <v>0</v>
      </c>
      <c r="AG53" s="514">
        <v>0</v>
      </c>
      <c r="AH53" s="514">
        <v>0</v>
      </c>
      <c r="AI53" s="514">
        <v>0</v>
      </c>
      <c r="AJ53" s="514"/>
    </row>
    <row r="54" spans="1:36" hidden="1" x14ac:dyDescent="0.2">
      <c r="A54" s="512"/>
      <c r="B54" s="512"/>
      <c r="C54" s="512"/>
      <c r="D54" s="512"/>
      <c r="E54" s="512"/>
      <c r="F54" s="512"/>
      <c r="G54" s="512"/>
      <c r="H54" s="512"/>
      <c r="I54" s="512"/>
      <c r="J54" s="512"/>
      <c r="K54" s="512"/>
      <c r="L54" s="512"/>
      <c r="M54" s="512"/>
      <c r="N54" s="512"/>
      <c r="O54" s="512"/>
      <c r="P54" s="512"/>
      <c r="Q54" s="512"/>
      <c r="R54" s="512"/>
      <c r="S54" s="512"/>
      <c r="T54" s="512"/>
      <c r="U54" s="512"/>
      <c r="V54" s="512"/>
      <c r="W54" s="512"/>
      <c r="X54" s="512"/>
      <c r="Y54" s="512"/>
      <c r="Z54" s="512"/>
      <c r="AA54" s="512"/>
      <c r="AB54" s="512"/>
      <c r="AC54" s="512"/>
      <c r="AD54" s="512"/>
      <c r="AE54" s="512"/>
      <c r="AF54" s="512"/>
      <c r="AG54" s="512"/>
      <c r="AH54" s="512"/>
      <c r="AI54" s="512"/>
    </row>
    <row r="55" spans="1:36" x14ac:dyDescent="0.2">
      <c r="A55" s="512" t="s">
        <v>53</v>
      </c>
      <c r="B55" s="512"/>
      <c r="C55" s="512"/>
      <c r="D55" s="515"/>
      <c r="E55" s="512"/>
      <c r="F55" s="514">
        <f>'Параметры проекта'!$B$39</f>
        <v>130000</v>
      </c>
      <c r="G55" s="514">
        <f>'Параметры проекта'!$B$39</f>
        <v>130000</v>
      </c>
      <c r="H55" s="514">
        <f>'Параметры проекта'!$B$39</f>
        <v>130000</v>
      </c>
      <c r="I55" s="514">
        <f>'Параметры проекта'!$B$39</f>
        <v>130000</v>
      </c>
      <c r="J55" s="514">
        <f>'Параметры проекта'!$B$39</f>
        <v>130000</v>
      </c>
      <c r="K55" s="514">
        <f>'Параметры проекта'!$B$39</f>
        <v>130000</v>
      </c>
      <c r="L55" s="514">
        <f>'Параметры проекта'!$B$39</f>
        <v>130000</v>
      </c>
      <c r="M55" s="514">
        <f>'Параметры проекта'!$B$39</f>
        <v>130000</v>
      </c>
      <c r="N55" s="514">
        <f>'Параметры проекта'!$B$39</f>
        <v>130000</v>
      </c>
      <c r="O55" s="514">
        <f>'Параметры проекта'!$B$39</f>
        <v>130000</v>
      </c>
      <c r="P55" s="514">
        <f>'Параметры проекта'!$B$39</f>
        <v>130000</v>
      </c>
      <c r="Q55" s="514">
        <f>'Параметры проекта'!$B$39</f>
        <v>130000</v>
      </c>
      <c r="R55" s="514">
        <f>'Параметры проекта'!$B$39</f>
        <v>130000</v>
      </c>
      <c r="S55" s="514">
        <f>'Параметры проекта'!$B$39</f>
        <v>130000</v>
      </c>
      <c r="T55" s="514">
        <f>'Параметры проекта'!$B$39</f>
        <v>130000</v>
      </c>
      <c r="U55" s="514">
        <f>'Параметры проекта'!$B$39</f>
        <v>130000</v>
      </c>
      <c r="V55" s="514">
        <f>'Параметры проекта'!$B$39</f>
        <v>130000</v>
      </c>
      <c r="W55" s="514">
        <f>'Параметры проекта'!$B$39</f>
        <v>130000</v>
      </c>
      <c r="X55" s="514">
        <f>'Параметры проекта'!$B$39</f>
        <v>130000</v>
      </c>
      <c r="Y55" s="514">
        <f>'Параметры проекта'!$B$39</f>
        <v>130000</v>
      </c>
      <c r="Z55" s="514">
        <f>'Параметры проекта'!$B$39</f>
        <v>130000</v>
      </c>
      <c r="AA55" s="514">
        <f>'Параметры проекта'!$B$39</f>
        <v>130000</v>
      </c>
      <c r="AB55" s="514">
        <f>'Параметры проекта'!$B$39</f>
        <v>130000</v>
      </c>
      <c r="AC55" s="514">
        <f>'Параметры проекта'!$B$39</f>
        <v>130000</v>
      </c>
      <c r="AD55" s="514">
        <f>'Параметры проекта'!$B$39</f>
        <v>130000</v>
      </c>
      <c r="AE55" s="514">
        <f>'Параметры проекта'!$B$39</f>
        <v>130000</v>
      </c>
      <c r="AF55" s="514">
        <f>'Параметры проекта'!$B$39</f>
        <v>130000</v>
      </c>
      <c r="AG55" s="514">
        <f>'Параметры проекта'!$B$39</f>
        <v>130000</v>
      </c>
      <c r="AH55" s="514">
        <f>'Параметры проекта'!$B$39</f>
        <v>130000</v>
      </c>
      <c r="AI55" s="514">
        <f>'Параметры проекта'!$B$39</f>
        <v>130000</v>
      </c>
    </row>
    <row r="56" spans="1:36" hidden="1" x14ac:dyDescent="0.2">
      <c r="A56" s="512"/>
      <c r="B56" s="512"/>
      <c r="C56" s="512"/>
      <c r="D56" s="512"/>
      <c r="E56" s="512"/>
      <c r="F56" s="512"/>
      <c r="G56" s="512"/>
      <c r="H56" s="512"/>
      <c r="I56" s="512"/>
      <c r="J56" s="512"/>
      <c r="K56" s="512"/>
      <c r="L56" s="512"/>
      <c r="M56" s="512"/>
      <c r="N56" s="512"/>
      <c r="O56" s="512"/>
      <c r="P56" s="512"/>
      <c r="Q56" s="512"/>
      <c r="R56" s="512"/>
      <c r="S56" s="512"/>
      <c r="T56" s="512"/>
      <c r="U56" s="512"/>
      <c r="V56" s="512"/>
      <c r="W56" s="512"/>
      <c r="X56" s="512"/>
      <c r="Y56" s="512"/>
      <c r="Z56" s="512"/>
      <c r="AA56" s="512"/>
      <c r="AB56" s="512"/>
      <c r="AC56" s="512"/>
      <c r="AD56" s="512"/>
      <c r="AE56" s="512"/>
      <c r="AF56" s="512"/>
      <c r="AG56" s="512"/>
      <c r="AH56" s="512"/>
      <c r="AI56" s="512"/>
    </row>
    <row r="57" spans="1:36" x14ac:dyDescent="0.2">
      <c r="A57" s="512" t="s">
        <v>37</v>
      </c>
      <c r="B57" s="512"/>
      <c r="C57" s="512"/>
      <c r="D57" s="512"/>
      <c r="E57" s="514">
        <f>E19-E24-E51-E53-E55</f>
        <v>0</v>
      </c>
      <c r="F57" s="514">
        <f>F19-F24-F51-F53-F55</f>
        <v>552492.1571816419</v>
      </c>
      <c r="G57" s="514">
        <f>G19-G24-G51-G53-G55</f>
        <v>552492.1571816419</v>
      </c>
      <c r="H57" s="514">
        <f>H19-H24-H51-H53-H55</f>
        <v>552492.1571816419</v>
      </c>
      <c r="I57" s="514">
        <f t="shared" ref="I57:AI57" si="31">I19-I24-I51-I53-I55</f>
        <v>552492.1571816419</v>
      </c>
      <c r="J57" s="514">
        <f>J19-J24-J51-J53-J55</f>
        <v>552492.1571816419</v>
      </c>
      <c r="K57" s="514">
        <f>K19-K24-K51-K53-K55</f>
        <v>552492.1571816419</v>
      </c>
      <c r="L57" s="514">
        <f>L19-L24-L51-L53-L55</f>
        <v>552492.1571816419</v>
      </c>
      <c r="M57" s="514">
        <f>M19-M24-M51-M53-M55</f>
        <v>552492.1571816419</v>
      </c>
      <c r="N57" s="514">
        <f t="shared" si="31"/>
        <v>552492.1571816419</v>
      </c>
      <c r="O57" s="514">
        <f t="shared" si="31"/>
        <v>552492.1571816419</v>
      </c>
      <c r="P57" s="514">
        <f t="shared" si="31"/>
        <v>552492.1571816419</v>
      </c>
      <c r="Q57" s="514">
        <f>Q19-Q24-Q51-Q53-Q55</f>
        <v>552492.1571816419</v>
      </c>
      <c r="R57" s="514">
        <f t="shared" si="31"/>
        <v>552492.1571816419</v>
      </c>
      <c r="S57" s="514">
        <f t="shared" si="31"/>
        <v>552492.1571816419</v>
      </c>
      <c r="T57" s="514">
        <f t="shared" si="31"/>
        <v>552492.1571816419</v>
      </c>
      <c r="U57" s="514">
        <f t="shared" si="31"/>
        <v>552492.1571816419</v>
      </c>
      <c r="V57" s="514">
        <f t="shared" si="31"/>
        <v>552492.1571816419</v>
      </c>
      <c r="W57" s="514">
        <f t="shared" si="31"/>
        <v>552492.1571816419</v>
      </c>
      <c r="X57" s="514">
        <f t="shared" si="31"/>
        <v>552492.1571816419</v>
      </c>
      <c r="Y57" s="514">
        <f t="shared" si="31"/>
        <v>552492.1571816419</v>
      </c>
      <c r="Z57" s="514">
        <f t="shared" si="31"/>
        <v>552492.1571816419</v>
      </c>
      <c r="AA57" s="514">
        <f t="shared" si="31"/>
        <v>552492.1571816419</v>
      </c>
      <c r="AB57" s="514">
        <f t="shared" si="31"/>
        <v>552492.1571816419</v>
      </c>
      <c r="AC57" s="514">
        <f t="shared" si="31"/>
        <v>552492.1571816419</v>
      </c>
      <c r="AD57" s="514">
        <f t="shared" si="31"/>
        <v>552492.1571816419</v>
      </c>
      <c r="AE57" s="514">
        <f t="shared" si="31"/>
        <v>552492.1571816419</v>
      </c>
      <c r="AF57" s="514">
        <f t="shared" si="31"/>
        <v>552492.1571816419</v>
      </c>
      <c r="AG57" s="514">
        <f t="shared" si="31"/>
        <v>552492.1571816419</v>
      </c>
      <c r="AH57" s="514">
        <f t="shared" si="31"/>
        <v>552492.1571816419</v>
      </c>
      <c r="AI57" s="514">
        <f t="shared" si="31"/>
        <v>552492.1571816419</v>
      </c>
    </row>
    <row r="58" spans="1:36" x14ac:dyDescent="0.2">
      <c r="A58" s="512" t="s">
        <v>38</v>
      </c>
      <c r="B58" s="512"/>
      <c r="C58" s="512"/>
      <c r="D58" s="512"/>
      <c r="E58" s="514">
        <f t="shared" ref="E58:L58" si="32">E57+E27</f>
        <v>0</v>
      </c>
      <c r="F58" s="514">
        <f>F57+F27</f>
        <v>552492.1571816419</v>
      </c>
      <c r="G58" s="514">
        <f t="shared" si="32"/>
        <v>552492.1571816419</v>
      </c>
      <c r="H58" s="514">
        <f t="shared" si="32"/>
        <v>552492.1571816419</v>
      </c>
      <c r="I58" s="514">
        <f t="shared" si="32"/>
        <v>552492.1571816419</v>
      </c>
      <c r="J58" s="514">
        <f>J57+J27</f>
        <v>552492.1571816419</v>
      </c>
      <c r="K58" s="514">
        <f>K57+K27</f>
        <v>552492.1571816419</v>
      </c>
      <c r="L58" s="514">
        <f t="shared" si="32"/>
        <v>552492.1571816419</v>
      </c>
      <c r="M58" s="514">
        <f>M57+M27</f>
        <v>552492.1571816419</v>
      </c>
      <c r="N58" s="514">
        <f t="shared" ref="N58:AI58" si="33">N57+N27</f>
        <v>552492.1571816419</v>
      </c>
      <c r="O58" s="514">
        <f t="shared" si="33"/>
        <v>552492.1571816419</v>
      </c>
      <c r="P58" s="514">
        <f t="shared" si="33"/>
        <v>552492.1571816419</v>
      </c>
      <c r="Q58" s="514">
        <f t="shared" si="33"/>
        <v>552492.1571816419</v>
      </c>
      <c r="R58" s="514">
        <f t="shared" si="33"/>
        <v>552492.1571816419</v>
      </c>
      <c r="S58" s="514">
        <f>S57+S27</f>
        <v>552492.1571816419</v>
      </c>
      <c r="T58" s="514">
        <f t="shared" si="33"/>
        <v>552492.1571816419</v>
      </c>
      <c r="U58" s="514">
        <f t="shared" si="33"/>
        <v>552492.1571816419</v>
      </c>
      <c r="V58" s="514">
        <f t="shared" si="33"/>
        <v>552492.1571816419</v>
      </c>
      <c r="W58" s="514">
        <f t="shared" si="33"/>
        <v>552492.1571816419</v>
      </c>
      <c r="X58" s="514">
        <f t="shared" si="33"/>
        <v>552492.1571816419</v>
      </c>
      <c r="Y58" s="514">
        <f t="shared" si="33"/>
        <v>552492.1571816419</v>
      </c>
      <c r="Z58" s="514">
        <f t="shared" si="33"/>
        <v>552492.1571816419</v>
      </c>
      <c r="AA58" s="514">
        <f t="shared" si="33"/>
        <v>552492.1571816419</v>
      </c>
      <c r="AB58" s="514">
        <f t="shared" si="33"/>
        <v>552492.1571816419</v>
      </c>
      <c r="AC58" s="514">
        <f t="shared" si="33"/>
        <v>552492.1571816419</v>
      </c>
      <c r="AD58" s="514">
        <f t="shared" si="33"/>
        <v>552492.1571816419</v>
      </c>
      <c r="AE58" s="514">
        <f t="shared" si="33"/>
        <v>552492.1571816419</v>
      </c>
      <c r="AF58" s="514">
        <f t="shared" si="33"/>
        <v>552492.1571816419</v>
      </c>
      <c r="AG58" s="514">
        <f t="shared" si="33"/>
        <v>552492.1571816419</v>
      </c>
      <c r="AH58" s="514">
        <f t="shared" si="33"/>
        <v>552492.1571816419</v>
      </c>
      <c r="AI58" s="514">
        <f t="shared" si="33"/>
        <v>552492.1571816419</v>
      </c>
    </row>
    <row r="59" spans="1:36" x14ac:dyDescent="0.2">
      <c r="A59" s="512" t="s">
        <v>48</v>
      </c>
      <c r="B59" s="512"/>
      <c r="C59" s="512"/>
      <c r="D59" s="512"/>
      <c r="E59" s="514">
        <f>IF(E58&lt;0,0,E58*0.5)</f>
        <v>0</v>
      </c>
      <c r="F59" s="514">
        <v>0</v>
      </c>
      <c r="G59" s="514">
        <v>0</v>
      </c>
      <c r="H59" s="514">
        <v>0</v>
      </c>
      <c r="I59" s="514">
        <v>0</v>
      </c>
      <c r="J59" s="514">
        <v>0</v>
      </c>
      <c r="K59" s="514">
        <v>0</v>
      </c>
      <c r="L59" s="514">
        <v>0</v>
      </c>
      <c r="M59" s="514">
        <v>0</v>
      </c>
      <c r="N59" s="514">
        <v>0</v>
      </c>
      <c r="O59" s="514">
        <v>0</v>
      </c>
      <c r="P59" s="514">
        <v>0</v>
      </c>
      <c r="Q59" s="514">
        <v>0</v>
      </c>
      <c r="R59" s="514">
        <v>0</v>
      </c>
      <c r="S59" s="514">
        <v>0</v>
      </c>
      <c r="T59" s="514">
        <v>0</v>
      </c>
      <c r="U59" s="514">
        <v>0</v>
      </c>
      <c r="V59" s="514">
        <v>0</v>
      </c>
      <c r="W59" s="514">
        <v>0</v>
      </c>
      <c r="X59" s="514">
        <v>0</v>
      </c>
      <c r="Y59" s="514">
        <v>0</v>
      </c>
      <c r="Z59" s="514">
        <v>0</v>
      </c>
      <c r="AA59" s="514">
        <v>0</v>
      </c>
      <c r="AB59" s="514">
        <v>0</v>
      </c>
      <c r="AC59" s="514">
        <v>0</v>
      </c>
      <c r="AD59" s="514">
        <v>0</v>
      </c>
      <c r="AE59" s="514">
        <v>0</v>
      </c>
      <c r="AF59" s="514">
        <v>0</v>
      </c>
      <c r="AG59" s="514">
        <v>0</v>
      </c>
      <c r="AH59" s="514">
        <v>0</v>
      </c>
      <c r="AI59" s="514">
        <f t="shared" ref="AI59" si="34">IF(AI58&lt;0,0,AI58*0.5)</f>
        <v>276246.07859082095</v>
      </c>
    </row>
    <row r="60" spans="1:36" ht="26.25" customHeight="1" x14ac:dyDescent="0.2">
      <c r="A60" s="521" t="s">
        <v>50</v>
      </c>
      <c r="B60" s="512"/>
      <c r="C60" s="512"/>
      <c r="D60" s="512"/>
      <c r="E60" s="514">
        <f t="shared" ref="E60:S60" si="35">SUM(E6:E6)*-1+E58-E59</f>
        <v>0</v>
      </c>
      <c r="F60" s="514">
        <f t="shared" si="35"/>
        <v>552492.1571816419</v>
      </c>
      <c r="G60" s="514">
        <f t="shared" si="35"/>
        <v>552492.1571816419</v>
      </c>
      <c r="H60" s="514">
        <f t="shared" si="35"/>
        <v>552492.1571816419</v>
      </c>
      <c r="I60" s="514">
        <f t="shared" si="35"/>
        <v>552492.1571816419</v>
      </c>
      <c r="J60" s="514">
        <f t="shared" si="35"/>
        <v>552492.1571816419</v>
      </c>
      <c r="K60" s="514">
        <f t="shared" si="35"/>
        <v>552492.1571816419</v>
      </c>
      <c r="L60" s="514">
        <f t="shared" si="35"/>
        <v>552492.1571816419</v>
      </c>
      <c r="M60" s="514">
        <f t="shared" si="35"/>
        <v>552492.1571816419</v>
      </c>
      <c r="N60" s="514">
        <f>SUM(N6:N6)*-1+N58-N59</f>
        <v>552492.1571816419</v>
      </c>
      <c r="O60" s="514">
        <f t="shared" si="35"/>
        <v>552492.1571816419</v>
      </c>
      <c r="P60" s="514">
        <f t="shared" si="35"/>
        <v>552492.1571816419</v>
      </c>
      <c r="Q60" s="514">
        <f t="shared" si="35"/>
        <v>552492.1571816419</v>
      </c>
      <c r="R60" s="514">
        <f t="shared" si="35"/>
        <v>552492.1571816419</v>
      </c>
      <c r="S60" s="514">
        <f t="shared" si="35"/>
        <v>552492.1571816419</v>
      </c>
      <c r="T60" s="514">
        <f>SUM(T6:T6)*-1+T58-T59</f>
        <v>552492.1571816419</v>
      </c>
      <c r="U60" s="514">
        <f t="shared" ref="U60:AI60" si="36">SUM(U6:U6)*-1+U58-U59</f>
        <v>552492.1571816419</v>
      </c>
      <c r="V60" s="514">
        <f t="shared" si="36"/>
        <v>552492.1571816419</v>
      </c>
      <c r="W60" s="514">
        <f t="shared" si="36"/>
        <v>552492.1571816419</v>
      </c>
      <c r="X60" s="514">
        <f t="shared" si="36"/>
        <v>552492.1571816419</v>
      </c>
      <c r="Y60" s="514">
        <f t="shared" si="36"/>
        <v>552492.1571816419</v>
      </c>
      <c r="Z60" s="514">
        <f t="shared" si="36"/>
        <v>552492.1571816419</v>
      </c>
      <c r="AA60" s="514">
        <f t="shared" si="36"/>
        <v>552492.1571816419</v>
      </c>
      <c r="AB60" s="514">
        <f t="shared" si="36"/>
        <v>552492.1571816419</v>
      </c>
      <c r="AC60" s="514">
        <f t="shared" si="36"/>
        <v>552492.1571816419</v>
      </c>
      <c r="AD60" s="514">
        <f t="shared" si="36"/>
        <v>552492.1571816419</v>
      </c>
      <c r="AE60" s="514">
        <f t="shared" si="36"/>
        <v>552492.1571816419</v>
      </c>
      <c r="AF60" s="514">
        <f t="shared" si="36"/>
        <v>552492.1571816419</v>
      </c>
      <c r="AG60" s="514">
        <f t="shared" si="36"/>
        <v>552492.1571816419</v>
      </c>
      <c r="AH60" s="514">
        <f t="shared" si="36"/>
        <v>552492.1571816419</v>
      </c>
      <c r="AI60" s="514">
        <f t="shared" si="36"/>
        <v>276246.07859082095</v>
      </c>
    </row>
    <row r="61" spans="1:36" s="496" customFormat="1" x14ac:dyDescent="0.2">
      <c r="A61" s="514" t="s">
        <v>39</v>
      </c>
      <c r="B61" s="514"/>
      <c r="C61" s="514"/>
      <c r="D61" s="514"/>
      <c r="E61" s="514">
        <f>SUM($E60:E60)</f>
        <v>0</v>
      </c>
      <c r="F61" s="514">
        <f>SUM($E60:F60)</f>
        <v>552492.1571816419</v>
      </c>
      <c r="G61" s="514">
        <f>SUM($E60:G60)</f>
        <v>1104984.3143632838</v>
      </c>
      <c r="H61" s="514">
        <f>SUM($E60:H60)</f>
        <v>1657476.4715449256</v>
      </c>
      <c r="I61" s="514">
        <f>SUM($E60:I60)</f>
        <v>2209968.6287265676</v>
      </c>
      <c r="J61" s="514">
        <f>SUM($E60:J60)</f>
        <v>2762460.7859082096</v>
      </c>
      <c r="K61" s="514">
        <f>SUM($E60:K60)</f>
        <v>3314952.9430898516</v>
      </c>
      <c r="L61" s="514">
        <f>SUM($E60:L60)</f>
        <v>3867445.1002714937</v>
      </c>
      <c r="M61" s="514">
        <f>SUM($E60:M60)</f>
        <v>4419937.2574531352</v>
      </c>
      <c r="N61" s="514">
        <f>SUM($E60:N60)</f>
        <v>4972429.4146347772</v>
      </c>
      <c r="O61" s="514">
        <f>SUM($E60:O60)</f>
        <v>5524921.5718164193</v>
      </c>
      <c r="P61" s="514">
        <f>SUM($E60:P60)</f>
        <v>6077413.7289980613</v>
      </c>
      <c r="Q61" s="514">
        <f>SUM($E60:Q60)</f>
        <v>6629905.8861797033</v>
      </c>
      <c r="R61" s="514">
        <f>SUM($E60:R60)</f>
        <v>7182398.0433613453</v>
      </c>
      <c r="S61" s="514">
        <f>SUM($E60:S60)</f>
        <v>7734890.2005429873</v>
      </c>
      <c r="T61" s="514">
        <f>SUM($E60:T60)</f>
        <v>8287382.3577246293</v>
      </c>
      <c r="U61" s="514">
        <f>SUM($E60:U60)</f>
        <v>8839874.5149062704</v>
      </c>
      <c r="V61" s="514">
        <f>SUM($E60:V60)</f>
        <v>9392366.6720879115</v>
      </c>
      <c r="W61" s="514">
        <f>SUM($E60:W60)</f>
        <v>9944858.8292695526</v>
      </c>
      <c r="X61" s="514">
        <f>SUM($E60:X60)</f>
        <v>10497350.986451194</v>
      </c>
      <c r="Y61" s="514">
        <f>SUM($E60:Y60)</f>
        <v>11049843.143632835</v>
      </c>
      <c r="Z61" s="514">
        <f>SUM($E60:Z60)</f>
        <v>11602335.300814476</v>
      </c>
      <c r="AA61" s="514">
        <f>SUM($E60:AA60)</f>
        <v>12154827.457996117</v>
      </c>
      <c r="AB61" s="514">
        <f>SUM($E60:AB60)</f>
        <v>12707319.615177758</v>
      </c>
      <c r="AC61" s="514">
        <f>SUM($E60:AC60)</f>
        <v>13259811.772359399</v>
      </c>
      <c r="AD61" s="514">
        <f>SUM($E60:AD60)</f>
        <v>13812303.92954104</v>
      </c>
      <c r="AE61" s="514">
        <f>SUM($E60:AE60)</f>
        <v>14364796.086722681</v>
      </c>
      <c r="AF61" s="514">
        <f>SUM($E60:AF60)</f>
        <v>14917288.243904322</v>
      </c>
      <c r="AG61" s="514">
        <f>SUM($E60:AG60)</f>
        <v>15469780.401085963</v>
      </c>
      <c r="AH61" s="514">
        <f>SUM($E60:AH60)</f>
        <v>16022272.558267605</v>
      </c>
      <c r="AI61" s="514">
        <f>SUM($E60:AI60)</f>
        <v>16298518.636858426</v>
      </c>
    </row>
    <row r="62" spans="1:36" hidden="1" x14ac:dyDescent="0.2">
      <c r="A62" s="512" t="s">
        <v>40</v>
      </c>
      <c r="B62" s="512"/>
      <c r="C62" s="512"/>
      <c r="D62" s="512"/>
      <c r="E62" s="522">
        <f>R61/R60*-1+12</f>
        <v>-1.0000000000000018</v>
      </c>
      <c r="F62" s="512" t="s">
        <v>41</v>
      </c>
      <c r="G62" s="502"/>
      <c r="H62" s="511"/>
      <c r="I62" s="511"/>
      <c r="J62" s="511"/>
      <c r="K62" s="511"/>
      <c r="L62" s="511"/>
      <c r="M62" s="511"/>
      <c r="N62" s="502">
        <f>N25+N26+N28+N35+N39+N40+N43+N44+N45+N46+N47+N48+N49+N51+N55</f>
        <v>226527.72</v>
      </c>
      <c r="O62" s="511"/>
      <c r="P62" s="511"/>
      <c r="Q62" s="511"/>
      <c r="R62" s="511"/>
      <c r="S62" s="511"/>
      <c r="T62" s="511"/>
      <c r="U62" s="511"/>
    </row>
    <row r="63" spans="1:36" ht="0.75" hidden="1" customHeight="1" x14ac:dyDescent="0.2">
      <c r="A63" s="512" t="s">
        <v>42</v>
      </c>
      <c r="B63" s="512"/>
      <c r="C63" s="512"/>
      <c r="D63" s="512"/>
      <c r="E63" s="522" t="e">
        <f>((Y60*12)/(E6+F6)*100)</f>
        <v>#DIV/0!</v>
      </c>
      <c r="F63" s="512" t="s">
        <v>0</v>
      </c>
      <c r="G63" s="511"/>
      <c r="H63" s="512"/>
      <c r="I63" s="512"/>
      <c r="J63" s="511"/>
      <c r="K63" s="511"/>
      <c r="L63" s="511"/>
      <c r="M63" s="511"/>
      <c r="N63" s="511"/>
      <c r="O63" s="511"/>
      <c r="P63" s="511"/>
      <c r="Q63" s="511"/>
      <c r="R63" s="511"/>
      <c r="S63" s="511"/>
      <c r="T63" s="511"/>
      <c r="U63" s="511"/>
    </row>
    <row r="64" spans="1:36" s="523" customFormat="1" ht="12" hidden="1" x14ac:dyDescent="0.2">
      <c r="F64" s="524" t="s">
        <v>92</v>
      </c>
      <c r="G64" s="523" t="s">
        <v>88</v>
      </c>
      <c r="H64" s="523" t="s">
        <v>87</v>
      </c>
    </row>
    <row r="65" spans="5:8" s="359" customFormat="1" ht="12" hidden="1" x14ac:dyDescent="0.2">
      <c r="E65" s="363" t="s">
        <v>84</v>
      </c>
      <c r="F65" s="361">
        <v>1800</v>
      </c>
      <c r="G65" s="361">
        <v>0</v>
      </c>
      <c r="H65" s="361">
        <f>F65*30*G65</f>
        <v>0</v>
      </c>
    </row>
    <row r="66" spans="5:8" s="359" customFormat="1" ht="12" hidden="1" x14ac:dyDescent="0.2">
      <c r="E66" s="363" t="s">
        <v>85</v>
      </c>
      <c r="F66" s="361">
        <v>1800</v>
      </c>
      <c r="G66" s="361">
        <v>0</v>
      </c>
      <c r="H66" s="361">
        <f>F66*30*G66</f>
        <v>0</v>
      </c>
    </row>
    <row r="67" spans="5:8" s="359" customFormat="1" ht="12" hidden="1" x14ac:dyDescent="0.2">
      <c r="E67" s="363" t="s">
        <v>86</v>
      </c>
      <c r="F67" s="361">
        <f>'Параметры проекта'!B25</f>
        <v>23000</v>
      </c>
      <c r="G67" s="361">
        <v>2</v>
      </c>
      <c r="H67" s="361">
        <f>F67*G67</f>
        <v>46000</v>
      </c>
    </row>
    <row r="68" spans="5:8" s="359" customFormat="1" ht="12" hidden="1" x14ac:dyDescent="0.2">
      <c r="E68" s="363"/>
      <c r="F68" s="361"/>
      <c r="H68" s="361">
        <f>SUM(H65:H67)</f>
        <v>46000</v>
      </c>
    </row>
    <row r="69" spans="5:8" s="359" customFormat="1" ht="12" hidden="1" x14ac:dyDescent="0.2">
      <c r="F69" s="361"/>
      <c r="G69" s="525" t="s">
        <v>90</v>
      </c>
      <c r="H69" s="359" t="s">
        <v>87</v>
      </c>
    </row>
    <row r="70" spans="5:8" s="359" customFormat="1" ht="12" hidden="1" x14ac:dyDescent="0.2">
      <c r="F70" s="361" t="s">
        <v>89</v>
      </c>
      <c r="G70" s="361">
        <v>12000</v>
      </c>
      <c r="H70" s="361">
        <f>G70*(G67+G66+G65)*30.2%</f>
        <v>7248</v>
      </c>
    </row>
    <row r="71" spans="5:8" s="359" customFormat="1" ht="12" x14ac:dyDescent="0.2">
      <c r="F71" s="361"/>
    </row>
    <row r="72" spans="5:8" s="359" customFormat="1" ht="12" x14ac:dyDescent="0.2">
      <c r="F72" s="361"/>
    </row>
    <row r="73" spans="5:8" s="359" customFormat="1" ht="12" x14ac:dyDescent="0.2">
      <c r="F73" s="361"/>
    </row>
    <row r="74" spans="5:8" s="359" customFormat="1" ht="12" x14ac:dyDescent="0.2">
      <c r="F74" s="361"/>
    </row>
    <row r="75" spans="5:8" s="359" customFormat="1" ht="12" x14ac:dyDescent="0.2">
      <c r="F75" s="361"/>
    </row>
    <row r="76" spans="5:8" s="359" customFormat="1" ht="12" x14ac:dyDescent="0.2">
      <c r="F76" s="361"/>
    </row>
    <row r="77" spans="5:8" s="359" customFormat="1" ht="12" x14ac:dyDescent="0.2">
      <c r="F77" s="361"/>
    </row>
    <row r="78" spans="5:8" s="359" customFormat="1" ht="12" x14ac:dyDescent="0.2">
      <c r="F78" s="361"/>
    </row>
    <row r="79" spans="5:8" s="359" customFormat="1" ht="12" x14ac:dyDescent="0.2">
      <c r="F79" s="361"/>
    </row>
    <row r="80" spans="5:8" s="359" customFormat="1" ht="12" x14ac:dyDescent="0.2">
      <c r="F80" s="361"/>
    </row>
    <row r="81" spans="6:6" s="359" customFormat="1" ht="12" x14ac:dyDescent="0.2">
      <c r="F81" s="361"/>
    </row>
    <row r="82" spans="6:6" s="359" customFormat="1" ht="12" x14ac:dyDescent="0.2">
      <c r="F82" s="361"/>
    </row>
    <row r="83" spans="6:6" s="359" customFormat="1" ht="12" x14ac:dyDescent="0.2">
      <c r="F83" s="361"/>
    </row>
    <row r="84" spans="6:6" s="359" customFormat="1" ht="12" x14ac:dyDescent="0.2">
      <c r="F84" s="361"/>
    </row>
    <row r="85" spans="6:6" s="359" customFormat="1" ht="12" x14ac:dyDescent="0.2">
      <c r="F85" s="361"/>
    </row>
    <row r="86" spans="6:6" s="359" customFormat="1" ht="12" x14ac:dyDescent="0.2">
      <c r="F86" s="361"/>
    </row>
    <row r="87" spans="6:6" s="359" customFormat="1" ht="12" x14ac:dyDescent="0.2">
      <c r="F87" s="361"/>
    </row>
    <row r="88" spans="6:6" s="359" customFormat="1" ht="12" x14ac:dyDescent="0.2">
      <c r="F88" s="361"/>
    </row>
    <row r="89" spans="6:6" s="359" customFormat="1" ht="12" x14ac:dyDescent="0.2">
      <c r="F89" s="361"/>
    </row>
    <row r="90" spans="6:6" s="359" customFormat="1" ht="12" x14ac:dyDescent="0.2">
      <c r="F90" s="361"/>
    </row>
    <row r="91" spans="6:6" s="359" customFormat="1" ht="12" x14ac:dyDescent="0.2">
      <c r="F91" s="361"/>
    </row>
    <row r="92" spans="6:6" s="359" customFormat="1" ht="12" x14ac:dyDescent="0.2">
      <c r="F92" s="361"/>
    </row>
    <row r="93" spans="6:6" s="359" customFormat="1" ht="12" x14ac:dyDescent="0.2">
      <c r="F93" s="361"/>
    </row>
    <row r="94" spans="6:6" s="359" customFormat="1" ht="12" x14ac:dyDescent="0.2">
      <c r="F94" s="361"/>
    </row>
    <row r="95" spans="6:6" s="359" customFormat="1" ht="12" x14ac:dyDescent="0.2">
      <c r="F95" s="361"/>
    </row>
    <row r="96" spans="6:6" s="359" customFormat="1" ht="12" x14ac:dyDescent="0.2">
      <c r="F96" s="361"/>
    </row>
    <row r="97" spans="6:6" s="359" customFormat="1" ht="12" x14ac:dyDescent="0.2">
      <c r="F97" s="361"/>
    </row>
    <row r="98" spans="6:6" s="359" customFormat="1" ht="12" x14ac:dyDescent="0.2">
      <c r="F98" s="361"/>
    </row>
    <row r="99" spans="6:6" s="359" customFormat="1" ht="12" x14ac:dyDescent="0.2">
      <c r="F99" s="361"/>
    </row>
    <row r="100" spans="6:6" s="359" customFormat="1" ht="12" x14ac:dyDescent="0.2">
      <c r="F100" s="361"/>
    </row>
    <row r="101" spans="6:6" s="359" customFormat="1" ht="12" x14ac:dyDescent="0.2">
      <c r="F101" s="361"/>
    </row>
    <row r="102" spans="6:6" s="359" customFormat="1" ht="12" x14ac:dyDescent="0.2">
      <c r="F102" s="361"/>
    </row>
    <row r="103" spans="6:6" s="359" customFormat="1" ht="12" x14ac:dyDescent="0.2">
      <c r="F103" s="361"/>
    </row>
    <row r="104" spans="6:6" s="359" customFormat="1" ht="12" x14ac:dyDescent="0.2">
      <c r="F104" s="361"/>
    </row>
    <row r="105" spans="6:6" s="359" customFormat="1" ht="12" x14ac:dyDescent="0.2">
      <c r="F105" s="361"/>
    </row>
    <row r="106" spans="6:6" s="359" customFormat="1" ht="12" x14ac:dyDescent="0.2">
      <c r="F106" s="361"/>
    </row>
    <row r="107" spans="6:6" s="359" customFormat="1" ht="12" x14ac:dyDescent="0.2">
      <c r="F107" s="361"/>
    </row>
    <row r="108" spans="6:6" s="359" customFormat="1" ht="12" x14ac:dyDescent="0.2">
      <c r="F108" s="361"/>
    </row>
    <row r="109" spans="6:6" s="359" customFormat="1" ht="12" x14ac:dyDescent="0.2">
      <c r="F109" s="361"/>
    </row>
    <row r="110" spans="6:6" s="359" customFormat="1" ht="12" x14ac:dyDescent="0.2">
      <c r="F110" s="361"/>
    </row>
    <row r="111" spans="6:6" s="359" customFormat="1" ht="12" x14ac:dyDescent="0.2">
      <c r="F111" s="361"/>
    </row>
    <row r="112" spans="6:6" s="359" customFormat="1" ht="12" x14ac:dyDescent="0.2">
      <c r="F112" s="361"/>
    </row>
    <row r="113" spans="6:6" s="359" customFormat="1" ht="12" x14ac:dyDescent="0.2">
      <c r="F113" s="361"/>
    </row>
    <row r="114" spans="6:6" s="359" customFormat="1" ht="12" x14ac:dyDescent="0.2">
      <c r="F114" s="361"/>
    </row>
    <row r="115" spans="6:6" s="359" customFormat="1" ht="12" x14ac:dyDescent="0.2">
      <c r="F115" s="361"/>
    </row>
    <row r="116" spans="6:6" s="359" customFormat="1" ht="12" x14ac:dyDescent="0.2">
      <c r="F116" s="361"/>
    </row>
    <row r="117" spans="6:6" s="359" customFormat="1" ht="12" x14ac:dyDescent="0.2">
      <c r="F117" s="361"/>
    </row>
    <row r="118" spans="6:6" s="359" customFormat="1" ht="12" x14ac:dyDescent="0.2">
      <c r="F118" s="361"/>
    </row>
    <row r="119" spans="6:6" s="359" customFormat="1" ht="12" x14ac:dyDescent="0.2">
      <c r="F119" s="361"/>
    </row>
    <row r="120" spans="6:6" s="359" customFormat="1" ht="12" x14ac:dyDescent="0.2">
      <c r="F120" s="361"/>
    </row>
    <row r="121" spans="6:6" s="359" customFormat="1" ht="12" x14ac:dyDescent="0.2">
      <c r="F121" s="361"/>
    </row>
    <row r="122" spans="6:6" s="359" customFormat="1" ht="12" x14ac:dyDescent="0.2">
      <c r="F122" s="361"/>
    </row>
    <row r="123" spans="6:6" s="359" customFormat="1" ht="12" x14ac:dyDescent="0.2">
      <c r="F123" s="361"/>
    </row>
    <row r="124" spans="6:6" s="359" customFormat="1" ht="12" x14ac:dyDescent="0.2">
      <c r="F124" s="361"/>
    </row>
    <row r="125" spans="6:6" s="359" customFormat="1" ht="12" x14ac:dyDescent="0.2">
      <c r="F125" s="361"/>
    </row>
    <row r="126" spans="6:6" s="359" customFormat="1" ht="12" x14ac:dyDescent="0.2">
      <c r="F126" s="361"/>
    </row>
    <row r="127" spans="6:6" s="359" customFormat="1" ht="12" x14ac:dyDescent="0.2">
      <c r="F127" s="361"/>
    </row>
    <row r="128" spans="6:6" s="359" customFormat="1" ht="12" x14ac:dyDescent="0.2">
      <c r="F128" s="361"/>
    </row>
    <row r="129" spans="6:6" s="359" customFormat="1" ht="12" x14ac:dyDescent="0.2">
      <c r="F129" s="361"/>
    </row>
    <row r="130" spans="6:6" s="359" customFormat="1" ht="12" x14ac:dyDescent="0.2">
      <c r="F130" s="361"/>
    </row>
    <row r="131" spans="6:6" s="359" customFormat="1" ht="12" x14ac:dyDescent="0.2">
      <c r="F131" s="361"/>
    </row>
    <row r="132" spans="6:6" s="359" customFormat="1" ht="12" x14ac:dyDescent="0.2">
      <c r="F132" s="361"/>
    </row>
    <row r="133" spans="6:6" s="359" customFormat="1" ht="12" x14ac:dyDescent="0.2">
      <c r="F133" s="361"/>
    </row>
    <row r="134" spans="6:6" s="359" customFormat="1" ht="12" x14ac:dyDescent="0.2">
      <c r="F134" s="361"/>
    </row>
    <row r="135" spans="6:6" s="359" customFormat="1" ht="12" x14ac:dyDescent="0.2">
      <c r="F135" s="361"/>
    </row>
    <row r="136" spans="6:6" s="359" customFormat="1" ht="12" x14ac:dyDescent="0.2">
      <c r="F136" s="361"/>
    </row>
    <row r="137" spans="6:6" s="359" customFormat="1" ht="12" x14ac:dyDescent="0.2">
      <c r="F137" s="361"/>
    </row>
    <row r="138" spans="6:6" s="359" customFormat="1" ht="12" x14ac:dyDescent="0.2">
      <c r="F138" s="361"/>
    </row>
    <row r="139" spans="6:6" s="359" customFormat="1" ht="12" x14ac:dyDescent="0.2">
      <c r="F139" s="361"/>
    </row>
    <row r="140" spans="6:6" s="359" customFormat="1" ht="12" x14ac:dyDescent="0.2">
      <c r="F140" s="361"/>
    </row>
    <row r="141" spans="6:6" s="359" customFormat="1" ht="12" x14ac:dyDescent="0.2">
      <c r="F141" s="361"/>
    </row>
    <row r="142" spans="6:6" s="359" customFormat="1" ht="12" x14ac:dyDescent="0.2">
      <c r="F142" s="361"/>
    </row>
    <row r="143" spans="6:6" s="359" customFormat="1" ht="12" x14ac:dyDescent="0.2">
      <c r="F143" s="361"/>
    </row>
    <row r="144" spans="6:6" s="359" customFormat="1" ht="12" x14ac:dyDescent="0.2">
      <c r="F144" s="361"/>
    </row>
    <row r="145" spans="6:6" s="359" customFormat="1" ht="12" x14ac:dyDescent="0.2">
      <c r="F145" s="361"/>
    </row>
    <row r="146" spans="6:6" s="359" customFormat="1" ht="12" x14ac:dyDescent="0.2">
      <c r="F146" s="361"/>
    </row>
    <row r="147" spans="6:6" s="359" customFormat="1" ht="12" x14ac:dyDescent="0.2">
      <c r="F147" s="361"/>
    </row>
    <row r="148" spans="6:6" s="359" customFormat="1" ht="12" x14ac:dyDescent="0.2">
      <c r="F148" s="361"/>
    </row>
    <row r="149" spans="6:6" s="359" customFormat="1" ht="12" x14ac:dyDescent="0.2">
      <c r="F149" s="361"/>
    </row>
    <row r="150" spans="6:6" s="359" customFormat="1" ht="12" x14ac:dyDescent="0.2">
      <c r="F150" s="361"/>
    </row>
    <row r="151" spans="6:6" s="359" customFormat="1" ht="12" x14ac:dyDescent="0.2">
      <c r="F151" s="361"/>
    </row>
    <row r="152" spans="6:6" s="359" customFormat="1" ht="12" x14ac:dyDescent="0.2">
      <c r="F152" s="361"/>
    </row>
    <row r="153" spans="6:6" s="359" customFormat="1" ht="12" x14ac:dyDescent="0.2">
      <c r="F153" s="361"/>
    </row>
    <row r="154" spans="6:6" s="359" customFormat="1" ht="12" x14ac:dyDescent="0.2">
      <c r="F154" s="361"/>
    </row>
    <row r="155" spans="6:6" s="359" customFormat="1" ht="12" x14ac:dyDescent="0.2">
      <c r="F155" s="361"/>
    </row>
    <row r="156" spans="6:6" s="359" customFormat="1" ht="12" x14ac:dyDescent="0.2">
      <c r="F156" s="361"/>
    </row>
    <row r="157" spans="6:6" s="359" customFormat="1" ht="12" x14ac:dyDescent="0.2">
      <c r="F157" s="361"/>
    </row>
    <row r="158" spans="6:6" s="359" customFormat="1" ht="12" x14ac:dyDescent="0.2">
      <c r="F158" s="361"/>
    </row>
    <row r="159" spans="6:6" s="359" customFormat="1" ht="12" x14ac:dyDescent="0.2">
      <c r="F159" s="361"/>
    </row>
    <row r="160" spans="6:6" s="359" customFormat="1" ht="12" x14ac:dyDescent="0.2">
      <c r="F160" s="361"/>
    </row>
    <row r="161" spans="6:6" s="359" customFormat="1" ht="12" x14ac:dyDescent="0.2">
      <c r="F161" s="361"/>
    </row>
    <row r="162" spans="6:6" s="359" customFormat="1" ht="12" x14ac:dyDescent="0.2">
      <c r="F162" s="361"/>
    </row>
    <row r="163" spans="6:6" s="359" customFormat="1" ht="12" x14ac:dyDescent="0.2">
      <c r="F163" s="361"/>
    </row>
    <row r="164" spans="6:6" s="359" customFormat="1" ht="12" x14ac:dyDescent="0.2">
      <c r="F164" s="361"/>
    </row>
    <row r="165" spans="6:6" s="359" customFormat="1" ht="12" x14ac:dyDescent="0.2">
      <c r="F165" s="361"/>
    </row>
    <row r="166" spans="6:6" s="359" customFormat="1" ht="12" x14ac:dyDescent="0.2">
      <c r="F166" s="361"/>
    </row>
    <row r="167" spans="6:6" s="359" customFormat="1" ht="12" x14ac:dyDescent="0.2">
      <c r="F167" s="361"/>
    </row>
    <row r="168" spans="6:6" s="359" customFormat="1" ht="12" x14ac:dyDescent="0.2">
      <c r="F168" s="361"/>
    </row>
    <row r="169" spans="6:6" s="359" customFormat="1" ht="12" x14ac:dyDescent="0.2">
      <c r="F169" s="361"/>
    </row>
    <row r="170" spans="6:6" s="359" customFormat="1" ht="12" x14ac:dyDescent="0.2">
      <c r="F170" s="361"/>
    </row>
    <row r="171" spans="6:6" s="359" customFormat="1" ht="12" x14ac:dyDescent="0.2">
      <c r="F171" s="361"/>
    </row>
    <row r="172" spans="6:6" s="359" customFormat="1" ht="12" x14ac:dyDescent="0.2">
      <c r="F172" s="361"/>
    </row>
    <row r="173" spans="6:6" s="359" customFormat="1" ht="12" x14ac:dyDescent="0.2"/>
    <row r="174" spans="6:6" s="359" customFormat="1" ht="12" x14ac:dyDescent="0.2"/>
    <row r="175" spans="6:6" s="359" customFormat="1" ht="12" x14ac:dyDescent="0.2"/>
    <row r="176" spans="6:6" s="359" customFormat="1" ht="12" x14ac:dyDescent="0.2"/>
    <row r="177" s="359" customFormat="1" ht="12" x14ac:dyDescent="0.2"/>
    <row r="178" s="359" customFormat="1" ht="12" x14ac:dyDescent="0.2"/>
    <row r="179" s="359" customFormat="1" ht="12" x14ac:dyDescent="0.2"/>
    <row r="180" s="359" customFormat="1" ht="12" x14ac:dyDescent="0.2"/>
    <row r="181" s="359" customFormat="1" ht="12" x14ac:dyDescent="0.2"/>
    <row r="182" s="359" customFormat="1" ht="12" x14ac:dyDescent="0.2"/>
  </sheetData>
  <sheetProtection password="CC5E" sheet="1" objects="1" scenarios="1" selectLockedCells="1" selectUnlockedCells="1"/>
  <mergeCells count="1">
    <mergeCell ref="A1:E1"/>
  </mergeCells>
  <conditionalFormatting sqref="E61:AI61">
    <cfRule type="cellIs" dxfId="4" priority="1" operator="greaterThan">
      <formula>0</formula>
    </cfRule>
  </conditionalFormatting>
  <pageMargins left="0.15748031496062992" right="0.15748031496062992" top="0.21" bottom="0.31" header="0.2" footer="0.23"/>
  <pageSetup paperSize="9" scale="30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182"/>
  <sheetViews>
    <sheetView zoomScaleNormal="100" workbookViewId="0">
      <selection activeCell="B9" sqref="B9"/>
    </sheetView>
  </sheetViews>
  <sheetFormatPr defaultRowHeight="12.75" outlineLevelRow="2" x14ac:dyDescent="0.2"/>
  <cols>
    <col min="1" max="1" width="30.7109375" style="494" customWidth="1"/>
    <col min="2" max="2" width="8" style="494" customWidth="1"/>
    <col min="3" max="3" width="7.85546875" style="494" customWidth="1"/>
    <col min="4" max="4" width="8.28515625" style="494" customWidth="1"/>
    <col min="5" max="5" width="10" style="494" customWidth="1"/>
    <col min="6" max="6" width="9.85546875" style="494" customWidth="1"/>
    <col min="7" max="25" width="9.140625" style="494" customWidth="1"/>
    <col min="26" max="35" width="8.28515625" style="494" customWidth="1"/>
    <col min="36" max="16384" width="9.140625" style="494"/>
  </cols>
  <sheetData>
    <row r="1" spans="1:35" x14ac:dyDescent="0.2">
      <c r="A1" s="668" t="s">
        <v>45</v>
      </c>
      <c r="B1" s="668"/>
      <c r="C1" s="668"/>
      <c r="D1" s="668"/>
      <c r="E1" s="668"/>
      <c r="F1" s="505">
        <f>F8/F15</f>
        <v>2.7273929332255933</v>
      </c>
      <c r="G1" s="505">
        <f t="shared" ref="G1:AI1" si="0">G8/G15</f>
        <v>2.7273929332255933</v>
      </c>
      <c r="H1" s="505">
        <f t="shared" si="0"/>
        <v>2.7273929332255933</v>
      </c>
      <c r="I1" s="505">
        <f>I8/I15</f>
        <v>2.7273929332255933</v>
      </c>
      <c r="J1" s="505">
        <f t="shared" si="0"/>
        <v>2.7273929332255933</v>
      </c>
      <c r="K1" s="505">
        <f t="shared" si="0"/>
        <v>2.7273929332255933</v>
      </c>
      <c r="L1" s="505">
        <f t="shared" si="0"/>
        <v>2.7273929332255933</v>
      </c>
      <c r="M1" s="505">
        <f t="shared" si="0"/>
        <v>2.7273929332255933</v>
      </c>
      <c r="N1" s="505">
        <f t="shared" si="0"/>
        <v>2.7273929332255933</v>
      </c>
      <c r="O1" s="505">
        <f t="shared" si="0"/>
        <v>2.7273929332255933</v>
      </c>
      <c r="P1" s="505">
        <f t="shared" si="0"/>
        <v>2.7273929332255933</v>
      </c>
      <c r="Q1" s="505">
        <f t="shared" si="0"/>
        <v>2.7273929332255933</v>
      </c>
      <c r="R1" s="505">
        <f t="shared" si="0"/>
        <v>2.7273929332255933</v>
      </c>
      <c r="S1" s="505">
        <f t="shared" si="0"/>
        <v>2.7273929332255933</v>
      </c>
      <c r="T1" s="505">
        <f t="shared" si="0"/>
        <v>2.7273929332255933</v>
      </c>
      <c r="U1" s="505">
        <f t="shared" si="0"/>
        <v>2.7273929332255933</v>
      </c>
      <c r="V1" s="505">
        <f t="shared" si="0"/>
        <v>2.7273929332255933</v>
      </c>
      <c r="W1" s="505">
        <f t="shared" si="0"/>
        <v>2.7273929332255933</v>
      </c>
      <c r="X1" s="505">
        <f t="shared" si="0"/>
        <v>2.7273929332255933</v>
      </c>
      <c r="Y1" s="505">
        <f t="shared" si="0"/>
        <v>2.7273929332255933</v>
      </c>
      <c r="Z1" s="505">
        <f t="shared" si="0"/>
        <v>2.7273929332255933</v>
      </c>
      <c r="AA1" s="505">
        <f t="shared" si="0"/>
        <v>2.7273929332255933</v>
      </c>
      <c r="AB1" s="505">
        <f t="shared" si="0"/>
        <v>2.7273929332255933</v>
      </c>
      <c r="AC1" s="505">
        <f t="shared" si="0"/>
        <v>2.7273929332255933</v>
      </c>
      <c r="AD1" s="505">
        <f t="shared" si="0"/>
        <v>2.7273929332255933</v>
      </c>
      <c r="AE1" s="505">
        <f t="shared" si="0"/>
        <v>2.7273929332255933</v>
      </c>
      <c r="AF1" s="505">
        <f t="shared" si="0"/>
        <v>2.7273929332255933</v>
      </c>
      <c r="AG1" s="505">
        <f t="shared" si="0"/>
        <v>2.7273929332255933</v>
      </c>
      <c r="AH1" s="505">
        <f t="shared" si="0"/>
        <v>2.7273929332255933</v>
      </c>
      <c r="AI1" s="505">
        <f t="shared" si="0"/>
        <v>2.7273929332255933</v>
      </c>
    </row>
    <row r="2" spans="1:35" x14ac:dyDescent="0.2">
      <c r="A2" s="506"/>
      <c r="B2" s="506"/>
      <c r="C2" s="506"/>
      <c r="D2" s="506"/>
      <c r="E2" s="507" t="s">
        <v>46</v>
      </c>
      <c r="F2" s="508">
        <f>F10/F16</f>
        <v>3.12</v>
      </c>
      <c r="G2" s="508">
        <f t="shared" ref="G2:AI2" si="1">G10/G16</f>
        <v>3.12</v>
      </c>
      <c r="H2" s="508">
        <f t="shared" si="1"/>
        <v>3.12</v>
      </c>
      <c r="I2" s="508">
        <f t="shared" si="1"/>
        <v>3.12</v>
      </c>
      <c r="J2" s="508">
        <f t="shared" si="1"/>
        <v>3.12</v>
      </c>
      <c r="K2" s="508">
        <f t="shared" si="1"/>
        <v>3.12</v>
      </c>
      <c r="L2" s="508">
        <f t="shared" si="1"/>
        <v>3.12</v>
      </c>
      <c r="M2" s="508">
        <f t="shared" si="1"/>
        <v>3.12</v>
      </c>
      <c r="N2" s="508">
        <f t="shared" si="1"/>
        <v>3.12</v>
      </c>
      <c r="O2" s="508">
        <f t="shared" si="1"/>
        <v>3.12</v>
      </c>
      <c r="P2" s="508">
        <f t="shared" si="1"/>
        <v>3.12</v>
      </c>
      <c r="Q2" s="508">
        <f t="shared" si="1"/>
        <v>3.12</v>
      </c>
      <c r="R2" s="508">
        <f t="shared" si="1"/>
        <v>3.12</v>
      </c>
      <c r="S2" s="508">
        <f t="shared" si="1"/>
        <v>3.12</v>
      </c>
      <c r="T2" s="508">
        <f t="shared" si="1"/>
        <v>3.12</v>
      </c>
      <c r="U2" s="508">
        <f t="shared" si="1"/>
        <v>3.12</v>
      </c>
      <c r="V2" s="508">
        <f t="shared" si="1"/>
        <v>3.12</v>
      </c>
      <c r="W2" s="508">
        <f t="shared" si="1"/>
        <v>3.12</v>
      </c>
      <c r="X2" s="508">
        <f t="shared" si="1"/>
        <v>3.12</v>
      </c>
      <c r="Y2" s="508">
        <f t="shared" si="1"/>
        <v>3.12</v>
      </c>
      <c r="Z2" s="508">
        <f t="shared" si="1"/>
        <v>3.12</v>
      </c>
      <c r="AA2" s="508">
        <f t="shared" si="1"/>
        <v>3.12</v>
      </c>
      <c r="AB2" s="508">
        <f t="shared" si="1"/>
        <v>3.12</v>
      </c>
      <c r="AC2" s="508">
        <f t="shared" si="1"/>
        <v>3.12</v>
      </c>
      <c r="AD2" s="508">
        <f t="shared" si="1"/>
        <v>3.12</v>
      </c>
      <c r="AE2" s="508">
        <f t="shared" si="1"/>
        <v>3.12</v>
      </c>
      <c r="AF2" s="508">
        <f t="shared" si="1"/>
        <v>3.12</v>
      </c>
      <c r="AG2" s="508">
        <f t="shared" si="1"/>
        <v>3.12</v>
      </c>
      <c r="AH2" s="508">
        <f t="shared" si="1"/>
        <v>3.12</v>
      </c>
      <c r="AI2" s="508">
        <f t="shared" si="1"/>
        <v>3.12</v>
      </c>
    </row>
    <row r="3" spans="1:35" x14ac:dyDescent="0.2">
      <c r="A3" s="507"/>
      <c r="B3" s="507"/>
      <c r="C3" s="507"/>
      <c r="D3" s="507"/>
      <c r="E3" s="507" t="s">
        <v>141</v>
      </c>
      <c r="F3" s="509">
        <f>IFERROR(F11/F17,0)</f>
        <v>2.1</v>
      </c>
      <c r="G3" s="509">
        <f t="shared" ref="G3:AI3" si="2">IFERROR(G11/G17,0)</f>
        <v>2.1</v>
      </c>
      <c r="H3" s="509">
        <f t="shared" si="2"/>
        <v>2.1</v>
      </c>
      <c r="I3" s="509">
        <f t="shared" si="2"/>
        <v>2.1</v>
      </c>
      <c r="J3" s="509">
        <f t="shared" si="2"/>
        <v>2.1</v>
      </c>
      <c r="K3" s="509">
        <f t="shared" si="2"/>
        <v>2.1</v>
      </c>
      <c r="L3" s="509">
        <f t="shared" si="2"/>
        <v>2.1</v>
      </c>
      <c r="M3" s="509">
        <f t="shared" si="2"/>
        <v>2.1</v>
      </c>
      <c r="N3" s="509">
        <f t="shared" si="2"/>
        <v>2.1</v>
      </c>
      <c r="O3" s="509">
        <f t="shared" si="2"/>
        <v>2.1</v>
      </c>
      <c r="P3" s="509">
        <f t="shared" si="2"/>
        <v>2.1</v>
      </c>
      <c r="Q3" s="509">
        <f t="shared" si="2"/>
        <v>2.1</v>
      </c>
      <c r="R3" s="509">
        <f t="shared" si="2"/>
        <v>2.1</v>
      </c>
      <c r="S3" s="509">
        <f t="shared" si="2"/>
        <v>2.1</v>
      </c>
      <c r="T3" s="509">
        <f t="shared" si="2"/>
        <v>2.1</v>
      </c>
      <c r="U3" s="509">
        <f t="shared" si="2"/>
        <v>2.1</v>
      </c>
      <c r="V3" s="509">
        <f t="shared" si="2"/>
        <v>2.1</v>
      </c>
      <c r="W3" s="509">
        <f t="shared" si="2"/>
        <v>2.1</v>
      </c>
      <c r="X3" s="509">
        <f t="shared" si="2"/>
        <v>2.1</v>
      </c>
      <c r="Y3" s="509">
        <f t="shared" si="2"/>
        <v>2.1</v>
      </c>
      <c r="Z3" s="509">
        <f t="shared" si="2"/>
        <v>2.1</v>
      </c>
      <c r="AA3" s="509">
        <f t="shared" si="2"/>
        <v>2.1</v>
      </c>
      <c r="AB3" s="509">
        <f t="shared" si="2"/>
        <v>2.1</v>
      </c>
      <c r="AC3" s="509">
        <f t="shared" si="2"/>
        <v>2.1</v>
      </c>
      <c r="AD3" s="509">
        <f t="shared" si="2"/>
        <v>2.1</v>
      </c>
      <c r="AE3" s="509">
        <f t="shared" si="2"/>
        <v>2.1</v>
      </c>
      <c r="AF3" s="509">
        <f t="shared" si="2"/>
        <v>2.1</v>
      </c>
      <c r="AG3" s="509">
        <f t="shared" si="2"/>
        <v>2.1</v>
      </c>
      <c r="AH3" s="509">
        <f t="shared" si="2"/>
        <v>2.1</v>
      </c>
      <c r="AI3" s="509">
        <f t="shared" si="2"/>
        <v>2.1</v>
      </c>
    </row>
    <row r="4" spans="1:35" x14ac:dyDescent="0.2">
      <c r="A4" s="506"/>
      <c r="B4" s="506"/>
      <c r="C4" s="506"/>
      <c r="D4" s="506"/>
      <c r="E4" s="507" t="s">
        <v>47</v>
      </c>
      <c r="F4" s="508">
        <f>F12/F18</f>
        <v>1.7</v>
      </c>
      <c r="G4" s="508">
        <f t="shared" ref="G4:AI4" si="3">G12/G18</f>
        <v>1.7</v>
      </c>
      <c r="H4" s="508">
        <f t="shared" si="3"/>
        <v>1.7</v>
      </c>
      <c r="I4" s="508">
        <f t="shared" si="3"/>
        <v>1.7</v>
      </c>
      <c r="J4" s="508">
        <f t="shared" si="3"/>
        <v>1.7</v>
      </c>
      <c r="K4" s="508">
        <f t="shared" si="3"/>
        <v>1.7</v>
      </c>
      <c r="L4" s="508">
        <f t="shared" si="3"/>
        <v>1.7</v>
      </c>
      <c r="M4" s="508">
        <f t="shared" si="3"/>
        <v>1.7</v>
      </c>
      <c r="N4" s="508">
        <f t="shared" si="3"/>
        <v>1.7</v>
      </c>
      <c r="O4" s="508">
        <f t="shared" si="3"/>
        <v>1.7</v>
      </c>
      <c r="P4" s="508">
        <f t="shared" si="3"/>
        <v>1.7</v>
      </c>
      <c r="Q4" s="508">
        <f t="shared" si="3"/>
        <v>1.7</v>
      </c>
      <c r="R4" s="508">
        <f t="shared" si="3"/>
        <v>1.7</v>
      </c>
      <c r="S4" s="508">
        <f t="shared" si="3"/>
        <v>1.7</v>
      </c>
      <c r="T4" s="508">
        <f t="shared" si="3"/>
        <v>1.7</v>
      </c>
      <c r="U4" s="508">
        <f t="shared" si="3"/>
        <v>1.7</v>
      </c>
      <c r="V4" s="508">
        <f t="shared" si="3"/>
        <v>1.7</v>
      </c>
      <c r="W4" s="508">
        <f t="shared" si="3"/>
        <v>1.7</v>
      </c>
      <c r="X4" s="508">
        <f t="shared" si="3"/>
        <v>1.7</v>
      </c>
      <c r="Y4" s="508">
        <f t="shared" si="3"/>
        <v>1.7</v>
      </c>
      <c r="Z4" s="508">
        <f t="shared" si="3"/>
        <v>1.7</v>
      </c>
      <c r="AA4" s="508">
        <f t="shared" si="3"/>
        <v>1.7</v>
      </c>
      <c r="AB4" s="508">
        <f t="shared" si="3"/>
        <v>1.7</v>
      </c>
      <c r="AC4" s="508">
        <f t="shared" si="3"/>
        <v>1.7</v>
      </c>
      <c r="AD4" s="508">
        <f t="shared" si="3"/>
        <v>1.7</v>
      </c>
      <c r="AE4" s="508">
        <f t="shared" si="3"/>
        <v>1.7</v>
      </c>
      <c r="AF4" s="508">
        <f t="shared" si="3"/>
        <v>1.7</v>
      </c>
      <c r="AG4" s="508">
        <f t="shared" si="3"/>
        <v>1.7</v>
      </c>
      <c r="AH4" s="508">
        <f t="shared" si="3"/>
        <v>1.7</v>
      </c>
      <c r="AI4" s="508">
        <f t="shared" si="3"/>
        <v>1.7</v>
      </c>
    </row>
    <row r="5" spans="1:35" ht="14.25" customHeight="1" x14ac:dyDescent="0.3">
      <c r="A5" s="510" t="s">
        <v>128</v>
      </c>
      <c r="B5" s="511"/>
      <c r="C5" s="502">
        <f>цех!L105</f>
        <v>231046.12578306397</v>
      </c>
      <c r="D5" s="511"/>
      <c r="E5" s="512"/>
      <c r="F5" s="513" t="s">
        <v>73</v>
      </c>
      <c r="G5" s="513" t="s">
        <v>74</v>
      </c>
      <c r="H5" s="513" t="s">
        <v>75</v>
      </c>
      <c r="I5" s="513" t="s">
        <v>76</v>
      </c>
      <c r="J5" s="513" t="s">
        <v>66</v>
      </c>
      <c r="K5" s="513" t="s">
        <v>63</v>
      </c>
      <c r="L5" s="513" t="s">
        <v>67</v>
      </c>
      <c r="M5" s="513" t="s">
        <v>68</v>
      </c>
      <c r="N5" s="513" t="s">
        <v>69</v>
      </c>
      <c r="O5" s="513" t="s">
        <v>70</v>
      </c>
      <c r="P5" s="513" t="s">
        <v>71</v>
      </c>
      <c r="Q5" s="513" t="s">
        <v>72</v>
      </c>
      <c r="R5" s="513" t="s">
        <v>73</v>
      </c>
      <c r="S5" s="513" t="s">
        <v>74</v>
      </c>
      <c r="T5" s="513" t="s">
        <v>75</v>
      </c>
      <c r="U5" s="513" t="s">
        <v>76</v>
      </c>
      <c r="V5" s="513" t="s">
        <v>66</v>
      </c>
      <c r="W5" s="513" t="s">
        <v>63</v>
      </c>
      <c r="X5" s="513" t="s">
        <v>67</v>
      </c>
      <c r="Y5" s="513" t="s">
        <v>68</v>
      </c>
      <c r="Z5" s="513" t="s">
        <v>69</v>
      </c>
      <c r="AA5" s="513" t="s">
        <v>70</v>
      </c>
      <c r="AB5" s="513" t="s">
        <v>71</v>
      </c>
      <c r="AC5" s="513" t="s">
        <v>72</v>
      </c>
      <c r="AD5" s="513" t="s">
        <v>73</v>
      </c>
      <c r="AE5" s="513" t="s">
        <v>74</v>
      </c>
      <c r="AF5" s="513" t="s">
        <v>75</v>
      </c>
      <c r="AG5" s="513" t="s">
        <v>76</v>
      </c>
      <c r="AH5" s="513" t="s">
        <v>66</v>
      </c>
      <c r="AI5" s="513" t="s">
        <v>63</v>
      </c>
    </row>
    <row r="6" spans="1:35" ht="15" x14ac:dyDescent="0.25">
      <c r="A6" s="512"/>
      <c r="B6" s="511"/>
      <c r="C6" s="511"/>
      <c r="D6" s="507" t="s">
        <v>43</v>
      </c>
      <c r="E6" s="503">
        <v>0</v>
      </c>
      <c r="F6" s="503">
        <v>0</v>
      </c>
      <c r="G6" s="502"/>
      <c r="H6" s="502"/>
      <c r="I6" s="502"/>
      <c r="J6" s="502"/>
      <c r="K6" s="502"/>
      <c r="L6" s="502"/>
      <c r="M6" s="502"/>
      <c r="N6" s="502"/>
      <c r="O6" s="502"/>
      <c r="P6" s="502"/>
      <c r="Q6" s="502"/>
      <c r="R6" s="502"/>
      <c r="S6" s="511"/>
      <c r="T6" s="511"/>
      <c r="U6" s="511"/>
    </row>
    <row r="7" spans="1:35" x14ac:dyDescent="0.2">
      <c r="A7" s="512" t="s">
        <v>1</v>
      </c>
      <c r="B7" s="512"/>
      <c r="C7" s="512"/>
      <c r="D7" s="512"/>
      <c r="E7" s="512"/>
      <c r="F7" s="514">
        <f>цех!$E$76</f>
        <v>20000</v>
      </c>
      <c r="G7" s="514">
        <f>цех!$E$76</f>
        <v>20000</v>
      </c>
      <c r="H7" s="514">
        <f>цех!$E$76</f>
        <v>20000</v>
      </c>
      <c r="I7" s="514">
        <f>цех!$E$76</f>
        <v>20000</v>
      </c>
      <c r="J7" s="514">
        <f>цех!$E$76</f>
        <v>20000</v>
      </c>
      <c r="K7" s="514">
        <f>цех!$E$76</f>
        <v>20000</v>
      </c>
      <c r="L7" s="514">
        <f>цех!$E$76</f>
        <v>20000</v>
      </c>
      <c r="M7" s="514">
        <f>цех!$E$76</f>
        <v>20000</v>
      </c>
      <c r="N7" s="514">
        <f>цех!$E$76</f>
        <v>20000</v>
      </c>
      <c r="O7" s="514">
        <f>цех!$E$76</f>
        <v>20000</v>
      </c>
      <c r="P7" s="514">
        <f>цех!$E$76</f>
        <v>20000</v>
      </c>
      <c r="Q7" s="514">
        <f>цех!$E$76</f>
        <v>20000</v>
      </c>
      <c r="R7" s="514">
        <f>цех!$E$76</f>
        <v>20000</v>
      </c>
      <c r="S7" s="514">
        <f>цех!$E$76</f>
        <v>20000</v>
      </c>
      <c r="T7" s="514">
        <f>цех!$E$76</f>
        <v>20000</v>
      </c>
      <c r="U7" s="514">
        <f>цех!$E$76</f>
        <v>20000</v>
      </c>
      <c r="V7" s="514">
        <f>цех!$E$76</f>
        <v>20000</v>
      </c>
      <c r="W7" s="514">
        <f>цех!$E$76</f>
        <v>20000</v>
      </c>
      <c r="X7" s="514">
        <f>цех!$E$76</f>
        <v>20000</v>
      </c>
      <c r="Y7" s="514">
        <f>цех!$E$76</f>
        <v>20000</v>
      </c>
      <c r="Z7" s="514">
        <f>цех!$E$76</f>
        <v>20000</v>
      </c>
      <c r="AA7" s="514">
        <f>цех!$E$76</f>
        <v>20000</v>
      </c>
      <c r="AB7" s="514">
        <f>цех!$E$76</f>
        <v>20000</v>
      </c>
      <c r="AC7" s="514">
        <f>цех!$E$76</f>
        <v>20000</v>
      </c>
      <c r="AD7" s="514">
        <f>цех!$E$76</f>
        <v>20000</v>
      </c>
      <c r="AE7" s="514">
        <f>цех!$E$76</f>
        <v>20000</v>
      </c>
      <c r="AF7" s="514">
        <f>цех!$E$76</f>
        <v>20000</v>
      </c>
      <c r="AG7" s="514">
        <f>цех!$E$76</f>
        <v>20000</v>
      </c>
      <c r="AH7" s="514">
        <f>цех!$E$76</f>
        <v>20000</v>
      </c>
      <c r="AI7" s="514">
        <f>цех!$E$76</f>
        <v>20000</v>
      </c>
    </row>
    <row r="8" spans="1:35" x14ac:dyDescent="0.2">
      <c r="A8" s="512" t="s">
        <v>2</v>
      </c>
      <c r="B8" s="512"/>
      <c r="C8" s="512"/>
      <c r="D8" s="512"/>
      <c r="E8" s="512"/>
      <c r="F8" s="514">
        <f t="shared" ref="F8" si="4">F7*30</f>
        <v>600000</v>
      </c>
      <c r="G8" s="514">
        <f t="shared" ref="G8:AI8" si="5">G7*30</f>
        <v>600000</v>
      </c>
      <c r="H8" s="514">
        <f t="shared" si="5"/>
        <v>600000</v>
      </c>
      <c r="I8" s="514">
        <f t="shared" si="5"/>
        <v>600000</v>
      </c>
      <c r="J8" s="514">
        <f t="shared" si="5"/>
        <v>600000</v>
      </c>
      <c r="K8" s="514">
        <f t="shared" si="5"/>
        <v>600000</v>
      </c>
      <c r="L8" s="514">
        <f t="shared" si="5"/>
        <v>600000</v>
      </c>
      <c r="M8" s="514">
        <f t="shared" si="5"/>
        <v>600000</v>
      </c>
      <c r="N8" s="514">
        <f t="shared" si="5"/>
        <v>600000</v>
      </c>
      <c r="O8" s="514">
        <f>O7*30</f>
        <v>600000</v>
      </c>
      <c r="P8" s="514">
        <f t="shared" si="5"/>
        <v>600000</v>
      </c>
      <c r="Q8" s="514">
        <f t="shared" si="5"/>
        <v>600000</v>
      </c>
      <c r="R8" s="514">
        <f t="shared" si="5"/>
        <v>600000</v>
      </c>
      <c r="S8" s="514">
        <f t="shared" si="5"/>
        <v>600000</v>
      </c>
      <c r="T8" s="514">
        <f t="shared" si="5"/>
        <v>600000</v>
      </c>
      <c r="U8" s="514">
        <f t="shared" si="5"/>
        <v>600000</v>
      </c>
      <c r="V8" s="514">
        <f t="shared" si="5"/>
        <v>600000</v>
      </c>
      <c r="W8" s="514">
        <f t="shared" si="5"/>
        <v>600000</v>
      </c>
      <c r="X8" s="514">
        <f t="shared" si="5"/>
        <v>600000</v>
      </c>
      <c r="Y8" s="514">
        <f t="shared" si="5"/>
        <v>600000</v>
      </c>
      <c r="Z8" s="514">
        <f t="shared" si="5"/>
        <v>600000</v>
      </c>
      <c r="AA8" s="514">
        <f t="shared" si="5"/>
        <v>600000</v>
      </c>
      <c r="AB8" s="514">
        <f t="shared" si="5"/>
        <v>600000</v>
      </c>
      <c r="AC8" s="514">
        <f t="shared" si="5"/>
        <v>600000</v>
      </c>
      <c r="AD8" s="514">
        <f t="shared" si="5"/>
        <v>600000</v>
      </c>
      <c r="AE8" s="514">
        <f t="shared" si="5"/>
        <v>600000</v>
      </c>
      <c r="AF8" s="514">
        <f t="shared" si="5"/>
        <v>600000</v>
      </c>
      <c r="AG8" s="514">
        <f t="shared" si="5"/>
        <v>600000</v>
      </c>
      <c r="AH8" s="514">
        <f t="shared" si="5"/>
        <v>600000</v>
      </c>
      <c r="AI8" s="514">
        <f t="shared" si="5"/>
        <v>600000</v>
      </c>
    </row>
    <row r="9" spans="1:35" x14ac:dyDescent="0.2">
      <c r="A9" s="512" t="s">
        <v>3</v>
      </c>
      <c r="B9" s="512"/>
      <c r="C9" s="512"/>
      <c r="D9" s="512"/>
      <c r="E9" s="512"/>
      <c r="F9" s="514"/>
      <c r="G9" s="514"/>
      <c r="H9" s="514"/>
      <c r="I9" s="514"/>
      <c r="J9" s="514"/>
      <c r="K9" s="514"/>
      <c r="L9" s="514"/>
      <c r="M9" s="514"/>
      <c r="N9" s="514"/>
      <c r="O9" s="514"/>
      <c r="P9" s="514"/>
      <c r="Q9" s="514"/>
      <c r="R9" s="514"/>
      <c r="S9" s="514"/>
      <c r="T9" s="514"/>
      <c r="U9" s="514"/>
      <c r="V9" s="514"/>
      <c r="W9" s="514"/>
      <c r="X9" s="514"/>
      <c r="Y9" s="514"/>
      <c r="Z9" s="514"/>
      <c r="AA9" s="514"/>
      <c r="AB9" s="514"/>
      <c r="AC9" s="514"/>
      <c r="AD9" s="514"/>
      <c r="AE9" s="514"/>
      <c r="AF9" s="514"/>
      <c r="AG9" s="514"/>
      <c r="AH9" s="514"/>
      <c r="AI9" s="514"/>
    </row>
    <row r="10" spans="1:35" x14ac:dyDescent="0.2">
      <c r="A10" s="512" t="s">
        <v>4</v>
      </c>
      <c r="B10" s="512"/>
      <c r="C10" s="512" t="s">
        <v>5</v>
      </c>
      <c r="D10" s="515">
        <f>цех!I120</f>
        <v>0.79</v>
      </c>
      <c r="E10" s="512"/>
      <c r="F10" s="514">
        <f>F8*$D10</f>
        <v>474000</v>
      </c>
      <c r="G10" s="514">
        <f t="shared" ref="G10:AI10" si="6">G8*$D10</f>
        <v>474000</v>
      </c>
      <c r="H10" s="514">
        <f t="shared" si="6"/>
        <v>474000</v>
      </c>
      <c r="I10" s="514">
        <f t="shared" si="6"/>
        <v>474000</v>
      </c>
      <c r="J10" s="514">
        <f t="shared" si="6"/>
        <v>474000</v>
      </c>
      <c r="K10" s="514">
        <f t="shared" si="6"/>
        <v>474000</v>
      </c>
      <c r="L10" s="514">
        <f t="shared" si="6"/>
        <v>474000</v>
      </c>
      <c r="M10" s="514">
        <f t="shared" si="6"/>
        <v>474000</v>
      </c>
      <c r="N10" s="514">
        <f t="shared" si="6"/>
        <v>474000</v>
      </c>
      <c r="O10" s="514">
        <f t="shared" si="6"/>
        <v>474000</v>
      </c>
      <c r="P10" s="514">
        <f t="shared" si="6"/>
        <v>474000</v>
      </c>
      <c r="Q10" s="514">
        <f t="shared" si="6"/>
        <v>474000</v>
      </c>
      <c r="R10" s="514">
        <f t="shared" si="6"/>
        <v>474000</v>
      </c>
      <c r="S10" s="514">
        <f t="shared" si="6"/>
        <v>474000</v>
      </c>
      <c r="T10" s="514">
        <f t="shared" si="6"/>
        <v>474000</v>
      </c>
      <c r="U10" s="514">
        <f t="shared" si="6"/>
        <v>474000</v>
      </c>
      <c r="V10" s="514">
        <f t="shared" si="6"/>
        <v>474000</v>
      </c>
      <c r="W10" s="514">
        <f t="shared" si="6"/>
        <v>474000</v>
      </c>
      <c r="X10" s="514">
        <f t="shared" si="6"/>
        <v>474000</v>
      </c>
      <c r="Y10" s="514">
        <f t="shared" si="6"/>
        <v>474000</v>
      </c>
      <c r="Z10" s="514">
        <f t="shared" si="6"/>
        <v>474000</v>
      </c>
      <c r="AA10" s="514">
        <f t="shared" si="6"/>
        <v>474000</v>
      </c>
      <c r="AB10" s="514">
        <f t="shared" si="6"/>
        <v>474000</v>
      </c>
      <c r="AC10" s="514">
        <f t="shared" si="6"/>
        <v>474000</v>
      </c>
      <c r="AD10" s="514">
        <f t="shared" si="6"/>
        <v>474000</v>
      </c>
      <c r="AE10" s="514">
        <f t="shared" si="6"/>
        <v>474000</v>
      </c>
      <c r="AF10" s="514">
        <f t="shared" si="6"/>
        <v>474000</v>
      </c>
      <c r="AG10" s="514">
        <f t="shared" si="6"/>
        <v>474000</v>
      </c>
      <c r="AH10" s="514">
        <f t="shared" si="6"/>
        <v>474000</v>
      </c>
      <c r="AI10" s="514">
        <f t="shared" si="6"/>
        <v>474000</v>
      </c>
    </row>
    <row r="11" spans="1:35" x14ac:dyDescent="0.2">
      <c r="A11" s="512" t="s">
        <v>6</v>
      </c>
      <c r="B11" s="512"/>
      <c r="C11" s="512" t="s">
        <v>5</v>
      </c>
      <c r="D11" s="515">
        <f>цех!I121</f>
        <v>0.09</v>
      </c>
      <c r="E11" s="512"/>
      <c r="F11" s="514">
        <f>F8*$D$11</f>
        <v>54000</v>
      </c>
      <c r="G11" s="514">
        <f t="shared" ref="G11:AI11" si="7">G8*$D$11</f>
        <v>54000</v>
      </c>
      <c r="H11" s="514">
        <f t="shared" si="7"/>
        <v>54000</v>
      </c>
      <c r="I11" s="514">
        <f t="shared" si="7"/>
        <v>54000</v>
      </c>
      <c r="J11" s="514">
        <f t="shared" si="7"/>
        <v>54000</v>
      </c>
      <c r="K11" s="514">
        <f t="shared" si="7"/>
        <v>54000</v>
      </c>
      <c r="L11" s="514">
        <f t="shared" si="7"/>
        <v>54000</v>
      </c>
      <c r="M11" s="514">
        <f t="shared" si="7"/>
        <v>54000</v>
      </c>
      <c r="N11" s="514">
        <f t="shared" si="7"/>
        <v>54000</v>
      </c>
      <c r="O11" s="514">
        <f t="shared" si="7"/>
        <v>54000</v>
      </c>
      <c r="P11" s="514">
        <f t="shared" si="7"/>
        <v>54000</v>
      </c>
      <c r="Q11" s="514">
        <f t="shared" si="7"/>
        <v>54000</v>
      </c>
      <c r="R11" s="514">
        <f t="shared" si="7"/>
        <v>54000</v>
      </c>
      <c r="S11" s="514">
        <f t="shared" si="7"/>
        <v>54000</v>
      </c>
      <c r="T11" s="514">
        <f t="shared" si="7"/>
        <v>54000</v>
      </c>
      <c r="U11" s="514">
        <f t="shared" si="7"/>
        <v>54000</v>
      </c>
      <c r="V11" s="514">
        <f t="shared" si="7"/>
        <v>54000</v>
      </c>
      <c r="W11" s="514">
        <f t="shared" si="7"/>
        <v>54000</v>
      </c>
      <c r="X11" s="514">
        <f t="shared" si="7"/>
        <v>54000</v>
      </c>
      <c r="Y11" s="514">
        <f t="shared" si="7"/>
        <v>54000</v>
      </c>
      <c r="Z11" s="514">
        <f t="shared" si="7"/>
        <v>54000</v>
      </c>
      <c r="AA11" s="514">
        <f t="shared" si="7"/>
        <v>54000</v>
      </c>
      <c r="AB11" s="514">
        <f t="shared" si="7"/>
        <v>54000</v>
      </c>
      <c r="AC11" s="514">
        <f t="shared" si="7"/>
        <v>54000</v>
      </c>
      <c r="AD11" s="514">
        <f t="shared" si="7"/>
        <v>54000</v>
      </c>
      <c r="AE11" s="514">
        <f t="shared" si="7"/>
        <v>54000</v>
      </c>
      <c r="AF11" s="514">
        <f t="shared" si="7"/>
        <v>54000</v>
      </c>
      <c r="AG11" s="514">
        <f t="shared" si="7"/>
        <v>54000</v>
      </c>
      <c r="AH11" s="514">
        <f t="shared" si="7"/>
        <v>54000</v>
      </c>
      <c r="AI11" s="514">
        <f t="shared" si="7"/>
        <v>54000</v>
      </c>
    </row>
    <row r="12" spans="1:35" x14ac:dyDescent="0.2">
      <c r="A12" s="512" t="s">
        <v>7</v>
      </c>
      <c r="B12" s="512"/>
      <c r="C12" s="512" t="s">
        <v>5</v>
      </c>
      <c r="D12" s="515">
        <f>цех!I122</f>
        <v>0.12</v>
      </c>
      <c r="E12" s="512"/>
      <c r="F12" s="514">
        <f>F8*$D12</f>
        <v>72000</v>
      </c>
      <c r="G12" s="514">
        <f t="shared" ref="G12:AI12" si="8">G8*$D12</f>
        <v>72000</v>
      </c>
      <c r="H12" s="514">
        <f t="shared" si="8"/>
        <v>72000</v>
      </c>
      <c r="I12" s="514">
        <f t="shared" si="8"/>
        <v>72000</v>
      </c>
      <c r="J12" s="514">
        <f t="shared" si="8"/>
        <v>72000</v>
      </c>
      <c r="K12" s="514">
        <f t="shared" si="8"/>
        <v>72000</v>
      </c>
      <c r="L12" s="514">
        <f t="shared" si="8"/>
        <v>72000</v>
      </c>
      <c r="M12" s="514">
        <f t="shared" si="8"/>
        <v>72000</v>
      </c>
      <c r="N12" s="514">
        <f t="shared" si="8"/>
        <v>72000</v>
      </c>
      <c r="O12" s="514">
        <f t="shared" si="8"/>
        <v>72000</v>
      </c>
      <c r="P12" s="514">
        <f t="shared" si="8"/>
        <v>72000</v>
      </c>
      <c r="Q12" s="514">
        <f t="shared" si="8"/>
        <v>72000</v>
      </c>
      <c r="R12" s="514">
        <f t="shared" si="8"/>
        <v>72000</v>
      </c>
      <c r="S12" s="514">
        <f t="shared" si="8"/>
        <v>72000</v>
      </c>
      <c r="T12" s="514">
        <f t="shared" si="8"/>
        <v>72000</v>
      </c>
      <c r="U12" s="514">
        <f t="shared" si="8"/>
        <v>72000</v>
      </c>
      <c r="V12" s="514">
        <f t="shared" si="8"/>
        <v>72000</v>
      </c>
      <c r="W12" s="514">
        <f t="shared" si="8"/>
        <v>72000</v>
      </c>
      <c r="X12" s="514">
        <f t="shared" si="8"/>
        <v>72000</v>
      </c>
      <c r="Y12" s="514">
        <f t="shared" si="8"/>
        <v>72000</v>
      </c>
      <c r="Z12" s="514">
        <f t="shared" si="8"/>
        <v>72000</v>
      </c>
      <c r="AA12" s="514">
        <f t="shared" si="8"/>
        <v>72000</v>
      </c>
      <c r="AB12" s="514">
        <f t="shared" si="8"/>
        <v>72000</v>
      </c>
      <c r="AC12" s="514">
        <f t="shared" si="8"/>
        <v>72000</v>
      </c>
      <c r="AD12" s="514">
        <f t="shared" si="8"/>
        <v>72000</v>
      </c>
      <c r="AE12" s="514">
        <f t="shared" si="8"/>
        <v>72000</v>
      </c>
      <c r="AF12" s="514">
        <f t="shared" si="8"/>
        <v>72000</v>
      </c>
      <c r="AG12" s="514">
        <f t="shared" si="8"/>
        <v>72000</v>
      </c>
      <c r="AH12" s="514">
        <f t="shared" si="8"/>
        <v>72000</v>
      </c>
      <c r="AI12" s="514">
        <f t="shared" si="8"/>
        <v>72000</v>
      </c>
    </row>
    <row r="13" spans="1:35" x14ac:dyDescent="0.2">
      <c r="A13" s="512" t="s">
        <v>8</v>
      </c>
      <c r="B13" s="512"/>
      <c r="C13" s="512" t="s">
        <v>5</v>
      </c>
      <c r="D13" s="516">
        <v>0.33</v>
      </c>
      <c r="E13" s="512"/>
      <c r="F13" s="514">
        <f>F8*$D13</f>
        <v>198000</v>
      </c>
      <c r="G13" s="514">
        <f>G8*$D13</f>
        <v>198000</v>
      </c>
      <c r="H13" s="514">
        <f t="shared" ref="H13:AI13" si="9">H8*$D13</f>
        <v>198000</v>
      </c>
      <c r="I13" s="514">
        <f t="shared" si="9"/>
        <v>198000</v>
      </c>
      <c r="J13" s="514">
        <f t="shared" si="9"/>
        <v>198000</v>
      </c>
      <c r="K13" s="514">
        <f t="shared" si="9"/>
        <v>198000</v>
      </c>
      <c r="L13" s="514">
        <f t="shared" si="9"/>
        <v>198000</v>
      </c>
      <c r="M13" s="514">
        <f t="shared" si="9"/>
        <v>198000</v>
      </c>
      <c r="N13" s="514">
        <f t="shared" si="9"/>
        <v>198000</v>
      </c>
      <c r="O13" s="514">
        <f t="shared" si="9"/>
        <v>198000</v>
      </c>
      <c r="P13" s="514">
        <f t="shared" si="9"/>
        <v>198000</v>
      </c>
      <c r="Q13" s="514">
        <f t="shared" si="9"/>
        <v>198000</v>
      </c>
      <c r="R13" s="514">
        <f t="shared" si="9"/>
        <v>198000</v>
      </c>
      <c r="S13" s="514">
        <f t="shared" si="9"/>
        <v>198000</v>
      </c>
      <c r="T13" s="514">
        <f t="shared" si="9"/>
        <v>198000</v>
      </c>
      <c r="U13" s="514">
        <f t="shared" si="9"/>
        <v>198000</v>
      </c>
      <c r="V13" s="514">
        <f t="shared" si="9"/>
        <v>198000</v>
      </c>
      <c r="W13" s="514">
        <f t="shared" si="9"/>
        <v>198000</v>
      </c>
      <c r="X13" s="514">
        <f t="shared" si="9"/>
        <v>198000</v>
      </c>
      <c r="Y13" s="514">
        <f t="shared" si="9"/>
        <v>198000</v>
      </c>
      <c r="Z13" s="514">
        <f t="shared" si="9"/>
        <v>198000</v>
      </c>
      <c r="AA13" s="514">
        <f t="shared" si="9"/>
        <v>198000</v>
      </c>
      <c r="AB13" s="514">
        <f t="shared" si="9"/>
        <v>198000</v>
      </c>
      <c r="AC13" s="514">
        <f t="shared" si="9"/>
        <v>198000</v>
      </c>
      <c r="AD13" s="514">
        <f t="shared" si="9"/>
        <v>198000</v>
      </c>
      <c r="AE13" s="514">
        <f t="shared" si="9"/>
        <v>198000</v>
      </c>
      <c r="AF13" s="514">
        <f t="shared" si="9"/>
        <v>198000</v>
      </c>
      <c r="AG13" s="514">
        <f t="shared" si="9"/>
        <v>198000</v>
      </c>
      <c r="AH13" s="514">
        <f t="shared" si="9"/>
        <v>198000</v>
      </c>
      <c r="AI13" s="514">
        <f t="shared" si="9"/>
        <v>198000</v>
      </c>
    </row>
    <row r="14" spans="1:35" x14ac:dyDescent="0.2">
      <c r="A14" s="512" t="s">
        <v>9</v>
      </c>
      <c r="B14" s="512"/>
      <c r="C14" s="512" t="s">
        <v>5</v>
      </c>
      <c r="D14" s="516">
        <v>0.67</v>
      </c>
      <c r="E14" s="512"/>
      <c r="F14" s="514">
        <f>F8*$D14</f>
        <v>402000</v>
      </c>
      <c r="G14" s="514">
        <f>G8*$D14</f>
        <v>402000</v>
      </c>
      <c r="H14" s="514">
        <f t="shared" ref="H14:AI14" si="10">H8*$D14</f>
        <v>402000</v>
      </c>
      <c r="I14" s="514">
        <f t="shared" si="10"/>
        <v>402000</v>
      </c>
      <c r="J14" s="514">
        <f t="shared" si="10"/>
        <v>402000</v>
      </c>
      <c r="K14" s="514">
        <f t="shared" si="10"/>
        <v>402000</v>
      </c>
      <c r="L14" s="514">
        <f t="shared" si="10"/>
        <v>402000</v>
      </c>
      <c r="M14" s="514">
        <f t="shared" si="10"/>
        <v>402000</v>
      </c>
      <c r="N14" s="514">
        <f t="shared" si="10"/>
        <v>402000</v>
      </c>
      <c r="O14" s="514">
        <f t="shared" si="10"/>
        <v>402000</v>
      </c>
      <c r="P14" s="514">
        <f t="shared" si="10"/>
        <v>402000</v>
      </c>
      <c r="Q14" s="514">
        <f t="shared" si="10"/>
        <v>402000</v>
      </c>
      <c r="R14" s="514">
        <f t="shared" si="10"/>
        <v>402000</v>
      </c>
      <c r="S14" s="514">
        <f t="shared" si="10"/>
        <v>402000</v>
      </c>
      <c r="T14" s="514">
        <f t="shared" si="10"/>
        <v>402000</v>
      </c>
      <c r="U14" s="514">
        <f t="shared" si="10"/>
        <v>402000</v>
      </c>
      <c r="V14" s="514">
        <f t="shared" si="10"/>
        <v>402000</v>
      </c>
      <c r="W14" s="514">
        <f t="shared" si="10"/>
        <v>402000</v>
      </c>
      <c r="X14" s="514">
        <f t="shared" si="10"/>
        <v>402000</v>
      </c>
      <c r="Y14" s="514">
        <f t="shared" si="10"/>
        <v>402000</v>
      </c>
      <c r="Z14" s="514">
        <f t="shared" si="10"/>
        <v>402000</v>
      </c>
      <c r="AA14" s="514">
        <f t="shared" si="10"/>
        <v>402000</v>
      </c>
      <c r="AB14" s="514">
        <f t="shared" si="10"/>
        <v>402000</v>
      </c>
      <c r="AC14" s="514">
        <f t="shared" si="10"/>
        <v>402000</v>
      </c>
      <c r="AD14" s="514">
        <f t="shared" si="10"/>
        <v>402000</v>
      </c>
      <c r="AE14" s="514">
        <f t="shared" si="10"/>
        <v>402000</v>
      </c>
      <c r="AF14" s="514">
        <f t="shared" si="10"/>
        <v>402000</v>
      </c>
      <c r="AG14" s="514">
        <f t="shared" si="10"/>
        <v>402000</v>
      </c>
      <c r="AH14" s="514">
        <f t="shared" si="10"/>
        <v>402000</v>
      </c>
      <c r="AI14" s="514">
        <f t="shared" si="10"/>
        <v>402000</v>
      </c>
    </row>
    <row r="15" spans="1:35" x14ac:dyDescent="0.2">
      <c r="A15" s="512"/>
      <c r="B15" s="512"/>
      <c r="C15" s="512"/>
      <c r="D15" s="516"/>
      <c r="E15" s="512"/>
      <c r="F15" s="514">
        <f>F16+F17+F18</f>
        <v>219990.30381383322</v>
      </c>
      <c r="G15" s="514">
        <f t="shared" ref="G15:AI15" si="11">G16+G17+G18</f>
        <v>219990.30381383322</v>
      </c>
      <c r="H15" s="514">
        <f t="shared" si="11"/>
        <v>219990.30381383322</v>
      </c>
      <c r="I15" s="514">
        <f t="shared" si="11"/>
        <v>219990.30381383322</v>
      </c>
      <c r="J15" s="514">
        <f t="shared" si="11"/>
        <v>219990.30381383322</v>
      </c>
      <c r="K15" s="514">
        <f t="shared" si="11"/>
        <v>219990.30381383322</v>
      </c>
      <c r="L15" s="514">
        <f t="shared" si="11"/>
        <v>219990.30381383322</v>
      </c>
      <c r="M15" s="514">
        <f t="shared" si="11"/>
        <v>219990.30381383322</v>
      </c>
      <c r="N15" s="514">
        <f t="shared" si="11"/>
        <v>219990.30381383322</v>
      </c>
      <c r="O15" s="514">
        <f t="shared" si="11"/>
        <v>219990.30381383322</v>
      </c>
      <c r="P15" s="514">
        <f t="shared" si="11"/>
        <v>219990.30381383322</v>
      </c>
      <c r="Q15" s="514">
        <f t="shared" si="11"/>
        <v>219990.30381383322</v>
      </c>
      <c r="R15" s="514">
        <f t="shared" si="11"/>
        <v>219990.30381383322</v>
      </c>
      <c r="S15" s="514">
        <f t="shared" si="11"/>
        <v>219990.30381383322</v>
      </c>
      <c r="T15" s="514">
        <f t="shared" si="11"/>
        <v>219990.30381383322</v>
      </c>
      <c r="U15" s="514">
        <f t="shared" si="11"/>
        <v>219990.30381383322</v>
      </c>
      <c r="V15" s="514">
        <f t="shared" si="11"/>
        <v>219990.30381383322</v>
      </c>
      <c r="W15" s="514">
        <f t="shared" si="11"/>
        <v>219990.30381383322</v>
      </c>
      <c r="X15" s="514">
        <f t="shared" si="11"/>
        <v>219990.30381383322</v>
      </c>
      <c r="Y15" s="514">
        <f t="shared" si="11"/>
        <v>219990.30381383322</v>
      </c>
      <c r="Z15" s="514">
        <f t="shared" si="11"/>
        <v>219990.30381383322</v>
      </c>
      <c r="AA15" s="514">
        <f t="shared" si="11"/>
        <v>219990.30381383322</v>
      </c>
      <c r="AB15" s="514">
        <f t="shared" si="11"/>
        <v>219990.30381383322</v>
      </c>
      <c r="AC15" s="514">
        <f t="shared" si="11"/>
        <v>219990.30381383322</v>
      </c>
      <c r="AD15" s="514">
        <f t="shared" si="11"/>
        <v>219990.30381383322</v>
      </c>
      <c r="AE15" s="514">
        <f t="shared" si="11"/>
        <v>219990.30381383322</v>
      </c>
      <c r="AF15" s="514">
        <f t="shared" si="11"/>
        <v>219990.30381383322</v>
      </c>
      <c r="AG15" s="514">
        <f t="shared" si="11"/>
        <v>219990.30381383322</v>
      </c>
      <c r="AH15" s="514">
        <f t="shared" si="11"/>
        <v>219990.30381383322</v>
      </c>
      <c r="AI15" s="514">
        <f t="shared" si="11"/>
        <v>219990.30381383322</v>
      </c>
    </row>
    <row r="16" spans="1:35" x14ac:dyDescent="0.2">
      <c r="A16" s="512" t="s">
        <v>135</v>
      </c>
      <c r="B16" s="512"/>
      <c r="C16" s="512"/>
      <c r="D16" s="517">
        <f>цех!J120</f>
        <v>3.12</v>
      </c>
      <c r="E16" s="512"/>
      <c r="F16" s="514">
        <f>F10/$D$16</f>
        <v>151923.07692307691</v>
      </c>
      <c r="G16" s="514">
        <f t="shared" ref="G16:AI16" si="12">G10/$D$16</f>
        <v>151923.07692307691</v>
      </c>
      <c r="H16" s="514">
        <f t="shared" si="12"/>
        <v>151923.07692307691</v>
      </c>
      <c r="I16" s="514">
        <f t="shared" si="12"/>
        <v>151923.07692307691</v>
      </c>
      <c r="J16" s="514">
        <f t="shared" si="12"/>
        <v>151923.07692307691</v>
      </c>
      <c r="K16" s="514">
        <f t="shared" si="12"/>
        <v>151923.07692307691</v>
      </c>
      <c r="L16" s="514">
        <f t="shared" si="12"/>
        <v>151923.07692307691</v>
      </c>
      <c r="M16" s="514">
        <f t="shared" si="12"/>
        <v>151923.07692307691</v>
      </c>
      <c r="N16" s="514">
        <f t="shared" si="12"/>
        <v>151923.07692307691</v>
      </c>
      <c r="O16" s="514">
        <f t="shared" si="12"/>
        <v>151923.07692307691</v>
      </c>
      <c r="P16" s="514">
        <f t="shared" si="12"/>
        <v>151923.07692307691</v>
      </c>
      <c r="Q16" s="514">
        <f t="shared" si="12"/>
        <v>151923.07692307691</v>
      </c>
      <c r="R16" s="514">
        <f t="shared" si="12"/>
        <v>151923.07692307691</v>
      </c>
      <c r="S16" s="514">
        <f t="shared" si="12"/>
        <v>151923.07692307691</v>
      </c>
      <c r="T16" s="514">
        <f t="shared" si="12"/>
        <v>151923.07692307691</v>
      </c>
      <c r="U16" s="514">
        <f t="shared" si="12"/>
        <v>151923.07692307691</v>
      </c>
      <c r="V16" s="514">
        <f t="shared" si="12"/>
        <v>151923.07692307691</v>
      </c>
      <c r="W16" s="514">
        <f t="shared" si="12"/>
        <v>151923.07692307691</v>
      </c>
      <c r="X16" s="514">
        <f t="shared" si="12"/>
        <v>151923.07692307691</v>
      </c>
      <c r="Y16" s="514">
        <f t="shared" si="12"/>
        <v>151923.07692307691</v>
      </c>
      <c r="Z16" s="514">
        <f t="shared" si="12"/>
        <v>151923.07692307691</v>
      </c>
      <c r="AA16" s="514">
        <f t="shared" si="12"/>
        <v>151923.07692307691</v>
      </c>
      <c r="AB16" s="514">
        <f t="shared" si="12"/>
        <v>151923.07692307691</v>
      </c>
      <c r="AC16" s="514">
        <f t="shared" si="12"/>
        <v>151923.07692307691</v>
      </c>
      <c r="AD16" s="514">
        <f t="shared" si="12"/>
        <v>151923.07692307691</v>
      </c>
      <c r="AE16" s="514">
        <f t="shared" si="12"/>
        <v>151923.07692307691</v>
      </c>
      <c r="AF16" s="514">
        <f t="shared" si="12"/>
        <v>151923.07692307691</v>
      </c>
      <c r="AG16" s="514">
        <f t="shared" si="12"/>
        <v>151923.07692307691</v>
      </c>
      <c r="AH16" s="514">
        <f t="shared" si="12"/>
        <v>151923.07692307691</v>
      </c>
      <c r="AI16" s="514">
        <f t="shared" si="12"/>
        <v>151923.07692307691</v>
      </c>
    </row>
    <row r="17" spans="1:35" x14ac:dyDescent="0.2">
      <c r="A17" s="512" t="s">
        <v>142</v>
      </c>
      <c r="B17" s="512"/>
      <c r="C17" s="512"/>
      <c r="D17" s="517">
        <f>цех!J121</f>
        <v>2.1</v>
      </c>
      <c r="E17" s="512"/>
      <c r="F17" s="514">
        <f>F11/$D$17</f>
        <v>25714.285714285714</v>
      </c>
      <c r="G17" s="514">
        <f t="shared" ref="G17:AI17" si="13">G11/$D$17</f>
        <v>25714.285714285714</v>
      </c>
      <c r="H17" s="514">
        <f t="shared" si="13"/>
        <v>25714.285714285714</v>
      </c>
      <c r="I17" s="514">
        <f t="shared" si="13"/>
        <v>25714.285714285714</v>
      </c>
      <c r="J17" s="514">
        <f t="shared" si="13"/>
        <v>25714.285714285714</v>
      </c>
      <c r="K17" s="514">
        <f t="shared" si="13"/>
        <v>25714.285714285714</v>
      </c>
      <c r="L17" s="514">
        <f t="shared" si="13"/>
        <v>25714.285714285714</v>
      </c>
      <c r="M17" s="514">
        <f t="shared" si="13"/>
        <v>25714.285714285714</v>
      </c>
      <c r="N17" s="514">
        <f t="shared" si="13"/>
        <v>25714.285714285714</v>
      </c>
      <c r="O17" s="514">
        <f t="shared" si="13"/>
        <v>25714.285714285714</v>
      </c>
      <c r="P17" s="514">
        <f t="shared" si="13"/>
        <v>25714.285714285714</v>
      </c>
      <c r="Q17" s="514">
        <f t="shared" si="13"/>
        <v>25714.285714285714</v>
      </c>
      <c r="R17" s="514">
        <f t="shared" si="13"/>
        <v>25714.285714285714</v>
      </c>
      <c r="S17" s="514">
        <f t="shared" si="13"/>
        <v>25714.285714285714</v>
      </c>
      <c r="T17" s="514">
        <f t="shared" si="13"/>
        <v>25714.285714285714</v>
      </c>
      <c r="U17" s="514">
        <f t="shared" si="13"/>
        <v>25714.285714285714</v>
      </c>
      <c r="V17" s="514">
        <f t="shared" si="13"/>
        <v>25714.285714285714</v>
      </c>
      <c r="W17" s="514">
        <f t="shared" si="13"/>
        <v>25714.285714285714</v>
      </c>
      <c r="X17" s="514">
        <f t="shared" si="13"/>
        <v>25714.285714285714</v>
      </c>
      <c r="Y17" s="514">
        <f t="shared" si="13"/>
        <v>25714.285714285714</v>
      </c>
      <c r="Z17" s="514">
        <f t="shared" si="13"/>
        <v>25714.285714285714</v>
      </c>
      <c r="AA17" s="514">
        <f t="shared" si="13"/>
        <v>25714.285714285714</v>
      </c>
      <c r="AB17" s="514">
        <f t="shared" si="13"/>
        <v>25714.285714285714</v>
      </c>
      <c r="AC17" s="514">
        <f t="shared" si="13"/>
        <v>25714.285714285714</v>
      </c>
      <c r="AD17" s="514">
        <f t="shared" si="13"/>
        <v>25714.285714285714</v>
      </c>
      <c r="AE17" s="514">
        <f t="shared" si="13"/>
        <v>25714.285714285714</v>
      </c>
      <c r="AF17" s="514">
        <f t="shared" si="13"/>
        <v>25714.285714285714</v>
      </c>
      <c r="AG17" s="514">
        <f t="shared" si="13"/>
        <v>25714.285714285714</v>
      </c>
      <c r="AH17" s="514">
        <f t="shared" si="13"/>
        <v>25714.285714285714</v>
      </c>
      <c r="AI17" s="514">
        <f t="shared" si="13"/>
        <v>25714.285714285714</v>
      </c>
    </row>
    <row r="18" spans="1:35" x14ac:dyDescent="0.2">
      <c r="A18" s="512" t="s">
        <v>143</v>
      </c>
      <c r="B18" s="512"/>
      <c r="C18" s="512"/>
      <c r="D18" s="517">
        <f>цех!J122</f>
        <v>1.7</v>
      </c>
      <c r="E18" s="512"/>
      <c r="F18" s="514">
        <f>F12/$D$18</f>
        <v>42352.941176470587</v>
      </c>
      <c r="G18" s="514">
        <f t="shared" ref="G18:AI18" si="14">G12/$D$18</f>
        <v>42352.941176470587</v>
      </c>
      <c r="H18" s="514">
        <f t="shared" si="14"/>
        <v>42352.941176470587</v>
      </c>
      <c r="I18" s="514">
        <f t="shared" si="14"/>
        <v>42352.941176470587</v>
      </c>
      <c r="J18" s="514">
        <f t="shared" si="14"/>
        <v>42352.941176470587</v>
      </c>
      <c r="K18" s="514">
        <f t="shared" si="14"/>
        <v>42352.941176470587</v>
      </c>
      <c r="L18" s="514">
        <f t="shared" si="14"/>
        <v>42352.941176470587</v>
      </c>
      <c r="M18" s="514">
        <f t="shared" si="14"/>
        <v>42352.941176470587</v>
      </c>
      <c r="N18" s="514">
        <f t="shared" si="14"/>
        <v>42352.941176470587</v>
      </c>
      <c r="O18" s="514">
        <f t="shared" si="14"/>
        <v>42352.941176470587</v>
      </c>
      <c r="P18" s="514">
        <f t="shared" si="14"/>
        <v>42352.941176470587</v>
      </c>
      <c r="Q18" s="514">
        <f t="shared" si="14"/>
        <v>42352.941176470587</v>
      </c>
      <c r="R18" s="514">
        <f t="shared" si="14"/>
        <v>42352.941176470587</v>
      </c>
      <c r="S18" s="514">
        <f t="shared" si="14"/>
        <v>42352.941176470587</v>
      </c>
      <c r="T18" s="514">
        <f t="shared" si="14"/>
        <v>42352.941176470587</v>
      </c>
      <c r="U18" s="514">
        <f t="shared" si="14"/>
        <v>42352.941176470587</v>
      </c>
      <c r="V18" s="514">
        <f t="shared" si="14"/>
        <v>42352.941176470587</v>
      </c>
      <c r="W18" s="514">
        <f t="shared" si="14"/>
        <v>42352.941176470587</v>
      </c>
      <c r="X18" s="514">
        <f t="shared" si="14"/>
        <v>42352.941176470587</v>
      </c>
      <c r="Y18" s="514">
        <f t="shared" si="14"/>
        <v>42352.941176470587</v>
      </c>
      <c r="Z18" s="514">
        <f t="shared" si="14"/>
        <v>42352.941176470587</v>
      </c>
      <c r="AA18" s="514">
        <f t="shared" si="14"/>
        <v>42352.941176470587</v>
      </c>
      <c r="AB18" s="514">
        <f t="shared" si="14"/>
        <v>42352.941176470587</v>
      </c>
      <c r="AC18" s="514">
        <f t="shared" si="14"/>
        <v>42352.941176470587</v>
      </c>
      <c r="AD18" s="514">
        <f t="shared" si="14"/>
        <v>42352.941176470587</v>
      </c>
      <c r="AE18" s="514">
        <f t="shared" si="14"/>
        <v>42352.941176470587</v>
      </c>
      <c r="AF18" s="514">
        <f t="shared" si="14"/>
        <v>42352.941176470587</v>
      </c>
      <c r="AG18" s="514">
        <f t="shared" si="14"/>
        <v>42352.941176470587</v>
      </c>
      <c r="AH18" s="514">
        <f t="shared" si="14"/>
        <v>42352.941176470587</v>
      </c>
      <c r="AI18" s="514">
        <f t="shared" si="14"/>
        <v>42352.941176470587</v>
      </c>
    </row>
    <row r="19" spans="1:35" x14ac:dyDescent="0.2">
      <c r="A19" s="512" t="s">
        <v>10</v>
      </c>
      <c r="B19" s="512"/>
      <c r="C19" s="504" t="s">
        <v>49</v>
      </c>
      <c r="D19" s="518">
        <f>G8/(G8-G19)*100</f>
        <v>272.73929332255932</v>
      </c>
      <c r="E19" s="512"/>
      <c r="F19" s="514">
        <f>SUM(F20:F22)</f>
        <v>380009.69618616678</v>
      </c>
      <c r="G19" s="514">
        <f t="shared" ref="G19:AI19" si="15">SUM(G20:G22)</f>
        <v>380009.69618616678</v>
      </c>
      <c r="H19" s="514">
        <f t="shared" si="15"/>
        <v>380009.69618616678</v>
      </c>
      <c r="I19" s="514">
        <f t="shared" si="15"/>
        <v>380009.69618616678</v>
      </c>
      <c r="J19" s="514">
        <f t="shared" si="15"/>
        <v>380009.69618616678</v>
      </c>
      <c r="K19" s="514">
        <f t="shared" si="15"/>
        <v>380009.69618616678</v>
      </c>
      <c r="L19" s="514">
        <f t="shared" si="15"/>
        <v>380009.69618616678</v>
      </c>
      <c r="M19" s="514">
        <f t="shared" si="15"/>
        <v>380009.69618616678</v>
      </c>
      <c r="N19" s="514">
        <f t="shared" si="15"/>
        <v>380009.69618616678</v>
      </c>
      <c r="O19" s="514">
        <f t="shared" si="15"/>
        <v>380009.69618616678</v>
      </c>
      <c r="P19" s="514">
        <f t="shared" si="15"/>
        <v>380009.69618616678</v>
      </c>
      <c r="Q19" s="514">
        <f t="shared" si="15"/>
        <v>380009.69618616678</v>
      </c>
      <c r="R19" s="514">
        <f t="shared" si="15"/>
        <v>380009.69618616678</v>
      </c>
      <c r="S19" s="514">
        <f t="shared" si="15"/>
        <v>380009.69618616678</v>
      </c>
      <c r="T19" s="514">
        <f t="shared" si="15"/>
        <v>380009.69618616678</v>
      </c>
      <c r="U19" s="514">
        <f t="shared" si="15"/>
        <v>380009.69618616678</v>
      </c>
      <c r="V19" s="514">
        <f t="shared" si="15"/>
        <v>380009.69618616678</v>
      </c>
      <c r="W19" s="514">
        <f t="shared" si="15"/>
        <v>380009.69618616678</v>
      </c>
      <c r="X19" s="514">
        <f t="shared" si="15"/>
        <v>380009.69618616678</v>
      </c>
      <c r="Y19" s="514">
        <f t="shared" si="15"/>
        <v>380009.69618616678</v>
      </c>
      <c r="Z19" s="514">
        <f t="shared" si="15"/>
        <v>380009.69618616678</v>
      </c>
      <c r="AA19" s="514">
        <f t="shared" si="15"/>
        <v>380009.69618616678</v>
      </c>
      <c r="AB19" s="514">
        <f t="shared" si="15"/>
        <v>380009.69618616678</v>
      </c>
      <c r="AC19" s="514">
        <f t="shared" si="15"/>
        <v>380009.69618616678</v>
      </c>
      <c r="AD19" s="514">
        <f t="shared" si="15"/>
        <v>380009.69618616678</v>
      </c>
      <c r="AE19" s="514">
        <f t="shared" si="15"/>
        <v>380009.69618616678</v>
      </c>
      <c r="AF19" s="514">
        <f t="shared" si="15"/>
        <v>380009.69618616678</v>
      </c>
      <c r="AG19" s="514">
        <f t="shared" si="15"/>
        <v>380009.69618616678</v>
      </c>
      <c r="AH19" s="514">
        <f t="shared" si="15"/>
        <v>380009.69618616678</v>
      </c>
      <c r="AI19" s="514">
        <f t="shared" si="15"/>
        <v>380009.69618616678</v>
      </c>
    </row>
    <row r="20" spans="1:35" x14ac:dyDescent="0.2">
      <c r="A20" s="512" t="s">
        <v>4</v>
      </c>
      <c r="B20" s="512"/>
      <c r="C20" s="504">
        <v>0.66500000000000004</v>
      </c>
      <c r="D20" s="518">
        <f>G10/(G10-G20)*100</f>
        <v>312.00000000000011</v>
      </c>
      <c r="E20" s="512"/>
      <c r="F20" s="514">
        <f>F10-F16</f>
        <v>322076.92307692312</v>
      </c>
      <c r="G20" s="514">
        <f t="shared" ref="G20:AI20" si="16">G10-G16</f>
        <v>322076.92307692312</v>
      </c>
      <c r="H20" s="514">
        <f t="shared" si="16"/>
        <v>322076.92307692312</v>
      </c>
      <c r="I20" s="514">
        <f t="shared" si="16"/>
        <v>322076.92307692312</v>
      </c>
      <c r="J20" s="514">
        <f t="shared" si="16"/>
        <v>322076.92307692312</v>
      </c>
      <c r="K20" s="514">
        <f t="shared" si="16"/>
        <v>322076.92307692312</v>
      </c>
      <c r="L20" s="514">
        <f t="shared" si="16"/>
        <v>322076.92307692312</v>
      </c>
      <c r="M20" s="514">
        <f t="shared" si="16"/>
        <v>322076.92307692312</v>
      </c>
      <c r="N20" s="514">
        <f t="shared" si="16"/>
        <v>322076.92307692312</v>
      </c>
      <c r="O20" s="514">
        <f t="shared" si="16"/>
        <v>322076.92307692312</v>
      </c>
      <c r="P20" s="514">
        <f t="shared" si="16"/>
        <v>322076.92307692312</v>
      </c>
      <c r="Q20" s="514">
        <f t="shared" si="16"/>
        <v>322076.92307692312</v>
      </c>
      <c r="R20" s="514">
        <f t="shared" si="16"/>
        <v>322076.92307692312</v>
      </c>
      <c r="S20" s="514">
        <f t="shared" si="16"/>
        <v>322076.92307692312</v>
      </c>
      <c r="T20" s="514">
        <f t="shared" si="16"/>
        <v>322076.92307692312</v>
      </c>
      <c r="U20" s="514">
        <f t="shared" si="16"/>
        <v>322076.92307692312</v>
      </c>
      <c r="V20" s="514">
        <f t="shared" si="16"/>
        <v>322076.92307692312</v>
      </c>
      <c r="W20" s="514">
        <f t="shared" si="16"/>
        <v>322076.92307692312</v>
      </c>
      <c r="X20" s="514">
        <f t="shared" si="16"/>
        <v>322076.92307692312</v>
      </c>
      <c r="Y20" s="514">
        <f t="shared" si="16"/>
        <v>322076.92307692312</v>
      </c>
      <c r="Z20" s="514">
        <f t="shared" si="16"/>
        <v>322076.92307692312</v>
      </c>
      <c r="AA20" s="514">
        <f t="shared" si="16"/>
        <v>322076.92307692312</v>
      </c>
      <c r="AB20" s="514">
        <f t="shared" si="16"/>
        <v>322076.92307692312</v>
      </c>
      <c r="AC20" s="514">
        <f t="shared" si="16"/>
        <v>322076.92307692312</v>
      </c>
      <c r="AD20" s="514">
        <f t="shared" si="16"/>
        <v>322076.92307692312</v>
      </c>
      <c r="AE20" s="514">
        <f t="shared" si="16"/>
        <v>322076.92307692312</v>
      </c>
      <c r="AF20" s="514">
        <f t="shared" si="16"/>
        <v>322076.92307692312</v>
      </c>
      <c r="AG20" s="514">
        <f t="shared" si="16"/>
        <v>322076.92307692312</v>
      </c>
      <c r="AH20" s="514">
        <f t="shared" si="16"/>
        <v>322076.92307692312</v>
      </c>
      <c r="AI20" s="514">
        <f t="shared" si="16"/>
        <v>322076.92307692312</v>
      </c>
    </row>
    <row r="21" spans="1:35" x14ac:dyDescent="0.2">
      <c r="A21" s="512" t="s">
        <v>146</v>
      </c>
      <c r="B21" s="512"/>
      <c r="C21" s="504"/>
      <c r="D21" s="518"/>
      <c r="E21" s="512"/>
      <c r="F21" s="514">
        <f>F11-F17</f>
        <v>28285.714285714286</v>
      </c>
      <c r="G21" s="514">
        <f t="shared" ref="G21:AI21" si="17">G11-G17</f>
        <v>28285.714285714286</v>
      </c>
      <c r="H21" s="514">
        <f t="shared" si="17"/>
        <v>28285.714285714286</v>
      </c>
      <c r="I21" s="514">
        <f t="shared" si="17"/>
        <v>28285.714285714286</v>
      </c>
      <c r="J21" s="514">
        <f t="shared" si="17"/>
        <v>28285.714285714286</v>
      </c>
      <c r="K21" s="514">
        <f t="shared" si="17"/>
        <v>28285.714285714286</v>
      </c>
      <c r="L21" s="514">
        <f t="shared" si="17"/>
        <v>28285.714285714286</v>
      </c>
      <c r="M21" s="514">
        <f t="shared" si="17"/>
        <v>28285.714285714286</v>
      </c>
      <c r="N21" s="514">
        <f t="shared" si="17"/>
        <v>28285.714285714286</v>
      </c>
      <c r="O21" s="514">
        <f t="shared" si="17"/>
        <v>28285.714285714286</v>
      </c>
      <c r="P21" s="514">
        <f t="shared" si="17"/>
        <v>28285.714285714286</v>
      </c>
      <c r="Q21" s="514">
        <f t="shared" si="17"/>
        <v>28285.714285714286</v>
      </c>
      <c r="R21" s="514">
        <f t="shared" si="17"/>
        <v>28285.714285714286</v>
      </c>
      <c r="S21" s="514">
        <f t="shared" si="17"/>
        <v>28285.714285714286</v>
      </c>
      <c r="T21" s="514">
        <f t="shared" si="17"/>
        <v>28285.714285714286</v>
      </c>
      <c r="U21" s="514">
        <f t="shared" si="17"/>
        <v>28285.714285714286</v>
      </c>
      <c r="V21" s="514">
        <f t="shared" si="17"/>
        <v>28285.714285714286</v>
      </c>
      <c r="W21" s="514">
        <f t="shared" si="17"/>
        <v>28285.714285714286</v>
      </c>
      <c r="X21" s="514">
        <f t="shared" si="17"/>
        <v>28285.714285714286</v>
      </c>
      <c r="Y21" s="514">
        <f t="shared" si="17"/>
        <v>28285.714285714286</v>
      </c>
      <c r="Z21" s="514">
        <f t="shared" si="17"/>
        <v>28285.714285714286</v>
      </c>
      <c r="AA21" s="514">
        <f t="shared" si="17"/>
        <v>28285.714285714286</v>
      </c>
      <c r="AB21" s="514">
        <f t="shared" si="17"/>
        <v>28285.714285714286</v>
      </c>
      <c r="AC21" s="514">
        <f t="shared" si="17"/>
        <v>28285.714285714286</v>
      </c>
      <c r="AD21" s="514">
        <f t="shared" si="17"/>
        <v>28285.714285714286</v>
      </c>
      <c r="AE21" s="514">
        <f t="shared" si="17"/>
        <v>28285.714285714286</v>
      </c>
      <c r="AF21" s="514">
        <f t="shared" si="17"/>
        <v>28285.714285714286</v>
      </c>
      <c r="AG21" s="514">
        <f t="shared" si="17"/>
        <v>28285.714285714286</v>
      </c>
      <c r="AH21" s="514">
        <f t="shared" si="17"/>
        <v>28285.714285714286</v>
      </c>
      <c r="AI21" s="514">
        <f t="shared" si="17"/>
        <v>28285.714285714286</v>
      </c>
    </row>
    <row r="22" spans="1:35" x14ac:dyDescent="0.2">
      <c r="A22" s="512" t="s">
        <v>7</v>
      </c>
      <c r="B22" s="512"/>
      <c r="C22" s="504">
        <v>0.25</v>
      </c>
      <c r="D22" s="518">
        <f>G12/(G12-G22)*100</f>
        <v>170</v>
      </c>
      <c r="E22" s="512"/>
      <c r="F22" s="514">
        <f>F12-F18</f>
        <v>29647.058823529413</v>
      </c>
      <c r="G22" s="514">
        <f t="shared" ref="G22:AI22" si="18">G12-G18</f>
        <v>29647.058823529413</v>
      </c>
      <c r="H22" s="514">
        <f t="shared" si="18"/>
        <v>29647.058823529413</v>
      </c>
      <c r="I22" s="514">
        <f t="shared" si="18"/>
        <v>29647.058823529413</v>
      </c>
      <c r="J22" s="514">
        <f t="shared" si="18"/>
        <v>29647.058823529413</v>
      </c>
      <c r="K22" s="514">
        <f t="shared" si="18"/>
        <v>29647.058823529413</v>
      </c>
      <c r="L22" s="514">
        <f t="shared" si="18"/>
        <v>29647.058823529413</v>
      </c>
      <c r="M22" s="514">
        <f t="shared" si="18"/>
        <v>29647.058823529413</v>
      </c>
      <c r="N22" s="514">
        <f t="shared" si="18"/>
        <v>29647.058823529413</v>
      </c>
      <c r="O22" s="514">
        <f t="shared" si="18"/>
        <v>29647.058823529413</v>
      </c>
      <c r="P22" s="514">
        <f t="shared" si="18"/>
        <v>29647.058823529413</v>
      </c>
      <c r="Q22" s="514">
        <f t="shared" si="18"/>
        <v>29647.058823529413</v>
      </c>
      <c r="R22" s="514">
        <f t="shared" si="18"/>
        <v>29647.058823529413</v>
      </c>
      <c r="S22" s="514">
        <f t="shared" si="18"/>
        <v>29647.058823529413</v>
      </c>
      <c r="T22" s="514">
        <f t="shared" si="18"/>
        <v>29647.058823529413</v>
      </c>
      <c r="U22" s="514">
        <f t="shared" si="18"/>
        <v>29647.058823529413</v>
      </c>
      <c r="V22" s="514">
        <f t="shared" si="18"/>
        <v>29647.058823529413</v>
      </c>
      <c r="W22" s="514">
        <f t="shared" si="18"/>
        <v>29647.058823529413</v>
      </c>
      <c r="X22" s="514">
        <f t="shared" si="18"/>
        <v>29647.058823529413</v>
      </c>
      <c r="Y22" s="514">
        <f t="shared" si="18"/>
        <v>29647.058823529413</v>
      </c>
      <c r="Z22" s="514">
        <f t="shared" si="18"/>
        <v>29647.058823529413</v>
      </c>
      <c r="AA22" s="514">
        <f t="shared" si="18"/>
        <v>29647.058823529413</v>
      </c>
      <c r="AB22" s="514">
        <f t="shared" si="18"/>
        <v>29647.058823529413</v>
      </c>
      <c r="AC22" s="514">
        <f t="shared" si="18"/>
        <v>29647.058823529413</v>
      </c>
      <c r="AD22" s="514">
        <f t="shared" si="18"/>
        <v>29647.058823529413</v>
      </c>
      <c r="AE22" s="514">
        <f t="shared" si="18"/>
        <v>29647.058823529413</v>
      </c>
      <c r="AF22" s="514">
        <f t="shared" si="18"/>
        <v>29647.058823529413</v>
      </c>
      <c r="AG22" s="514">
        <f t="shared" si="18"/>
        <v>29647.058823529413</v>
      </c>
      <c r="AH22" s="514">
        <f t="shared" si="18"/>
        <v>29647.058823529413</v>
      </c>
      <c r="AI22" s="514">
        <f t="shared" si="18"/>
        <v>29647.058823529413</v>
      </c>
    </row>
    <row r="23" spans="1:35" x14ac:dyDescent="0.2">
      <c r="A23" s="512" t="s">
        <v>11</v>
      </c>
      <c r="B23" s="512"/>
      <c r="C23" s="512"/>
      <c r="D23" s="512"/>
      <c r="E23" s="512"/>
      <c r="F23" s="514"/>
      <c r="G23" s="514"/>
      <c r="H23" s="514"/>
      <c r="I23" s="514"/>
      <c r="J23" s="514"/>
      <c r="K23" s="514"/>
      <c r="L23" s="514"/>
      <c r="M23" s="514"/>
      <c r="N23" s="514"/>
      <c r="O23" s="514"/>
      <c r="P23" s="514"/>
      <c r="Q23" s="514"/>
      <c r="R23" s="514"/>
      <c r="S23" s="514"/>
      <c r="T23" s="514"/>
      <c r="U23" s="514"/>
      <c r="V23" s="514"/>
      <c r="W23" s="514"/>
      <c r="X23" s="514"/>
      <c r="Y23" s="514"/>
      <c r="Z23" s="514"/>
      <c r="AA23" s="514"/>
      <c r="AB23" s="514"/>
      <c r="AC23" s="514"/>
      <c r="AD23" s="514"/>
      <c r="AE23" s="514"/>
      <c r="AF23" s="514"/>
      <c r="AG23" s="514"/>
      <c r="AH23" s="514"/>
      <c r="AI23" s="514"/>
    </row>
    <row r="24" spans="1:35" x14ac:dyDescent="0.2">
      <c r="A24" s="512" t="s">
        <v>98</v>
      </c>
      <c r="B24" s="512"/>
      <c r="C24" s="512"/>
      <c r="D24" s="512"/>
      <c r="E24" s="512">
        <f>SUM(E25:E28,E35,E39:E40,E43:E49)</f>
        <v>0</v>
      </c>
      <c r="F24" s="514">
        <f>SUM(F25:F28,F35,F39:F40,F43:F50)</f>
        <v>141006.39999999999</v>
      </c>
      <c r="G24" s="514">
        <f>SUM(G25:G28,G35,G39:G40,G43:G50)</f>
        <v>141006.39999999999</v>
      </c>
      <c r="H24" s="514">
        <f t="shared" ref="H24:AI24" si="19">SUM(H25:H28,H35,H39:H40,H43:H50)</f>
        <v>141006.39999999999</v>
      </c>
      <c r="I24" s="514">
        <f t="shared" ref="I24:N24" si="20">SUM(I25:I28,I35,I39:I40,I43:I50)</f>
        <v>141006.39999999999</v>
      </c>
      <c r="J24" s="514">
        <f t="shared" si="20"/>
        <v>141006.39999999999</v>
      </c>
      <c r="K24" s="514">
        <f t="shared" si="20"/>
        <v>141006.39999999999</v>
      </c>
      <c r="L24" s="514">
        <f t="shared" si="20"/>
        <v>141006.39999999999</v>
      </c>
      <c r="M24" s="514">
        <f t="shared" si="20"/>
        <v>141006.39999999999</v>
      </c>
      <c r="N24" s="514">
        <f t="shared" si="20"/>
        <v>141006.39999999999</v>
      </c>
      <c r="O24" s="514">
        <f t="shared" si="19"/>
        <v>141006.39999999999</v>
      </c>
      <c r="P24" s="514">
        <f t="shared" si="19"/>
        <v>141006.39999999999</v>
      </c>
      <c r="Q24" s="514">
        <f t="shared" si="19"/>
        <v>141006.39999999999</v>
      </c>
      <c r="R24" s="514">
        <f t="shared" si="19"/>
        <v>141006.39999999999</v>
      </c>
      <c r="S24" s="514">
        <f t="shared" si="19"/>
        <v>141006.39999999999</v>
      </c>
      <c r="T24" s="514">
        <f t="shared" si="19"/>
        <v>141006.39999999999</v>
      </c>
      <c r="U24" s="514">
        <f t="shared" si="19"/>
        <v>141006.39999999999</v>
      </c>
      <c r="V24" s="514">
        <f t="shared" si="19"/>
        <v>141006.39999999999</v>
      </c>
      <c r="W24" s="514">
        <f t="shared" si="19"/>
        <v>141006.39999999999</v>
      </c>
      <c r="X24" s="514">
        <f t="shared" si="19"/>
        <v>141006.39999999999</v>
      </c>
      <c r="Y24" s="514">
        <f t="shared" si="19"/>
        <v>141006.39999999999</v>
      </c>
      <c r="Z24" s="514">
        <f t="shared" si="19"/>
        <v>141006.39999999999</v>
      </c>
      <c r="AA24" s="514">
        <f t="shared" si="19"/>
        <v>141006.39999999999</v>
      </c>
      <c r="AB24" s="514">
        <f t="shared" si="19"/>
        <v>141006.39999999999</v>
      </c>
      <c r="AC24" s="514">
        <f t="shared" si="19"/>
        <v>141006.39999999999</v>
      </c>
      <c r="AD24" s="514">
        <f t="shared" si="19"/>
        <v>141006.39999999999</v>
      </c>
      <c r="AE24" s="514">
        <f t="shared" si="19"/>
        <v>141006.39999999999</v>
      </c>
      <c r="AF24" s="514">
        <f t="shared" si="19"/>
        <v>141006.39999999999</v>
      </c>
      <c r="AG24" s="514">
        <f t="shared" si="19"/>
        <v>141006.39999999999</v>
      </c>
      <c r="AH24" s="514">
        <f t="shared" si="19"/>
        <v>141006.39999999999</v>
      </c>
      <c r="AI24" s="514">
        <f t="shared" si="19"/>
        <v>141006.39999999999</v>
      </c>
    </row>
    <row r="25" spans="1:35" x14ac:dyDescent="0.2">
      <c r="A25" s="512" t="s">
        <v>12</v>
      </c>
      <c r="B25" s="512"/>
      <c r="C25" s="512" t="s">
        <v>60</v>
      </c>
      <c r="D25" s="512"/>
      <c r="E25" s="512">
        <v>0</v>
      </c>
      <c r="F25" s="514">
        <f>'Параметры проекта'!$B$23</f>
        <v>50000</v>
      </c>
      <c r="G25" s="514">
        <f>'Параметры проекта'!$B$23</f>
        <v>50000</v>
      </c>
      <c r="H25" s="514">
        <f>'Параметры проекта'!$B$23</f>
        <v>50000</v>
      </c>
      <c r="I25" s="514">
        <f>'Параметры проекта'!$B$23</f>
        <v>50000</v>
      </c>
      <c r="J25" s="514">
        <f>'Параметры проекта'!$B$23</f>
        <v>50000</v>
      </c>
      <c r="K25" s="514">
        <f>'Параметры проекта'!$B$23</f>
        <v>50000</v>
      </c>
      <c r="L25" s="514">
        <f>'Параметры проекта'!$B$23</f>
        <v>50000</v>
      </c>
      <c r="M25" s="514">
        <f>'Параметры проекта'!$B$23</f>
        <v>50000</v>
      </c>
      <c r="N25" s="514">
        <f>'Параметры проекта'!$B$23</f>
        <v>50000</v>
      </c>
      <c r="O25" s="514">
        <f>'Параметры проекта'!$B$23</f>
        <v>50000</v>
      </c>
      <c r="P25" s="514">
        <f>'Параметры проекта'!$B$23</f>
        <v>50000</v>
      </c>
      <c r="Q25" s="514">
        <f>'Параметры проекта'!$B$23</f>
        <v>50000</v>
      </c>
      <c r="R25" s="514">
        <f>'Параметры проекта'!$B$23</f>
        <v>50000</v>
      </c>
      <c r="S25" s="514">
        <f>'Параметры проекта'!$B$23</f>
        <v>50000</v>
      </c>
      <c r="T25" s="514">
        <f>'Параметры проекта'!$B$23</f>
        <v>50000</v>
      </c>
      <c r="U25" s="514">
        <f>'Параметры проекта'!$B$23</f>
        <v>50000</v>
      </c>
      <c r="V25" s="514">
        <f>'Параметры проекта'!$B$23</f>
        <v>50000</v>
      </c>
      <c r="W25" s="514">
        <f>'Параметры проекта'!$B$23</f>
        <v>50000</v>
      </c>
      <c r="X25" s="514">
        <f>'Параметры проекта'!$B$23</f>
        <v>50000</v>
      </c>
      <c r="Y25" s="514">
        <f>'Параметры проекта'!$B$23</f>
        <v>50000</v>
      </c>
      <c r="Z25" s="514">
        <f>'Параметры проекта'!$B$23</f>
        <v>50000</v>
      </c>
      <c r="AA25" s="514">
        <f>'Параметры проекта'!$B$23</f>
        <v>50000</v>
      </c>
      <c r="AB25" s="514">
        <f>'Параметры проекта'!$B$23</f>
        <v>50000</v>
      </c>
      <c r="AC25" s="514">
        <f>'Параметры проекта'!$B$23</f>
        <v>50000</v>
      </c>
      <c r="AD25" s="514">
        <f>'Параметры проекта'!$B$23</f>
        <v>50000</v>
      </c>
      <c r="AE25" s="514">
        <f>'Параметры проекта'!$B$23</f>
        <v>50000</v>
      </c>
      <c r="AF25" s="514">
        <f>'Параметры проекта'!$B$23</f>
        <v>50000</v>
      </c>
      <c r="AG25" s="514">
        <f>'Параметры проекта'!$B$23</f>
        <v>50000</v>
      </c>
      <c r="AH25" s="514">
        <f>'Параметры проекта'!$B$23</f>
        <v>50000</v>
      </c>
      <c r="AI25" s="514">
        <f>'Параметры проекта'!$B$23</f>
        <v>50000</v>
      </c>
    </row>
    <row r="26" spans="1:35" ht="11.25" customHeight="1" x14ac:dyDescent="0.2">
      <c r="A26" s="512" t="s">
        <v>13</v>
      </c>
      <c r="B26" s="512"/>
      <c r="C26" s="512"/>
      <c r="D26" s="512"/>
      <c r="E26" s="512"/>
      <c r="F26" s="514">
        <f>'Параметры проекта'!$B$24</f>
        <v>5000</v>
      </c>
      <c r="G26" s="514">
        <f>'Параметры проекта'!$B$24</f>
        <v>5000</v>
      </c>
      <c r="H26" s="514">
        <f>'Параметры проекта'!$B$24</f>
        <v>5000</v>
      </c>
      <c r="I26" s="514">
        <f>'Параметры проекта'!$B$24</f>
        <v>5000</v>
      </c>
      <c r="J26" s="514">
        <f>'Параметры проекта'!$B$24</f>
        <v>5000</v>
      </c>
      <c r="K26" s="514">
        <f>'Параметры проекта'!$B$24</f>
        <v>5000</v>
      </c>
      <c r="L26" s="514">
        <f>'Параметры проекта'!$B$24</f>
        <v>5000</v>
      </c>
      <c r="M26" s="514">
        <f>'Параметры проекта'!$B$24</f>
        <v>5000</v>
      </c>
      <c r="N26" s="514">
        <f>'Параметры проекта'!$B$24</f>
        <v>5000</v>
      </c>
      <c r="O26" s="514">
        <f>'Параметры проекта'!$B$24</f>
        <v>5000</v>
      </c>
      <c r="P26" s="514">
        <f>'Параметры проекта'!$B$24</f>
        <v>5000</v>
      </c>
      <c r="Q26" s="514">
        <f>'Параметры проекта'!$B$24</f>
        <v>5000</v>
      </c>
      <c r="R26" s="514">
        <f>'Параметры проекта'!$B$24</f>
        <v>5000</v>
      </c>
      <c r="S26" s="514">
        <f>'Параметры проекта'!$B$24</f>
        <v>5000</v>
      </c>
      <c r="T26" s="514">
        <f>'Параметры проекта'!$B$24</f>
        <v>5000</v>
      </c>
      <c r="U26" s="514">
        <f>'Параметры проекта'!$B$24</f>
        <v>5000</v>
      </c>
      <c r="V26" s="514">
        <f>'Параметры проекта'!$B$24</f>
        <v>5000</v>
      </c>
      <c r="W26" s="514">
        <f>'Параметры проекта'!$B$24</f>
        <v>5000</v>
      </c>
      <c r="X26" s="514">
        <f>'Параметры проекта'!$B$24</f>
        <v>5000</v>
      </c>
      <c r="Y26" s="514">
        <f>'Параметры проекта'!$B$24</f>
        <v>5000</v>
      </c>
      <c r="Z26" s="514">
        <f>'Параметры проекта'!$B$24</f>
        <v>5000</v>
      </c>
      <c r="AA26" s="514">
        <f>'Параметры проекта'!$B$24</f>
        <v>5000</v>
      </c>
      <c r="AB26" s="514">
        <f>'Параметры проекта'!$B$24</f>
        <v>5000</v>
      </c>
      <c r="AC26" s="514">
        <f>'Параметры проекта'!$B$24</f>
        <v>5000</v>
      </c>
      <c r="AD26" s="514">
        <f>'Параметры проекта'!$B$24</f>
        <v>5000</v>
      </c>
      <c r="AE26" s="514">
        <f>'Параметры проекта'!$B$24</f>
        <v>5000</v>
      </c>
      <c r="AF26" s="514">
        <f>'Параметры проекта'!$B$24</f>
        <v>5000</v>
      </c>
      <c r="AG26" s="514">
        <f>'Параметры проекта'!$B$24</f>
        <v>5000</v>
      </c>
      <c r="AH26" s="514">
        <f>'Параметры проекта'!$B$24</f>
        <v>5000</v>
      </c>
      <c r="AI26" s="514">
        <f>'Параметры проекта'!$B$24</f>
        <v>5000</v>
      </c>
    </row>
    <row r="27" spans="1:35" ht="1.5" customHeight="1" x14ac:dyDescent="0.2">
      <c r="A27" s="512"/>
      <c r="B27" s="512"/>
      <c r="C27" s="512"/>
      <c r="D27" s="512"/>
      <c r="E27" s="512"/>
      <c r="F27" s="514"/>
      <c r="G27" s="514"/>
      <c r="H27" s="514"/>
      <c r="I27" s="514"/>
      <c r="J27" s="514"/>
      <c r="K27" s="514"/>
      <c r="L27" s="514"/>
      <c r="M27" s="514"/>
      <c r="N27" s="514"/>
      <c r="O27" s="514"/>
      <c r="P27" s="514"/>
      <c r="Q27" s="514"/>
      <c r="R27" s="514"/>
      <c r="S27" s="514"/>
      <c r="T27" s="514"/>
      <c r="U27" s="514"/>
      <c r="V27" s="514"/>
      <c r="W27" s="514"/>
      <c r="X27" s="514"/>
      <c r="Y27" s="514"/>
      <c r="Z27" s="514"/>
      <c r="AA27" s="514"/>
      <c r="AB27" s="514"/>
      <c r="AC27" s="514"/>
      <c r="AD27" s="514"/>
      <c r="AE27" s="514"/>
      <c r="AF27" s="514"/>
      <c r="AG27" s="514"/>
      <c r="AH27" s="514"/>
      <c r="AI27" s="514"/>
    </row>
    <row r="28" spans="1:35" x14ac:dyDescent="0.2">
      <c r="A28" s="512" t="s">
        <v>52</v>
      </c>
      <c r="B28" s="512"/>
      <c r="C28" s="512"/>
      <c r="D28" s="512"/>
      <c r="E28" s="514">
        <v>0</v>
      </c>
      <c r="F28" s="514">
        <f>$H$68</f>
        <v>46000</v>
      </c>
      <c r="G28" s="514">
        <f t="shared" ref="G28:AI28" si="21">$H$68</f>
        <v>46000</v>
      </c>
      <c r="H28" s="514">
        <f t="shared" si="21"/>
        <v>46000</v>
      </c>
      <c r="I28" s="514">
        <f t="shared" si="21"/>
        <v>46000</v>
      </c>
      <c r="J28" s="514">
        <f t="shared" si="21"/>
        <v>46000</v>
      </c>
      <c r="K28" s="514">
        <f t="shared" si="21"/>
        <v>46000</v>
      </c>
      <c r="L28" s="514">
        <f t="shared" si="21"/>
        <v>46000</v>
      </c>
      <c r="M28" s="514">
        <f t="shared" si="21"/>
        <v>46000</v>
      </c>
      <c r="N28" s="514">
        <f t="shared" si="21"/>
        <v>46000</v>
      </c>
      <c r="O28" s="514">
        <f t="shared" si="21"/>
        <v>46000</v>
      </c>
      <c r="P28" s="514">
        <f t="shared" si="21"/>
        <v>46000</v>
      </c>
      <c r="Q28" s="514">
        <f t="shared" si="21"/>
        <v>46000</v>
      </c>
      <c r="R28" s="514">
        <f t="shared" si="21"/>
        <v>46000</v>
      </c>
      <c r="S28" s="514">
        <f t="shared" si="21"/>
        <v>46000</v>
      </c>
      <c r="T28" s="514">
        <f t="shared" si="21"/>
        <v>46000</v>
      </c>
      <c r="U28" s="514">
        <f t="shared" si="21"/>
        <v>46000</v>
      </c>
      <c r="V28" s="514">
        <f t="shared" si="21"/>
        <v>46000</v>
      </c>
      <c r="W28" s="514">
        <f t="shared" si="21"/>
        <v>46000</v>
      </c>
      <c r="X28" s="514">
        <f t="shared" si="21"/>
        <v>46000</v>
      </c>
      <c r="Y28" s="514">
        <f t="shared" si="21"/>
        <v>46000</v>
      </c>
      <c r="Z28" s="514">
        <f t="shared" si="21"/>
        <v>46000</v>
      </c>
      <c r="AA28" s="514">
        <f t="shared" si="21"/>
        <v>46000</v>
      </c>
      <c r="AB28" s="514">
        <f t="shared" si="21"/>
        <v>46000</v>
      </c>
      <c r="AC28" s="514">
        <f t="shared" si="21"/>
        <v>46000</v>
      </c>
      <c r="AD28" s="514">
        <f t="shared" si="21"/>
        <v>46000</v>
      </c>
      <c r="AE28" s="514">
        <f t="shared" si="21"/>
        <v>46000</v>
      </c>
      <c r="AF28" s="514">
        <f t="shared" si="21"/>
        <v>46000</v>
      </c>
      <c r="AG28" s="514">
        <f t="shared" si="21"/>
        <v>46000</v>
      </c>
      <c r="AH28" s="514">
        <f t="shared" si="21"/>
        <v>46000</v>
      </c>
      <c r="AI28" s="514">
        <f t="shared" si="21"/>
        <v>46000</v>
      </c>
    </row>
    <row r="29" spans="1:35" hidden="1" outlineLevel="1" x14ac:dyDescent="0.2">
      <c r="A29" s="512" t="s">
        <v>14</v>
      </c>
      <c r="B29" s="512">
        <v>2</v>
      </c>
      <c r="C29" s="512">
        <v>35000</v>
      </c>
      <c r="D29" s="512">
        <f>B29*C29</f>
        <v>70000</v>
      </c>
      <c r="E29" s="512"/>
      <c r="F29" s="514"/>
      <c r="G29" s="514"/>
      <c r="H29" s="514"/>
      <c r="I29" s="514"/>
      <c r="J29" s="514"/>
      <c r="K29" s="514"/>
      <c r="L29" s="514"/>
      <c r="M29" s="514"/>
      <c r="N29" s="514"/>
      <c r="O29" s="514"/>
      <c r="P29" s="514"/>
      <c r="Q29" s="514"/>
      <c r="R29" s="514"/>
      <c r="S29" s="514"/>
      <c r="T29" s="514"/>
      <c r="U29" s="514"/>
      <c r="V29" s="514"/>
      <c r="W29" s="514"/>
      <c r="X29" s="514"/>
      <c r="Y29" s="514"/>
      <c r="Z29" s="514"/>
      <c r="AA29" s="514"/>
      <c r="AB29" s="514"/>
      <c r="AC29" s="514"/>
      <c r="AD29" s="514"/>
      <c r="AE29" s="514"/>
      <c r="AF29" s="514"/>
      <c r="AG29" s="514"/>
      <c r="AH29" s="514"/>
      <c r="AI29" s="514"/>
    </row>
    <row r="30" spans="1:35" hidden="1" outlineLevel="1" x14ac:dyDescent="0.2">
      <c r="A30" s="512" t="s">
        <v>15</v>
      </c>
      <c r="B30" s="512">
        <v>0</v>
      </c>
      <c r="C30" s="512">
        <v>37000</v>
      </c>
      <c r="D30" s="512">
        <f t="shared" ref="D30:D31" si="22">B30*C30</f>
        <v>0</v>
      </c>
      <c r="E30" s="512"/>
      <c r="F30" s="514"/>
      <c r="G30" s="514"/>
      <c r="H30" s="514"/>
      <c r="I30" s="514"/>
      <c r="J30" s="514"/>
      <c r="K30" s="514"/>
      <c r="L30" s="514"/>
      <c r="M30" s="514"/>
      <c r="N30" s="514"/>
      <c r="O30" s="514"/>
      <c r="P30" s="514"/>
      <c r="Q30" s="514"/>
      <c r="R30" s="514"/>
      <c r="S30" s="514"/>
      <c r="T30" s="514"/>
      <c r="U30" s="514"/>
      <c r="V30" s="514"/>
      <c r="W30" s="514"/>
      <c r="X30" s="514"/>
      <c r="Y30" s="514"/>
      <c r="Z30" s="514"/>
      <c r="AA30" s="514"/>
      <c r="AB30" s="514"/>
      <c r="AC30" s="514"/>
      <c r="AD30" s="514"/>
      <c r="AE30" s="514"/>
      <c r="AF30" s="514"/>
      <c r="AG30" s="514"/>
      <c r="AH30" s="514"/>
      <c r="AI30" s="514"/>
    </row>
    <row r="31" spans="1:35" hidden="1" outlineLevel="1" x14ac:dyDescent="0.2">
      <c r="A31" s="512" t="s">
        <v>16</v>
      </c>
      <c r="B31" s="512">
        <v>0</v>
      </c>
      <c r="C31" s="512">
        <v>24000</v>
      </c>
      <c r="D31" s="512">
        <f t="shared" si="22"/>
        <v>0</v>
      </c>
      <c r="E31" s="512"/>
      <c r="F31" s="514"/>
      <c r="G31" s="514"/>
      <c r="H31" s="514"/>
      <c r="I31" s="514"/>
      <c r="J31" s="514"/>
      <c r="K31" s="514"/>
      <c r="L31" s="514"/>
      <c r="M31" s="514"/>
      <c r="N31" s="514"/>
      <c r="O31" s="514"/>
      <c r="P31" s="514"/>
      <c r="Q31" s="514"/>
      <c r="R31" s="514"/>
      <c r="S31" s="514"/>
      <c r="T31" s="514"/>
      <c r="U31" s="514"/>
      <c r="V31" s="514"/>
      <c r="W31" s="514"/>
      <c r="X31" s="514"/>
      <c r="Y31" s="514"/>
      <c r="Z31" s="514"/>
      <c r="AA31" s="514"/>
      <c r="AB31" s="514"/>
      <c r="AC31" s="514"/>
      <c r="AD31" s="514"/>
      <c r="AE31" s="514"/>
      <c r="AF31" s="514"/>
      <c r="AG31" s="514"/>
      <c r="AH31" s="514"/>
      <c r="AI31" s="514"/>
    </row>
    <row r="32" spans="1:35" hidden="1" outlineLevel="1" x14ac:dyDescent="0.2">
      <c r="A32" s="512" t="s">
        <v>17</v>
      </c>
      <c r="B32" s="512">
        <v>0</v>
      </c>
      <c r="C32" s="512"/>
      <c r="D32" s="512">
        <f>B32*C32</f>
        <v>0</v>
      </c>
      <c r="E32" s="512"/>
      <c r="F32" s="514"/>
      <c r="G32" s="514"/>
      <c r="H32" s="514"/>
      <c r="I32" s="514"/>
      <c r="J32" s="514"/>
      <c r="K32" s="514"/>
      <c r="L32" s="514"/>
      <c r="M32" s="514"/>
      <c r="N32" s="514"/>
      <c r="O32" s="514"/>
      <c r="P32" s="514"/>
      <c r="Q32" s="514"/>
      <c r="R32" s="514"/>
      <c r="S32" s="514"/>
      <c r="T32" s="514"/>
      <c r="U32" s="514"/>
      <c r="V32" s="514"/>
      <c r="W32" s="514"/>
      <c r="X32" s="514"/>
      <c r="Y32" s="514"/>
      <c r="Z32" s="514"/>
      <c r="AA32" s="514"/>
      <c r="AB32" s="514"/>
      <c r="AC32" s="514"/>
      <c r="AD32" s="514"/>
      <c r="AE32" s="514"/>
      <c r="AF32" s="514"/>
      <c r="AG32" s="514"/>
      <c r="AH32" s="514"/>
      <c r="AI32" s="514"/>
    </row>
    <row r="33" spans="1:35" hidden="1" outlineLevel="1" x14ac:dyDescent="0.2">
      <c r="A33" s="512" t="s">
        <v>18</v>
      </c>
      <c r="B33" s="512"/>
      <c r="C33" s="512"/>
      <c r="D33" s="512">
        <f>SUM(D29:D32)</f>
        <v>70000</v>
      </c>
      <c r="E33" s="512"/>
      <c r="F33" s="514"/>
      <c r="G33" s="514"/>
      <c r="H33" s="514"/>
      <c r="I33" s="514"/>
      <c r="J33" s="514"/>
      <c r="K33" s="514"/>
      <c r="L33" s="514"/>
      <c r="M33" s="514"/>
      <c r="N33" s="514"/>
      <c r="O33" s="514"/>
      <c r="P33" s="514"/>
      <c r="Q33" s="514"/>
      <c r="R33" s="514"/>
      <c r="S33" s="514"/>
      <c r="T33" s="514"/>
      <c r="U33" s="514"/>
      <c r="V33" s="514"/>
      <c r="W33" s="514"/>
      <c r="X33" s="514"/>
      <c r="Y33" s="514"/>
      <c r="Z33" s="514"/>
      <c r="AA33" s="514"/>
      <c r="AB33" s="514"/>
      <c r="AC33" s="514"/>
      <c r="AD33" s="514"/>
      <c r="AE33" s="514"/>
      <c r="AF33" s="514"/>
      <c r="AG33" s="514"/>
      <c r="AH33" s="514"/>
      <c r="AI33" s="514"/>
    </row>
    <row r="34" spans="1:35" hidden="1" outlineLevel="1" x14ac:dyDescent="0.2">
      <c r="A34" s="512" t="s">
        <v>19</v>
      </c>
      <c r="B34" s="512"/>
      <c r="C34" s="512"/>
      <c r="D34" s="512">
        <f>D33-D32</f>
        <v>70000</v>
      </c>
      <c r="E34" s="512"/>
      <c r="F34" s="514"/>
      <c r="G34" s="514"/>
      <c r="H34" s="514"/>
      <c r="I34" s="514"/>
      <c r="J34" s="514"/>
      <c r="K34" s="514"/>
      <c r="L34" s="514"/>
      <c r="M34" s="514"/>
      <c r="N34" s="514"/>
      <c r="O34" s="514"/>
      <c r="P34" s="514"/>
      <c r="Q34" s="514"/>
      <c r="R34" s="514"/>
      <c r="S34" s="514"/>
      <c r="T34" s="514"/>
      <c r="U34" s="514"/>
      <c r="V34" s="514"/>
      <c r="W34" s="514"/>
      <c r="X34" s="514"/>
      <c r="Y34" s="514"/>
      <c r="Z34" s="514"/>
      <c r="AA34" s="514"/>
      <c r="AB34" s="514"/>
      <c r="AC34" s="514"/>
      <c r="AD34" s="514"/>
      <c r="AE34" s="514"/>
      <c r="AF34" s="514"/>
      <c r="AG34" s="514"/>
      <c r="AH34" s="514"/>
      <c r="AI34" s="514"/>
    </row>
    <row r="35" spans="1:35" collapsed="1" x14ac:dyDescent="0.2">
      <c r="A35" s="512" t="s">
        <v>20</v>
      </c>
      <c r="B35" s="512">
        <f>B29+B30+B31</f>
        <v>2</v>
      </c>
      <c r="C35" s="512">
        <v>11000</v>
      </c>
      <c r="D35" s="519">
        <v>0.30199999999999999</v>
      </c>
      <c r="E35" s="512"/>
      <c r="F35" s="514">
        <f>$H$70</f>
        <v>7248</v>
      </c>
      <c r="G35" s="514">
        <f t="shared" ref="G35:AI35" si="23">$H$70</f>
        <v>7248</v>
      </c>
      <c r="H35" s="514">
        <f t="shared" si="23"/>
        <v>7248</v>
      </c>
      <c r="I35" s="514">
        <f t="shared" si="23"/>
        <v>7248</v>
      </c>
      <c r="J35" s="514">
        <f t="shared" si="23"/>
        <v>7248</v>
      </c>
      <c r="K35" s="514">
        <f t="shared" si="23"/>
        <v>7248</v>
      </c>
      <c r="L35" s="514">
        <f t="shared" si="23"/>
        <v>7248</v>
      </c>
      <c r="M35" s="514">
        <f t="shared" si="23"/>
        <v>7248</v>
      </c>
      <c r="N35" s="514">
        <f t="shared" si="23"/>
        <v>7248</v>
      </c>
      <c r="O35" s="514">
        <f t="shared" si="23"/>
        <v>7248</v>
      </c>
      <c r="P35" s="514">
        <f t="shared" si="23"/>
        <v>7248</v>
      </c>
      <c r="Q35" s="514">
        <f t="shared" si="23"/>
        <v>7248</v>
      </c>
      <c r="R35" s="514">
        <f t="shared" si="23"/>
        <v>7248</v>
      </c>
      <c r="S35" s="514">
        <f t="shared" si="23"/>
        <v>7248</v>
      </c>
      <c r="T35" s="514">
        <f t="shared" si="23"/>
        <v>7248</v>
      </c>
      <c r="U35" s="514">
        <f t="shared" si="23"/>
        <v>7248</v>
      </c>
      <c r="V35" s="514">
        <f t="shared" si="23"/>
        <v>7248</v>
      </c>
      <c r="W35" s="514">
        <f t="shared" si="23"/>
        <v>7248</v>
      </c>
      <c r="X35" s="514">
        <f t="shared" si="23"/>
        <v>7248</v>
      </c>
      <c r="Y35" s="514">
        <f t="shared" si="23"/>
        <v>7248</v>
      </c>
      <c r="Z35" s="514">
        <f t="shared" si="23"/>
        <v>7248</v>
      </c>
      <c r="AA35" s="514">
        <f t="shared" si="23"/>
        <v>7248</v>
      </c>
      <c r="AB35" s="514">
        <f t="shared" si="23"/>
        <v>7248</v>
      </c>
      <c r="AC35" s="514">
        <f t="shared" si="23"/>
        <v>7248</v>
      </c>
      <c r="AD35" s="514">
        <f t="shared" si="23"/>
        <v>7248</v>
      </c>
      <c r="AE35" s="514">
        <f t="shared" si="23"/>
        <v>7248</v>
      </c>
      <c r="AF35" s="514">
        <f t="shared" si="23"/>
        <v>7248</v>
      </c>
      <c r="AG35" s="514">
        <f t="shared" si="23"/>
        <v>7248</v>
      </c>
      <c r="AH35" s="514">
        <f t="shared" si="23"/>
        <v>7248</v>
      </c>
      <c r="AI35" s="514">
        <f t="shared" si="23"/>
        <v>7248</v>
      </c>
    </row>
    <row r="36" spans="1:35" hidden="1" outlineLevel="2" x14ac:dyDescent="0.2">
      <c r="A36" s="512"/>
      <c r="B36" s="512"/>
      <c r="C36" s="512" t="s">
        <v>21</v>
      </c>
      <c r="D36" s="512">
        <f>SUM(B29:B32)-B32</f>
        <v>2</v>
      </c>
      <c r="E36" s="512"/>
      <c r="F36" s="514"/>
      <c r="G36" s="514"/>
      <c r="H36" s="514"/>
      <c r="I36" s="514"/>
      <c r="J36" s="514"/>
      <c r="K36" s="514"/>
      <c r="L36" s="514"/>
      <c r="M36" s="514"/>
      <c r="N36" s="514"/>
      <c r="O36" s="514"/>
      <c r="P36" s="514"/>
      <c r="Q36" s="514"/>
      <c r="R36" s="514"/>
      <c r="S36" s="514"/>
      <c r="T36" s="514"/>
      <c r="U36" s="514"/>
      <c r="V36" s="514"/>
      <c r="W36" s="514"/>
      <c r="X36" s="514"/>
      <c r="Y36" s="514"/>
      <c r="Z36" s="514"/>
      <c r="AA36" s="514"/>
      <c r="AB36" s="514"/>
      <c r="AC36" s="514"/>
      <c r="AD36" s="514"/>
      <c r="AE36" s="514"/>
      <c r="AF36" s="514"/>
      <c r="AG36" s="514"/>
      <c r="AH36" s="514"/>
      <c r="AI36" s="514"/>
    </row>
    <row r="37" spans="1:35" hidden="1" outlineLevel="2" x14ac:dyDescent="0.2">
      <c r="A37" s="512"/>
      <c r="B37" s="512"/>
      <c r="C37" s="512" t="s">
        <v>22</v>
      </c>
      <c r="D37" s="512">
        <v>10000</v>
      </c>
      <c r="E37" s="512"/>
      <c r="F37" s="514"/>
      <c r="G37" s="514"/>
      <c r="H37" s="514"/>
      <c r="I37" s="514"/>
      <c r="J37" s="514"/>
      <c r="K37" s="514"/>
      <c r="L37" s="514"/>
      <c r="M37" s="514"/>
      <c r="N37" s="514"/>
      <c r="O37" s="514"/>
      <c r="P37" s="514"/>
      <c r="Q37" s="514"/>
      <c r="R37" s="514"/>
      <c r="S37" s="514"/>
      <c r="T37" s="514"/>
      <c r="U37" s="514"/>
      <c r="V37" s="514"/>
      <c r="W37" s="514"/>
      <c r="X37" s="514"/>
      <c r="Y37" s="514"/>
      <c r="Z37" s="514"/>
      <c r="AA37" s="514"/>
      <c r="AB37" s="514"/>
      <c r="AC37" s="514"/>
      <c r="AD37" s="514"/>
      <c r="AE37" s="514"/>
      <c r="AF37" s="514"/>
      <c r="AG37" s="514"/>
      <c r="AH37" s="514"/>
      <c r="AI37" s="514"/>
    </row>
    <row r="38" spans="1:35" hidden="1" outlineLevel="2" x14ac:dyDescent="0.2">
      <c r="A38" s="512"/>
      <c r="B38" s="512"/>
      <c r="C38" s="512" t="s">
        <v>23</v>
      </c>
      <c r="D38" s="520">
        <v>0.30199999999999999</v>
      </c>
      <c r="E38" s="512"/>
      <c r="F38" s="514"/>
      <c r="G38" s="514"/>
      <c r="H38" s="514"/>
      <c r="I38" s="514"/>
      <c r="J38" s="514"/>
      <c r="K38" s="514"/>
      <c r="L38" s="514"/>
      <c r="M38" s="514"/>
      <c r="N38" s="514"/>
      <c r="O38" s="514"/>
      <c r="P38" s="514"/>
      <c r="Q38" s="514"/>
      <c r="R38" s="514"/>
      <c r="S38" s="514"/>
      <c r="T38" s="514"/>
      <c r="U38" s="514"/>
      <c r="V38" s="514"/>
      <c r="W38" s="514"/>
      <c r="X38" s="514"/>
      <c r="Y38" s="514"/>
      <c r="Z38" s="514"/>
      <c r="AA38" s="514"/>
      <c r="AB38" s="514"/>
      <c r="AC38" s="514"/>
      <c r="AD38" s="514"/>
      <c r="AE38" s="514"/>
      <c r="AF38" s="514"/>
      <c r="AG38" s="514"/>
      <c r="AH38" s="514"/>
      <c r="AI38" s="514"/>
    </row>
    <row r="39" spans="1:35" collapsed="1" x14ac:dyDescent="0.2">
      <c r="A39" s="512" t="s">
        <v>24</v>
      </c>
      <c r="B39" s="512"/>
      <c r="C39" s="512"/>
      <c r="D39" s="512"/>
      <c r="E39" s="512"/>
      <c r="F39" s="514">
        <f>1300+200</f>
        <v>1500</v>
      </c>
      <c r="G39" s="514">
        <f t="shared" ref="G39:AI39" si="24">1300+200</f>
        <v>1500</v>
      </c>
      <c r="H39" s="514">
        <f t="shared" si="24"/>
        <v>1500</v>
      </c>
      <c r="I39" s="514">
        <f t="shared" si="24"/>
        <v>1500</v>
      </c>
      <c r="J39" s="514">
        <f t="shared" si="24"/>
        <v>1500</v>
      </c>
      <c r="K39" s="514">
        <f t="shared" si="24"/>
        <v>1500</v>
      </c>
      <c r="L39" s="514">
        <f t="shared" si="24"/>
        <v>1500</v>
      </c>
      <c r="M39" s="514">
        <f t="shared" si="24"/>
        <v>1500</v>
      </c>
      <c r="N39" s="514">
        <f t="shared" si="24"/>
        <v>1500</v>
      </c>
      <c r="O39" s="514">
        <f t="shared" si="24"/>
        <v>1500</v>
      </c>
      <c r="P39" s="514">
        <f t="shared" si="24"/>
        <v>1500</v>
      </c>
      <c r="Q39" s="514">
        <f t="shared" si="24"/>
        <v>1500</v>
      </c>
      <c r="R39" s="514">
        <f t="shared" si="24"/>
        <v>1500</v>
      </c>
      <c r="S39" s="514">
        <f t="shared" si="24"/>
        <v>1500</v>
      </c>
      <c r="T39" s="514">
        <f t="shared" si="24"/>
        <v>1500</v>
      </c>
      <c r="U39" s="514">
        <f t="shared" si="24"/>
        <v>1500</v>
      </c>
      <c r="V39" s="514">
        <f t="shared" si="24"/>
        <v>1500</v>
      </c>
      <c r="W39" s="514">
        <f t="shared" si="24"/>
        <v>1500</v>
      </c>
      <c r="X39" s="514">
        <f t="shared" si="24"/>
        <v>1500</v>
      </c>
      <c r="Y39" s="514">
        <f t="shared" si="24"/>
        <v>1500</v>
      </c>
      <c r="Z39" s="514">
        <f t="shared" si="24"/>
        <v>1500</v>
      </c>
      <c r="AA39" s="514">
        <f t="shared" si="24"/>
        <v>1500</v>
      </c>
      <c r="AB39" s="514">
        <f t="shared" si="24"/>
        <v>1500</v>
      </c>
      <c r="AC39" s="514">
        <f t="shared" si="24"/>
        <v>1500</v>
      </c>
      <c r="AD39" s="514">
        <f t="shared" si="24"/>
        <v>1500</v>
      </c>
      <c r="AE39" s="514">
        <f t="shared" si="24"/>
        <v>1500</v>
      </c>
      <c r="AF39" s="514">
        <f t="shared" si="24"/>
        <v>1500</v>
      </c>
      <c r="AG39" s="514">
        <f t="shared" si="24"/>
        <v>1500</v>
      </c>
      <c r="AH39" s="514">
        <f t="shared" si="24"/>
        <v>1500</v>
      </c>
      <c r="AI39" s="514">
        <f t="shared" si="24"/>
        <v>1500</v>
      </c>
    </row>
    <row r="40" spans="1:35" x14ac:dyDescent="0.2">
      <c r="A40" s="512" t="s">
        <v>25</v>
      </c>
      <c r="B40" s="512"/>
      <c r="C40" s="512"/>
      <c r="D40" s="512"/>
      <c r="E40" s="512"/>
      <c r="F40" s="514">
        <f t="shared" ref="F40" si="25">F41+F42</f>
        <v>5000</v>
      </c>
      <c r="G40" s="514">
        <f t="shared" ref="G40:AI40" si="26">G41+G42</f>
        <v>5000</v>
      </c>
      <c r="H40" s="514">
        <f t="shared" si="26"/>
        <v>5000</v>
      </c>
      <c r="I40" s="514">
        <f t="shared" si="26"/>
        <v>5000</v>
      </c>
      <c r="J40" s="514">
        <f t="shared" si="26"/>
        <v>5000</v>
      </c>
      <c r="K40" s="514">
        <f>K41+K42</f>
        <v>5000</v>
      </c>
      <c r="L40" s="514">
        <f t="shared" si="26"/>
        <v>5000</v>
      </c>
      <c r="M40" s="514">
        <f t="shared" si="26"/>
        <v>5000</v>
      </c>
      <c r="N40" s="514">
        <f t="shared" si="26"/>
        <v>5000</v>
      </c>
      <c r="O40" s="514">
        <f t="shared" si="26"/>
        <v>5000</v>
      </c>
      <c r="P40" s="514">
        <f t="shared" si="26"/>
        <v>5000</v>
      </c>
      <c r="Q40" s="514">
        <f t="shared" si="26"/>
        <v>5000</v>
      </c>
      <c r="R40" s="514">
        <f t="shared" si="26"/>
        <v>5000</v>
      </c>
      <c r="S40" s="514">
        <f t="shared" si="26"/>
        <v>5000</v>
      </c>
      <c r="T40" s="514">
        <f t="shared" si="26"/>
        <v>5000</v>
      </c>
      <c r="U40" s="514">
        <f t="shared" si="26"/>
        <v>5000</v>
      </c>
      <c r="V40" s="514">
        <f t="shared" si="26"/>
        <v>5000</v>
      </c>
      <c r="W40" s="514">
        <f t="shared" si="26"/>
        <v>5000</v>
      </c>
      <c r="X40" s="514">
        <f t="shared" si="26"/>
        <v>5000</v>
      </c>
      <c r="Y40" s="514">
        <f t="shared" si="26"/>
        <v>5000</v>
      </c>
      <c r="Z40" s="514">
        <f t="shared" si="26"/>
        <v>5000</v>
      </c>
      <c r="AA40" s="514">
        <f t="shared" si="26"/>
        <v>5000</v>
      </c>
      <c r="AB40" s="514">
        <f t="shared" si="26"/>
        <v>5000</v>
      </c>
      <c r="AC40" s="514">
        <f t="shared" si="26"/>
        <v>5000</v>
      </c>
      <c r="AD40" s="514">
        <f t="shared" si="26"/>
        <v>5000</v>
      </c>
      <c r="AE40" s="514">
        <f t="shared" si="26"/>
        <v>5000</v>
      </c>
      <c r="AF40" s="514">
        <f t="shared" si="26"/>
        <v>5000</v>
      </c>
      <c r="AG40" s="514">
        <f t="shared" si="26"/>
        <v>5000</v>
      </c>
      <c r="AH40" s="514">
        <f t="shared" si="26"/>
        <v>5000</v>
      </c>
      <c r="AI40" s="514">
        <f t="shared" si="26"/>
        <v>5000</v>
      </c>
    </row>
    <row r="41" spans="1:35" hidden="1" x14ac:dyDescent="0.2">
      <c r="A41" s="512" t="s">
        <v>26</v>
      </c>
      <c r="B41" s="512"/>
      <c r="C41" s="512"/>
      <c r="D41" s="512"/>
      <c r="E41" s="512"/>
      <c r="F41" s="514">
        <v>1000</v>
      </c>
      <c r="G41" s="514">
        <v>1000</v>
      </c>
      <c r="H41" s="514">
        <v>1000</v>
      </c>
      <c r="I41" s="514">
        <v>1000</v>
      </c>
      <c r="J41" s="514">
        <v>1000</v>
      </c>
      <c r="K41" s="514">
        <v>1000</v>
      </c>
      <c r="L41" s="514">
        <v>1000</v>
      </c>
      <c r="M41" s="514">
        <v>1000</v>
      </c>
      <c r="N41" s="514">
        <v>1000</v>
      </c>
      <c r="O41" s="514">
        <v>1000</v>
      </c>
      <c r="P41" s="514">
        <v>1000</v>
      </c>
      <c r="Q41" s="514">
        <v>1000</v>
      </c>
      <c r="R41" s="514">
        <v>1000</v>
      </c>
      <c r="S41" s="514">
        <v>1000</v>
      </c>
      <c r="T41" s="514">
        <v>1000</v>
      </c>
      <c r="U41" s="514">
        <v>1000</v>
      </c>
      <c r="V41" s="514">
        <v>1000</v>
      </c>
      <c r="W41" s="514">
        <v>1000</v>
      </c>
      <c r="X41" s="514">
        <v>1000</v>
      </c>
      <c r="Y41" s="514">
        <v>1000</v>
      </c>
      <c r="Z41" s="514">
        <v>1000</v>
      </c>
      <c r="AA41" s="514">
        <v>1000</v>
      </c>
      <c r="AB41" s="514">
        <v>1000</v>
      </c>
      <c r="AC41" s="514">
        <v>1000</v>
      </c>
      <c r="AD41" s="514">
        <v>1000</v>
      </c>
      <c r="AE41" s="514">
        <v>1000</v>
      </c>
      <c r="AF41" s="514">
        <v>1000</v>
      </c>
      <c r="AG41" s="514">
        <v>1000</v>
      </c>
      <c r="AH41" s="514">
        <v>1000</v>
      </c>
      <c r="AI41" s="514">
        <v>1000</v>
      </c>
    </row>
    <row r="42" spans="1:35" hidden="1" x14ac:dyDescent="0.2">
      <c r="A42" s="512" t="s">
        <v>27</v>
      </c>
      <c r="B42" s="512"/>
      <c r="C42" s="512"/>
      <c r="D42" s="512"/>
      <c r="E42" s="512"/>
      <c r="F42" s="514">
        <v>4000</v>
      </c>
      <c r="G42" s="514">
        <v>4000</v>
      </c>
      <c r="H42" s="514">
        <v>4000</v>
      </c>
      <c r="I42" s="514">
        <v>4000</v>
      </c>
      <c r="J42" s="514">
        <v>4000</v>
      </c>
      <c r="K42" s="514">
        <v>4000</v>
      </c>
      <c r="L42" s="514">
        <v>4000</v>
      </c>
      <c r="M42" s="514">
        <v>4000</v>
      </c>
      <c r="N42" s="514">
        <v>4000</v>
      </c>
      <c r="O42" s="514">
        <v>4000</v>
      </c>
      <c r="P42" s="514">
        <v>4000</v>
      </c>
      <c r="Q42" s="514">
        <v>4000</v>
      </c>
      <c r="R42" s="514">
        <v>4000</v>
      </c>
      <c r="S42" s="514">
        <v>4000</v>
      </c>
      <c r="T42" s="514">
        <v>4000</v>
      </c>
      <c r="U42" s="514">
        <v>4000</v>
      </c>
      <c r="V42" s="514">
        <v>4000</v>
      </c>
      <c r="W42" s="514">
        <v>4000</v>
      </c>
      <c r="X42" s="514">
        <v>4000</v>
      </c>
      <c r="Y42" s="514">
        <v>4000</v>
      </c>
      <c r="Z42" s="514">
        <v>4000</v>
      </c>
      <c r="AA42" s="514">
        <v>4000</v>
      </c>
      <c r="AB42" s="514">
        <v>4000</v>
      </c>
      <c r="AC42" s="514">
        <v>4000</v>
      </c>
      <c r="AD42" s="514">
        <v>4000</v>
      </c>
      <c r="AE42" s="514">
        <v>4000</v>
      </c>
      <c r="AF42" s="514">
        <v>4000</v>
      </c>
      <c r="AG42" s="514">
        <v>4000</v>
      </c>
      <c r="AH42" s="514">
        <v>4000</v>
      </c>
      <c r="AI42" s="514">
        <v>4000</v>
      </c>
    </row>
    <row r="43" spans="1:35" x14ac:dyDescent="0.2">
      <c r="A43" s="512" t="s">
        <v>28</v>
      </c>
      <c r="B43" s="512"/>
      <c r="C43" s="512"/>
      <c r="D43" s="512"/>
      <c r="E43" s="512"/>
      <c r="F43" s="514">
        <v>5000</v>
      </c>
      <c r="G43" s="514">
        <v>5000</v>
      </c>
      <c r="H43" s="514">
        <v>5000</v>
      </c>
      <c r="I43" s="514">
        <v>5000</v>
      </c>
      <c r="J43" s="514">
        <v>5000</v>
      </c>
      <c r="K43" s="514">
        <v>5000</v>
      </c>
      <c r="L43" s="514">
        <v>5000</v>
      </c>
      <c r="M43" s="514">
        <v>5000</v>
      </c>
      <c r="N43" s="514">
        <v>5000</v>
      </c>
      <c r="O43" s="514">
        <v>5000</v>
      </c>
      <c r="P43" s="514">
        <v>5000</v>
      </c>
      <c r="Q43" s="514">
        <v>5000</v>
      </c>
      <c r="R43" s="514">
        <v>5000</v>
      </c>
      <c r="S43" s="514">
        <v>5000</v>
      </c>
      <c r="T43" s="514">
        <v>5000</v>
      </c>
      <c r="U43" s="514">
        <v>5000</v>
      </c>
      <c r="V43" s="514">
        <v>5000</v>
      </c>
      <c r="W43" s="514">
        <v>5000</v>
      </c>
      <c r="X43" s="514">
        <v>5000</v>
      </c>
      <c r="Y43" s="514">
        <v>5000</v>
      </c>
      <c r="Z43" s="514">
        <v>5000</v>
      </c>
      <c r="AA43" s="514">
        <v>5000</v>
      </c>
      <c r="AB43" s="514">
        <v>5000</v>
      </c>
      <c r="AC43" s="514">
        <v>5000</v>
      </c>
      <c r="AD43" s="514">
        <v>5000</v>
      </c>
      <c r="AE43" s="514">
        <v>5000</v>
      </c>
      <c r="AF43" s="514">
        <v>5000</v>
      </c>
      <c r="AG43" s="514">
        <v>5000</v>
      </c>
      <c r="AH43" s="514">
        <v>5000</v>
      </c>
      <c r="AI43" s="514">
        <v>5000</v>
      </c>
    </row>
    <row r="44" spans="1:35" x14ac:dyDescent="0.2">
      <c r="A44" s="512" t="s">
        <v>29</v>
      </c>
      <c r="B44" s="512"/>
      <c r="C44" s="512"/>
      <c r="D44" s="512"/>
      <c r="E44" s="512"/>
      <c r="F44" s="514">
        <v>3000</v>
      </c>
      <c r="G44" s="514">
        <v>3000</v>
      </c>
      <c r="H44" s="514">
        <v>3000</v>
      </c>
      <c r="I44" s="514">
        <v>3000</v>
      </c>
      <c r="J44" s="514">
        <v>3000</v>
      </c>
      <c r="K44" s="514">
        <v>3000</v>
      </c>
      <c r="L44" s="514">
        <v>3000</v>
      </c>
      <c r="M44" s="514">
        <v>3000</v>
      </c>
      <c r="N44" s="514">
        <v>3000</v>
      </c>
      <c r="O44" s="514">
        <v>3000</v>
      </c>
      <c r="P44" s="514">
        <v>3000</v>
      </c>
      <c r="Q44" s="514">
        <v>3000</v>
      </c>
      <c r="R44" s="514">
        <v>3000</v>
      </c>
      <c r="S44" s="514">
        <v>3000</v>
      </c>
      <c r="T44" s="514">
        <v>3000</v>
      </c>
      <c r="U44" s="514">
        <v>3000</v>
      </c>
      <c r="V44" s="514">
        <v>3000</v>
      </c>
      <c r="W44" s="514">
        <v>3000</v>
      </c>
      <c r="X44" s="514">
        <v>3000</v>
      </c>
      <c r="Y44" s="514">
        <v>3000</v>
      </c>
      <c r="Z44" s="514">
        <v>3000</v>
      </c>
      <c r="AA44" s="514">
        <v>3000</v>
      </c>
      <c r="AB44" s="514">
        <v>3000</v>
      </c>
      <c r="AC44" s="514">
        <v>3000</v>
      </c>
      <c r="AD44" s="514">
        <v>3000</v>
      </c>
      <c r="AE44" s="514">
        <v>3000</v>
      </c>
      <c r="AF44" s="514">
        <v>3000</v>
      </c>
      <c r="AG44" s="514">
        <v>3000</v>
      </c>
      <c r="AH44" s="514">
        <v>3000</v>
      </c>
      <c r="AI44" s="514">
        <v>3000</v>
      </c>
    </row>
    <row r="45" spans="1:35" x14ac:dyDescent="0.2">
      <c r="A45" s="512" t="s">
        <v>97</v>
      </c>
      <c r="B45" s="512"/>
      <c r="C45" s="512"/>
      <c r="D45" s="512"/>
      <c r="E45" s="512"/>
      <c r="F45" s="514">
        <v>5000</v>
      </c>
      <c r="G45" s="514">
        <v>5000</v>
      </c>
      <c r="H45" s="514">
        <v>5000</v>
      </c>
      <c r="I45" s="514">
        <v>5000</v>
      </c>
      <c r="J45" s="514">
        <v>5000</v>
      </c>
      <c r="K45" s="514">
        <v>5000</v>
      </c>
      <c r="L45" s="514">
        <v>5000</v>
      </c>
      <c r="M45" s="514">
        <v>5000</v>
      </c>
      <c r="N45" s="514">
        <v>5000</v>
      </c>
      <c r="O45" s="514">
        <v>5000</v>
      </c>
      <c r="P45" s="514">
        <v>5000</v>
      </c>
      <c r="Q45" s="514">
        <v>5000</v>
      </c>
      <c r="R45" s="514">
        <v>5000</v>
      </c>
      <c r="S45" s="514">
        <v>5000</v>
      </c>
      <c r="T45" s="514">
        <v>5000</v>
      </c>
      <c r="U45" s="514">
        <v>5000</v>
      </c>
      <c r="V45" s="514">
        <v>5000</v>
      </c>
      <c r="W45" s="514">
        <v>5000</v>
      </c>
      <c r="X45" s="514">
        <v>5000</v>
      </c>
      <c r="Y45" s="514">
        <v>5000</v>
      </c>
      <c r="Z45" s="514">
        <v>5000</v>
      </c>
      <c r="AA45" s="514">
        <v>5000</v>
      </c>
      <c r="AB45" s="514">
        <v>5000</v>
      </c>
      <c r="AC45" s="514">
        <v>5000</v>
      </c>
      <c r="AD45" s="514">
        <v>5000</v>
      </c>
      <c r="AE45" s="514">
        <v>5000</v>
      </c>
      <c r="AF45" s="514">
        <v>5000</v>
      </c>
      <c r="AG45" s="514">
        <v>5000</v>
      </c>
      <c r="AH45" s="514">
        <v>5000</v>
      </c>
      <c r="AI45" s="514">
        <v>5000</v>
      </c>
    </row>
    <row r="46" spans="1:35" x14ac:dyDescent="0.2">
      <c r="A46" s="512" t="s">
        <v>44</v>
      </c>
      <c r="B46" s="512"/>
      <c r="C46" s="512" t="s">
        <v>30</v>
      </c>
      <c r="D46" s="515">
        <v>1.6E-2</v>
      </c>
      <c r="E46" s="512"/>
      <c r="F46" s="514">
        <f t="shared" ref="F46:AI46" si="27">F13*$D46</f>
        <v>3168</v>
      </c>
      <c r="G46" s="514">
        <f t="shared" si="27"/>
        <v>3168</v>
      </c>
      <c r="H46" s="514">
        <f t="shared" si="27"/>
        <v>3168</v>
      </c>
      <c r="I46" s="514">
        <f t="shared" si="27"/>
        <v>3168</v>
      </c>
      <c r="J46" s="514">
        <f t="shared" si="27"/>
        <v>3168</v>
      </c>
      <c r="K46" s="514">
        <f t="shared" si="27"/>
        <v>3168</v>
      </c>
      <c r="L46" s="514">
        <f t="shared" si="27"/>
        <v>3168</v>
      </c>
      <c r="M46" s="514">
        <f t="shared" si="27"/>
        <v>3168</v>
      </c>
      <c r="N46" s="514">
        <f t="shared" si="27"/>
        <v>3168</v>
      </c>
      <c r="O46" s="514">
        <f t="shared" si="27"/>
        <v>3168</v>
      </c>
      <c r="P46" s="514">
        <f t="shared" si="27"/>
        <v>3168</v>
      </c>
      <c r="Q46" s="514">
        <f t="shared" si="27"/>
        <v>3168</v>
      </c>
      <c r="R46" s="514">
        <f t="shared" si="27"/>
        <v>3168</v>
      </c>
      <c r="S46" s="514">
        <f t="shared" si="27"/>
        <v>3168</v>
      </c>
      <c r="T46" s="514">
        <f t="shared" si="27"/>
        <v>3168</v>
      </c>
      <c r="U46" s="514">
        <f t="shared" si="27"/>
        <v>3168</v>
      </c>
      <c r="V46" s="514">
        <f t="shared" si="27"/>
        <v>3168</v>
      </c>
      <c r="W46" s="514">
        <f t="shared" si="27"/>
        <v>3168</v>
      </c>
      <c r="X46" s="514">
        <f t="shared" si="27"/>
        <v>3168</v>
      </c>
      <c r="Y46" s="514">
        <f t="shared" si="27"/>
        <v>3168</v>
      </c>
      <c r="Z46" s="514">
        <f t="shared" si="27"/>
        <v>3168</v>
      </c>
      <c r="AA46" s="514">
        <f t="shared" si="27"/>
        <v>3168</v>
      </c>
      <c r="AB46" s="514">
        <f t="shared" si="27"/>
        <v>3168</v>
      </c>
      <c r="AC46" s="514">
        <f t="shared" si="27"/>
        <v>3168</v>
      </c>
      <c r="AD46" s="514">
        <f t="shared" si="27"/>
        <v>3168</v>
      </c>
      <c r="AE46" s="514">
        <f t="shared" si="27"/>
        <v>3168</v>
      </c>
      <c r="AF46" s="514">
        <f t="shared" si="27"/>
        <v>3168</v>
      </c>
      <c r="AG46" s="514">
        <f t="shared" si="27"/>
        <v>3168</v>
      </c>
      <c r="AH46" s="514">
        <f t="shared" si="27"/>
        <v>3168</v>
      </c>
      <c r="AI46" s="514">
        <f t="shared" si="27"/>
        <v>3168</v>
      </c>
    </row>
    <row r="47" spans="1:35" x14ac:dyDescent="0.2">
      <c r="A47" s="512" t="s">
        <v>31</v>
      </c>
      <c r="B47" s="512"/>
      <c r="C47" s="512" t="s">
        <v>30</v>
      </c>
      <c r="D47" s="515">
        <v>5.1999999999999998E-3</v>
      </c>
      <c r="E47" s="512"/>
      <c r="F47" s="514">
        <f t="shared" ref="F47:AI47" si="28">F14*$D47</f>
        <v>2090.4</v>
      </c>
      <c r="G47" s="514">
        <f t="shared" si="28"/>
        <v>2090.4</v>
      </c>
      <c r="H47" s="514">
        <f t="shared" si="28"/>
        <v>2090.4</v>
      </c>
      <c r="I47" s="514">
        <f t="shared" si="28"/>
        <v>2090.4</v>
      </c>
      <c r="J47" s="514">
        <f t="shared" si="28"/>
        <v>2090.4</v>
      </c>
      <c r="K47" s="514">
        <f t="shared" si="28"/>
        <v>2090.4</v>
      </c>
      <c r="L47" s="514">
        <f t="shared" si="28"/>
        <v>2090.4</v>
      </c>
      <c r="M47" s="514">
        <f t="shared" si="28"/>
        <v>2090.4</v>
      </c>
      <c r="N47" s="514">
        <f t="shared" si="28"/>
        <v>2090.4</v>
      </c>
      <c r="O47" s="514">
        <f t="shared" si="28"/>
        <v>2090.4</v>
      </c>
      <c r="P47" s="514">
        <f t="shared" si="28"/>
        <v>2090.4</v>
      </c>
      <c r="Q47" s="514">
        <f t="shared" si="28"/>
        <v>2090.4</v>
      </c>
      <c r="R47" s="514">
        <f t="shared" si="28"/>
        <v>2090.4</v>
      </c>
      <c r="S47" s="514">
        <f t="shared" si="28"/>
        <v>2090.4</v>
      </c>
      <c r="T47" s="514">
        <f t="shared" si="28"/>
        <v>2090.4</v>
      </c>
      <c r="U47" s="514">
        <f t="shared" si="28"/>
        <v>2090.4</v>
      </c>
      <c r="V47" s="514">
        <f t="shared" si="28"/>
        <v>2090.4</v>
      </c>
      <c r="W47" s="514">
        <f t="shared" si="28"/>
        <v>2090.4</v>
      </c>
      <c r="X47" s="514">
        <f t="shared" si="28"/>
        <v>2090.4</v>
      </c>
      <c r="Y47" s="514">
        <f t="shared" si="28"/>
        <v>2090.4</v>
      </c>
      <c r="Z47" s="514">
        <f t="shared" si="28"/>
        <v>2090.4</v>
      </c>
      <c r="AA47" s="514">
        <f t="shared" si="28"/>
        <v>2090.4</v>
      </c>
      <c r="AB47" s="514">
        <f t="shared" si="28"/>
        <v>2090.4</v>
      </c>
      <c r="AC47" s="514">
        <f t="shared" si="28"/>
        <v>2090.4</v>
      </c>
      <c r="AD47" s="514">
        <f t="shared" si="28"/>
        <v>2090.4</v>
      </c>
      <c r="AE47" s="514">
        <f t="shared" si="28"/>
        <v>2090.4</v>
      </c>
      <c r="AF47" s="514">
        <f t="shared" si="28"/>
        <v>2090.4</v>
      </c>
      <c r="AG47" s="514">
        <f t="shared" si="28"/>
        <v>2090.4</v>
      </c>
      <c r="AH47" s="514">
        <f t="shared" si="28"/>
        <v>2090.4</v>
      </c>
      <c r="AI47" s="514">
        <f t="shared" si="28"/>
        <v>2090.4</v>
      </c>
    </row>
    <row r="48" spans="1:35" x14ac:dyDescent="0.2">
      <c r="A48" s="512" t="s">
        <v>91</v>
      </c>
      <c r="B48" s="512"/>
      <c r="C48" s="512"/>
      <c r="D48" s="512"/>
      <c r="E48" s="512"/>
      <c r="F48" s="514">
        <v>7000</v>
      </c>
      <c r="G48" s="514">
        <v>7000</v>
      </c>
      <c r="H48" s="514">
        <v>7000</v>
      </c>
      <c r="I48" s="514">
        <v>7000</v>
      </c>
      <c r="J48" s="514">
        <v>7000</v>
      </c>
      <c r="K48" s="514">
        <v>7000</v>
      </c>
      <c r="L48" s="514">
        <v>7000</v>
      </c>
      <c r="M48" s="514">
        <v>7000</v>
      </c>
      <c r="N48" s="514">
        <v>7000</v>
      </c>
      <c r="O48" s="514">
        <v>7000</v>
      </c>
      <c r="P48" s="514">
        <v>7000</v>
      </c>
      <c r="Q48" s="514">
        <v>7000</v>
      </c>
      <c r="R48" s="514">
        <v>7000</v>
      </c>
      <c r="S48" s="514">
        <v>7000</v>
      </c>
      <c r="T48" s="514">
        <v>7000</v>
      </c>
      <c r="U48" s="514">
        <v>7000</v>
      </c>
      <c r="V48" s="514">
        <v>7000</v>
      </c>
      <c r="W48" s="514">
        <v>7000</v>
      </c>
      <c r="X48" s="514">
        <v>7000</v>
      </c>
      <c r="Y48" s="514">
        <v>7000</v>
      </c>
      <c r="Z48" s="514">
        <v>7000</v>
      </c>
      <c r="AA48" s="514">
        <v>7000</v>
      </c>
      <c r="AB48" s="514">
        <v>7000</v>
      </c>
      <c r="AC48" s="514">
        <v>7000</v>
      </c>
      <c r="AD48" s="514">
        <v>7000</v>
      </c>
      <c r="AE48" s="514">
        <v>7000</v>
      </c>
      <c r="AF48" s="514">
        <v>7000</v>
      </c>
      <c r="AG48" s="514">
        <v>7000</v>
      </c>
      <c r="AH48" s="514">
        <v>7000</v>
      </c>
      <c r="AI48" s="514">
        <v>7000</v>
      </c>
    </row>
    <row r="49" spans="1:36" x14ac:dyDescent="0.2">
      <c r="A49" s="512" t="s">
        <v>32</v>
      </c>
      <c r="B49" s="512"/>
      <c r="C49" s="512"/>
      <c r="D49" s="512"/>
      <c r="E49" s="512"/>
      <c r="F49" s="514">
        <v>1000</v>
      </c>
      <c r="G49" s="514">
        <v>1000</v>
      </c>
      <c r="H49" s="514">
        <v>1000</v>
      </c>
      <c r="I49" s="514">
        <v>1000</v>
      </c>
      <c r="J49" s="514">
        <v>1000</v>
      </c>
      <c r="K49" s="514">
        <v>1000</v>
      </c>
      <c r="L49" s="514">
        <v>1000</v>
      </c>
      <c r="M49" s="514">
        <v>1000</v>
      </c>
      <c r="N49" s="514">
        <v>1000</v>
      </c>
      <c r="O49" s="514">
        <v>1000</v>
      </c>
      <c r="P49" s="514">
        <v>1000</v>
      </c>
      <c r="Q49" s="514">
        <v>1000</v>
      </c>
      <c r="R49" s="514">
        <v>1000</v>
      </c>
      <c r="S49" s="514">
        <v>1000</v>
      </c>
      <c r="T49" s="514">
        <v>1000</v>
      </c>
      <c r="U49" s="514">
        <v>1000</v>
      </c>
      <c r="V49" s="514">
        <v>1000</v>
      </c>
      <c r="W49" s="514">
        <v>1000</v>
      </c>
      <c r="X49" s="514">
        <v>1000</v>
      </c>
      <c r="Y49" s="514">
        <v>1000</v>
      </c>
      <c r="Z49" s="514">
        <v>1000</v>
      </c>
      <c r="AA49" s="514">
        <v>1000</v>
      </c>
      <c r="AB49" s="514">
        <v>1000</v>
      </c>
      <c r="AC49" s="514">
        <v>1000</v>
      </c>
      <c r="AD49" s="514">
        <v>1000</v>
      </c>
      <c r="AE49" s="514">
        <v>1000</v>
      </c>
      <c r="AF49" s="514">
        <v>1000</v>
      </c>
      <c r="AG49" s="514">
        <v>1000</v>
      </c>
      <c r="AH49" s="514">
        <v>1000</v>
      </c>
      <c r="AI49" s="514">
        <v>1000</v>
      </c>
    </row>
    <row r="50" spans="1:36" hidden="1" x14ac:dyDescent="0.2">
      <c r="A50" s="507"/>
      <c r="B50" s="512"/>
      <c r="C50" s="512"/>
      <c r="D50" s="512"/>
      <c r="E50" s="512"/>
      <c r="F50" s="514">
        <v>0</v>
      </c>
      <c r="G50" s="514">
        <v>0</v>
      </c>
      <c r="H50" s="514">
        <v>0</v>
      </c>
      <c r="I50" s="514">
        <v>0</v>
      </c>
      <c r="J50" s="514">
        <v>0</v>
      </c>
      <c r="K50" s="514">
        <v>0</v>
      </c>
      <c r="L50" s="514">
        <v>0</v>
      </c>
      <c r="M50" s="514">
        <v>0</v>
      </c>
      <c r="N50" s="514">
        <v>0</v>
      </c>
      <c r="O50" s="514">
        <v>0</v>
      </c>
      <c r="P50" s="514">
        <v>0</v>
      </c>
      <c r="Q50" s="514">
        <v>0</v>
      </c>
      <c r="R50" s="514">
        <v>0</v>
      </c>
      <c r="S50" s="514">
        <v>0</v>
      </c>
      <c r="T50" s="514">
        <v>0</v>
      </c>
      <c r="U50" s="514">
        <v>0</v>
      </c>
      <c r="V50" s="514">
        <v>0</v>
      </c>
      <c r="W50" s="514">
        <v>0</v>
      </c>
      <c r="X50" s="514">
        <v>0</v>
      </c>
      <c r="Y50" s="514">
        <v>0</v>
      </c>
      <c r="Z50" s="514">
        <v>0</v>
      </c>
      <c r="AA50" s="514">
        <v>0</v>
      </c>
      <c r="AB50" s="514">
        <v>0</v>
      </c>
      <c r="AC50" s="514">
        <v>0</v>
      </c>
      <c r="AD50" s="514">
        <v>0</v>
      </c>
      <c r="AE50" s="514">
        <v>0</v>
      </c>
      <c r="AF50" s="514">
        <v>0</v>
      </c>
      <c r="AG50" s="514">
        <v>0</v>
      </c>
      <c r="AH50" s="514">
        <v>0</v>
      </c>
      <c r="AI50" s="514">
        <v>0</v>
      </c>
    </row>
    <row r="51" spans="1:36" x14ac:dyDescent="0.2">
      <c r="A51" s="512" t="s">
        <v>33</v>
      </c>
      <c r="B51" s="512"/>
      <c r="C51" s="512" t="s">
        <v>34</v>
      </c>
      <c r="D51" s="515"/>
      <c r="E51" s="512"/>
      <c r="F51" s="514">
        <f>'Параметры проекта'!$B$26</f>
        <v>18000</v>
      </c>
      <c r="G51" s="514">
        <f>'Параметры проекта'!$B$26</f>
        <v>18000</v>
      </c>
      <c r="H51" s="514">
        <f>'Параметры проекта'!$B$26</f>
        <v>18000</v>
      </c>
      <c r="I51" s="514">
        <f>'Параметры проекта'!$B$26</f>
        <v>18000</v>
      </c>
      <c r="J51" s="514">
        <f>'Параметры проекта'!$B$26</f>
        <v>18000</v>
      </c>
      <c r="K51" s="514">
        <f>'Параметры проекта'!$B$26</f>
        <v>18000</v>
      </c>
      <c r="L51" s="514">
        <f>'Параметры проекта'!$B$26</f>
        <v>18000</v>
      </c>
      <c r="M51" s="514">
        <f>'Параметры проекта'!$B$26</f>
        <v>18000</v>
      </c>
      <c r="N51" s="514">
        <f>'Параметры проекта'!$B$26</f>
        <v>18000</v>
      </c>
      <c r="O51" s="514">
        <f>'Параметры проекта'!$B$26</f>
        <v>18000</v>
      </c>
      <c r="P51" s="514">
        <f>'Параметры проекта'!$B$26</f>
        <v>18000</v>
      </c>
      <c r="Q51" s="514">
        <f>'Параметры проекта'!$B$26</f>
        <v>18000</v>
      </c>
      <c r="R51" s="514">
        <f>'Параметры проекта'!$B$26</f>
        <v>18000</v>
      </c>
      <c r="S51" s="514">
        <f>'Параметры проекта'!$B$26</f>
        <v>18000</v>
      </c>
      <c r="T51" s="514">
        <f>'Параметры проекта'!$B$26</f>
        <v>18000</v>
      </c>
      <c r="U51" s="514">
        <f>'Параметры проекта'!$B$26</f>
        <v>18000</v>
      </c>
      <c r="V51" s="514">
        <f>'Параметры проекта'!$B$26</f>
        <v>18000</v>
      </c>
      <c r="W51" s="514">
        <f>'Параметры проекта'!$B$26</f>
        <v>18000</v>
      </c>
      <c r="X51" s="514">
        <f>'Параметры проекта'!$B$26</f>
        <v>18000</v>
      </c>
      <c r="Y51" s="514">
        <f>'Параметры проекта'!$B$26</f>
        <v>18000</v>
      </c>
      <c r="Z51" s="514">
        <f>'Параметры проекта'!$B$26</f>
        <v>18000</v>
      </c>
      <c r="AA51" s="514">
        <f>'Параметры проекта'!$B$26</f>
        <v>18000</v>
      </c>
      <c r="AB51" s="514">
        <f>'Параметры проекта'!$B$26</f>
        <v>18000</v>
      </c>
      <c r="AC51" s="514">
        <f>'Параметры проекта'!$B$26</f>
        <v>18000</v>
      </c>
      <c r="AD51" s="514">
        <f>'Параметры проекта'!$B$26</f>
        <v>18000</v>
      </c>
      <c r="AE51" s="514">
        <f>'Параметры проекта'!$B$26</f>
        <v>18000</v>
      </c>
      <c r="AF51" s="514">
        <f>'Параметры проекта'!$B$26</f>
        <v>18000</v>
      </c>
      <c r="AG51" s="514">
        <f>'Параметры проекта'!$B$26</f>
        <v>18000</v>
      </c>
      <c r="AH51" s="514">
        <f>'Параметры проекта'!$B$26</f>
        <v>18000</v>
      </c>
      <c r="AI51" s="514">
        <f>'Параметры проекта'!$B$26</f>
        <v>18000</v>
      </c>
    </row>
    <row r="52" spans="1:36" hidden="1" x14ac:dyDescent="0.2">
      <c r="A52" s="512"/>
      <c r="B52" s="512"/>
      <c r="C52" s="512"/>
      <c r="D52" s="512"/>
      <c r="E52" s="512"/>
      <c r="F52" s="514">
        <v>0</v>
      </c>
      <c r="G52" s="514">
        <v>0</v>
      </c>
      <c r="H52" s="514"/>
      <c r="I52" s="514"/>
      <c r="J52" s="514"/>
      <c r="K52" s="514"/>
      <c r="L52" s="514"/>
      <c r="M52" s="514"/>
      <c r="N52" s="514"/>
      <c r="O52" s="514"/>
      <c r="P52" s="514"/>
      <c r="Q52" s="514"/>
      <c r="R52" s="514"/>
      <c r="S52" s="514"/>
      <c r="T52" s="514"/>
      <c r="U52" s="514"/>
      <c r="V52" s="514"/>
      <c r="W52" s="514"/>
      <c r="X52" s="514"/>
      <c r="Y52" s="514"/>
      <c r="Z52" s="514"/>
      <c r="AA52" s="514"/>
      <c r="AB52" s="514"/>
      <c r="AC52" s="514"/>
      <c r="AD52" s="514"/>
      <c r="AE52" s="514"/>
      <c r="AF52" s="514"/>
      <c r="AG52" s="514"/>
      <c r="AH52" s="514"/>
      <c r="AI52" s="514"/>
    </row>
    <row r="53" spans="1:36" hidden="1" x14ac:dyDescent="0.2">
      <c r="A53" s="507" t="s">
        <v>35</v>
      </c>
      <c r="B53" s="512"/>
      <c r="C53" s="512"/>
      <c r="D53" s="512"/>
      <c r="E53" s="512"/>
      <c r="F53" s="514">
        <v>0</v>
      </c>
      <c r="G53" s="514">
        <v>0</v>
      </c>
      <c r="H53" s="514">
        <v>0</v>
      </c>
      <c r="I53" s="514">
        <v>0</v>
      </c>
      <c r="J53" s="514">
        <v>0</v>
      </c>
      <c r="K53" s="514">
        <v>0</v>
      </c>
      <c r="L53" s="514">
        <v>0</v>
      </c>
      <c r="M53" s="514">
        <v>0</v>
      </c>
      <c r="N53" s="514">
        <v>0</v>
      </c>
      <c r="O53" s="514">
        <v>0</v>
      </c>
      <c r="P53" s="514">
        <v>0</v>
      </c>
      <c r="Q53" s="514">
        <v>0</v>
      </c>
      <c r="R53" s="514">
        <v>0</v>
      </c>
      <c r="S53" s="514">
        <v>0</v>
      </c>
      <c r="T53" s="514">
        <v>0</v>
      </c>
      <c r="U53" s="514">
        <v>0</v>
      </c>
      <c r="V53" s="514">
        <v>0</v>
      </c>
      <c r="W53" s="514">
        <v>0</v>
      </c>
      <c r="X53" s="514">
        <v>0</v>
      </c>
      <c r="Y53" s="514">
        <v>0</v>
      </c>
      <c r="Z53" s="514">
        <v>0</v>
      </c>
      <c r="AA53" s="514">
        <v>0</v>
      </c>
      <c r="AB53" s="514">
        <v>0</v>
      </c>
      <c r="AC53" s="514">
        <v>0</v>
      </c>
      <c r="AD53" s="514">
        <v>0</v>
      </c>
      <c r="AE53" s="514">
        <v>0</v>
      </c>
      <c r="AF53" s="514">
        <v>0</v>
      </c>
      <c r="AG53" s="514">
        <v>0</v>
      </c>
      <c r="AH53" s="514">
        <v>0</v>
      </c>
      <c r="AI53" s="514">
        <v>0</v>
      </c>
      <c r="AJ53" s="514"/>
    </row>
    <row r="54" spans="1:36" hidden="1" x14ac:dyDescent="0.2">
      <c r="A54" s="512"/>
      <c r="B54" s="512"/>
      <c r="C54" s="512"/>
      <c r="D54" s="512"/>
      <c r="E54" s="512"/>
      <c r="F54" s="512"/>
      <c r="G54" s="512"/>
      <c r="H54" s="512"/>
      <c r="I54" s="512"/>
      <c r="J54" s="512"/>
      <c r="K54" s="512"/>
      <c r="L54" s="512"/>
      <c r="M54" s="512"/>
      <c r="N54" s="512"/>
      <c r="O54" s="512"/>
      <c r="P54" s="512"/>
      <c r="Q54" s="512"/>
      <c r="R54" s="512"/>
      <c r="S54" s="512"/>
      <c r="T54" s="512"/>
      <c r="U54" s="512"/>
      <c r="V54" s="512"/>
      <c r="W54" s="512"/>
      <c r="X54" s="512"/>
      <c r="Y54" s="512"/>
      <c r="Z54" s="512"/>
      <c r="AA54" s="512"/>
      <c r="AB54" s="512"/>
      <c r="AC54" s="512"/>
      <c r="AD54" s="512"/>
      <c r="AE54" s="512"/>
      <c r="AF54" s="512"/>
      <c r="AG54" s="512"/>
      <c r="AH54" s="512"/>
      <c r="AI54" s="512"/>
    </row>
    <row r="55" spans="1:36" x14ac:dyDescent="0.2">
      <c r="A55" s="512" t="s">
        <v>53</v>
      </c>
      <c r="B55" s="512"/>
      <c r="C55" s="512"/>
      <c r="D55" s="515"/>
      <c r="E55" s="512">
        <v>0</v>
      </c>
      <c r="F55" s="514">
        <f>'Параметры проекта'!$B$40</f>
        <v>50000</v>
      </c>
      <c r="G55" s="514">
        <f>'Параметры проекта'!$B$40</f>
        <v>50000</v>
      </c>
      <c r="H55" s="514">
        <f>'Параметры проекта'!$B$40</f>
        <v>50000</v>
      </c>
      <c r="I55" s="514">
        <f>'Параметры проекта'!$B$40</f>
        <v>50000</v>
      </c>
      <c r="J55" s="514">
        <f>'Параметры проекта'!$B$40</f>
        <v>50000</v>
      </c>
      <c r="K55" s="514">
        <f>'Параметры проекта'!$B$40</f>
        <v>50000</v>
      </c>
      <c r="L55" s="514">
        <f>'Параметры проекта'!$B$40</f>
        <v>50000</v>
      </c>
      <c r="M55" s="514">
        <f>'Параметры проекта'!$B$40</f>
        <v>50000</v>
      </c>
      <c r="N55" s="514">
        <f>'Параметры проекта'!$B$40</f>
        <v>50000</v>
      </c>
      <c r="O55" s="514">
        <f>'Параметры проекта'!$B$40</f>
        <v>50000</v>
      </c>
      <c r="P55" s="514">
        <f>'Параметры проекта'!$B$40</f>
        <v>50000</v>
      </c>
      <c r="Q55" s="514">
        <f>'Параметры проекта'!$B$40</f>
        <v>50000</v>
      </c>
      <c r="R55" s="514">
        <f>'Параметры проекта'!$B$40</f>
        <v>50000</v>
      </c>
      <c r="S55" s="514">
        <f>'Параметры проекта'!$B$40</f>
        <v>50000</v>
      </c>
      <c r="T55" s="514">
        <f>'Параметры проекта'!$B$40</f>
        <v>50000</v>
      </c>
      <c r="U55" s="514">
        <f>'Параметры проекта'!$B$40</f>
        <v>50000</v>
      </c>
      <c r="V55" s="514">
        <f>'Параметры проекта'!$B$40</f>
        <v>50000</v>
      </c>
      <c r="W55" s="514">
        <f>'Параметры проекта'!$B$40</f>
        <v>50000</v>
      </c>
      <c r="X55" s="514">
        <f>'Параметры проекта'!$B$40</f>
        <v>50000</v>
      </c>
      <c r="Y55" s="514">
        <f>'Параметры проекта'!$B$40</f>
        <v>50000</v>
      </c>
      <c r="Z55" s="514">
        <f>'Параметры проекта'!$B$40</f>
        <v>50000</v>
      </c>
      <c r="AA55" s="514">
        <f>'Параметры проекта'!$B$40</f>
        <v>50000</v>
      </c>
      <c r="AB55" s="514">
        <f>'Параметры проекта'!$B$40</f>
        <v>50000</v>
      </c>
      <c r="AC55" s="514">
        <f>'Параметры проекта'!$B$40</f>
        <v>50000</v>
      </c>
      <c r="AD55" s="514">
        <f>'Параметры проекта'!$B$40</f>
        <v>50000</v>
      </c>
      <c r="AE55" s="514">
        <f>'Параметры проекта'!$B$40</f>
        <v>50000</v>
      </c>
      <c r="AF55" s="514">
        <f>'Параметры проекта'!$B$40</f>
        <v>50000</v>
      </c>
      <c r="AG55" s="514">
        <f>'Параметры проекта'!$B$40</f>
        <v>50000</v>
      </c>
      <c r="AH55" s="514">
        <f>'Параметры проекта'!$B$40</f>
        <v>50000</v>
      </c>
      <c r="AI55" s="514">
        <f>'Параметры проекта'!$B$40</f>
        <v>50000</v>
      </c>
    </row>
    <row r="56" spans="1:36" hidden="1" x14ac:dyDescent="0.2">
      <c r="A56" s="512"/>
      <c r="B56" s="512"/>
      <c r="C56" s="512"/>
      <c r="D56" s="512"/>
      <c r="E56" s="512"/>
      <c r="F56" s="512"/>
      <c r="G56" s="512"/>
      <c r="H56" s="512"/>
      <c r="I56" s="512"/>
      <c r="J56" s="512"/>
      <c r="K56" s="512"/>
      <c r="L56" s="512"/>
      <c r="M56" s="512"/>
      <c r="N56" s="512"/>
      <c r="O56" s="512"/>
      <c r="P56" s="512"/>
      <c r="Q56" s="512"/>
      <c r="R56" s="512"/>
      <c r="S56" s="512"/>
      <c r="T56" s="512"/>
      <c r="U56" s="512"/>
      <c r="V56" s="512"/>
      <c r="W56" s="512"/>
      <c r="X56" s="512"/>
      <c r="Y56" s="512"/>
      <c r="Z56" s="512"/>
      <c r="AA56" s="512"/>
      <c r="AB56" s="512"/>
      <c r="AC56" s="512"/>
      <c r="AD56" s="512"/>
      <c r="AE56" s="512"/>
      <c r="AF56" s="512"/>
      <c r="AG56" s="512"/>
      <c r="AH56" s="512"/>
      <c r="AI56" s="512"/>
    </row>
    <row r="57" spans="1:36" x14ac:dyDescent="0.2">
      <c r="A57" s="512" t="s">
        <v>37</v>
      </c>
      <c r="B57" s="512"/>
      <c r="C57" s="512"/>
      <c r="D57" s="512"/>
      <c r="E57" s="514">
        <f>E19-E24-E51-E53-E55</f>
        <v>0</v>
      </c>
      <c r="F57" s="514">
        <f>F19-F24-F51-F53-F55</f>
        <v>171003.29618616679</v>
      </c>
      <c r="G57" s="514">
        <f>G19-G24-G51-G53-G55</f>
        <v>171003.29618616679</v>
      </c>
      <c r="H57" s="514">
        <f>H19-H24-H51-H53-H55</f>
        <v>171003.29618616679</v>
      </c>
      <c r="I57" s="514">
        <f t="shared" ref="I57:AI57" si="29">I19-I24-I51-I53-I55</f>
        <v>171003.29618616679</v>
      </c>
      <c r="J57" s="514">
        <f>J19-J24-J51-J53-J55</f>
        <v>171003.29618616679</v>
      </c>
      <c r="K57" s="514">
        <f>K19-K24-K51-K53-K55</f>
        <v>171003.29618616679</v>
      </c>
      <c r="L57" s="514">
        <f>L19-L24-L51-L53-L55</f>
        <v>171003.29618616679</v>
      </c>
      <c r="M57" s="514">
        <f>M19-M24-M51-M53-M55</f>
        <v>171003.29618616679</v>
      </c>
      <c r="N57" s="514">
        <f t="shared" si="29"/>
        <v>171003.29618616679</v>
      </c>
      <c r="O57" s="514">
        <f t="shared" si="29"/>
        <v>171003.29618616679</v>
      </c>
      <c r="P57" s="514">
        <f t="shared" si="29"/>
        <v>171003.29618616679</v>
      </c>
      <c r="Q57" s="514">
        <f>Q19-Q24-Q51-Q53-Q55</f>
        <v>171003.29618616679</v>
      </c>
      <c r="R57" s="514">
        <f t="shared" si="29"/>
        <v>171003.29618616679</v>
      </c>
      <c r="S57" s="514">
        <f t="shared" si="29"/>
        <v>171003.29618616679</v>
      </c>
      <c r="T57" s="514">
        <f t="shared" si="29"/>
        <v>171003.29618616679</v>
      </c>
      <c r="U57" s="514">
        <f t="shared" si="29"/>
        <v>171003.29618616679</v>
      </c>
      <c r="V57" s="514">
        <f t="shared" si="29"/>
        <v>171003.29618616679</v>
      </c>
      <c r="W57" s="514">
        <f t="shared" si="29"/>
        <v>171003.29618616679</v>
      </c>
      <c r="X57" s="514">
        <f t="shared" si="29"/>
        <v>171003.29618616679</v>
      </c>
      <c r="Y57" s="514">
        <f t="shared" si="29"/>
        <v>171003.29618616679</v>
      </c>
      <c r="Z57" s="514">
        <f t="shared" si="29"/>
        <v>171003.29618616679</v>
      </c>
      <c r="AA57" s="514">
        <f t="shared" si="29"/>
        <v>171003.29618616679</v>
      </c>
      <c r="AB57" s="514">
        <f t="shared" si="29"/>
        <v>171003.29618616679</v>
      </c>
      <c r="AC57" s="514">
        <f t="shared" si="29"/>
        <v>171003.29618616679</v>
      </c>
      <c r="AD57" s="514">
        <f t="shared" si="29"/>
        <v>171003.29618616679</v>
      </c>
      <c r="AE57" s="514">
        <f t="shared" si="29"/>
        <v>171003.29618616679</v>
      </c>
      <c r="AF57" s="514">
        <f t="shared" si="29"/>
        <v>171003.29618616679</v>
      </c>
      <c r="AG57" s="514">
        <f t="shared" si="29"/>
        <v>171003.29618616679</v>
      </c>
      <c r="AH57" s="514">
        <f t="shared" si="29"/>
        <v>171003.29618616679</v>
      </c>
      <c r="AI57" s="514">
        <f t="shared" si="29"/>
        <v>171003.29618616679</v>
      </c>
    </row>
    <row r="58" spans="1:36" x14ac:dyDescent="0.2">
      <c r="A58" s="512" t="s">
        <v>38</v>
      </c>
      <c r="B58" s="512"/>
      <c r="C58" s="512"/>
      <c r="D58" s="512"/>
      <c r="E58" s="514">
        <f t="shared" ref="E58:L58" si="30">E57+E27</f>
        <v>0</v>
      </c>
      <c r="F58" s="514">
        <f>F57+F27</f>
        <v>171003.29618616679</v>
      </c>
      <c r="G58" s="514">
        <f t="shared" si="30"/>
        <v>171003.29618616679</v>
      </c>
      <c r="H58" s="514">
        <f t="shared" si="30"/>
        <v>171003.29618616679</v>
      </c>
      <c r="I58" s="514">
        <f t="shared" si="30"/>
        <v>171003.29618616679</v>
      </c>
      <c r="J58" s="514">
        <f>J57+J27</f>
        <v>171003.29618616679</v>
      </c>
      <c r="K58" s="514">
        <f>K57+K27</f>
        <v>171003.29618616679</v>
      </c>
      <c r="L58" s="514">
        <f t="shared" si="30"/>
        <v>171003.29618616679</v>
      </c>
      <c r="M58" s="514">
        <f>M57+M27</f>
        <v>171003.29618616679</v>
      </c>
      <c r="N58" s="514">
        <f t="shared" ref="N58:AI58" si="31">N57+N27</f>
        <v>171003.29618616679</v>
      </c>
      <c r="O58" s="514">
        <f t="shared" si="31"/>
        <v>171003.29618616679</v>
      </c>
      <c r="P58" s="514">
        <f t="shared" si="31"/>
        <v>171003.29618616679</v>
      </c>
      <c r="Q58" s="514">
        <f t="shared" si="31"/>
        <v>171003.29618616679</v>
      </c>
      <c r="R58" s="514">
        <f t="shared" si="31"/>
        <v>171003.29618616679</v>
      </c>
      <c r="S58" s="514">
        <f>S57+S27</f>
        <v>171003.29618616679</v>
      </c>
      <c r="T58" s="514">
        <f t="shared" si="31"/>
        <v>171003.29618616679</v>
      </c>
      <c r="U58" s="514">
        <f t="shared" si="31"/>
        <v>171003.29618616679</v>
      </c>
      <c r="V58" s="514">
        <f t="shared" si="31"/>
        <v>171003.29618616679</v>
      </c>
      <c r="W58" s="514">
        <f t="shared" si="31"/>
        <v>171003.29618616679</v>
      </c>
      <c r="X58" s="514">
        <f t="shared" si="31"/>
        <v>171003.29618616679</v>
      </c>
      <c r="Y58" s="514">
        <f t="shared" si="31"/>
        <v>171003.29618616679</v>
      </c>
      <c r="Z58" s="514">
        <f t="shared" si="31"/>
        <v>171003.29618616679</v>
      </c>
      <c r="AA58" s="514">
        <f t="shared" si="31"/>
        <v>171003.29618616679</v>
      </c>
      <c r="AB58" s="514">
        <f t="shared" si="31"/>
        <v>171003.29618616679</v>
      </c>
      <c r="AC58" s="514">
        <f t="shared" si="31"/>
        <v>171003.29618616679</v>
      </c>
      <c r="AD58" s="514">
        <f t="shared" si="31"/>
        <v>171003.29618616679</v>
      </c>
      <c r="AE58" s="514">
        <f t="shared" si="31"/>
        <v>171003.29618616679</v>
      </c>
      <c r="AF58" s="514">
        <f t="shared" si="31"/>
        <v>171003.29618616679</v>
      </c>
      <c r="AG58" s="514">
        <f t="shared" si="31"/>
        <v>171003.29618616679</v>
      </c>
      <c r="AH58" s="514">
        <f t="shared" si="31"/>
        <v>171003.29618616679</v>
      </c>
      <c r="AI58" s="514">
        <f t="shared" si="31"/>
        <v>171003.29618616679</v>
      </c>
    </row>
    <row r="59" spans="1:36" x14ac:dyDescent="0.2">
      <c r="A59" s="512" t="s">
        <v>48</v>
      </c>
      <c r="B59" s="512"/>
      <c r="C59" s="512"/>
      <c r="D59" s="512"/>
      <c r="E59" s="514">
        <f>IF(E58&lt;0,0,E58*0.5)</f>
        <v>0</v>
      </c>
      <c r="F59" s="514">
        <v>0</v>
      </c>
      <c r="G59" s="514">
        <v>0</v>
      </c>
      <c r="H59" s="514">
        <v>0</v>
      </c>
      <c r="I59" s="514">
        <v>0</v>
      </c>
      <c r="J59" s="514">
        <v>0</v>
      </c>
      <c r="K59" s="514">
        <v>0</v>
      </c>
      <c r="L59" s="514">
        <v>0</v>
      </c>
      <c r="M59" s="514">
        <v>0</v>
      </c>
      <c r="N59" s="514">
        <v>0</v>
      </c>
      <c r="O59" s="514">
        <v>0</v>
      </c>
      <c r="P59" s="514">
        <v>0</v>
      </c>
      <c r="Q59" s="514">
        <v>0</v>
      </c>
      <c r="R59" s="514">
        <v>0</v>
      </c>
      <c r="S59" s="514">
        <v>0</v>
      </c>
      <c r="T59" s="514">
        <v>0</v>
      </c>
      <c r="U59" s="514">
        <v>0</v>
      </c>
      <c r="V59" s="514">
        <v>0</v>
      </c>
      <c r="W59" s="514">
        <v>0</v>
      </c>
      <c r="X59" s="514">
        <v>0</v>
      </c>
      <c r="Y59" s="514">
        <v>0</v>
      </c>
      <c r="Z59" s="514">
        <v>0</v>
      </c>
      <c r="AA59" s="514">
        <v>0</v>
      </c>
      <c r="AB59" s="514">
        <v>0</v>
      </c>
      <c r="AC59" s="514">
        <v>0</v>
      </c>
      <c r="AD59" s="514">
        <v>0</v>
      </c>
      <c r="AE59" s="514">
        <v>0</v>
      </c>
      <c r="AF59" s="514">
        <v>0</v>
      </c>
      <c r="AG59" s="514">
        <v>0</v>
      </c>
      <c r="AH59" s="514">
        <v>0</v>
      </c>
      <c r="AI59" s="514">
        <f t="shared" ref="AI59" si="32">IF(AI58&lt;0,0,AI58*0.5)</f>
        <v>85501.648093083393</v>
      </c>
    </row>
    <row r="60" spans="1:36" ht="26.25" customHeight="1" x14ac:dyDescent="0.2">
      <c r="A60" s="521" t="s">
        <v>50</v>
      </c>
      <c r="B60" s="512"/>
      <c r="C60" s="512"/>
      <c r="D60" s="512"/>
      <c r="E60" s="514">
        <f t="shared" ref="E60:S60" si="33">SUM(E6:E6)*-1+E58-E59</f>
        <v>0</v>
      </c>
      <c r="F60" s="514">
        <f t="shared" si="33"/>
        <v>171003.29618616679</v>
      </c>
      <c r="G60" s="514">
        <f t="shared" si="33"/>
        <v>171003.29618616679</v>
      </c>
      <c r="H60" s="514">
        <f t="shared" si="33"/>
        <v>171003.29618616679</v>
      </c>
      <c r="I60" s="514">
        <f t="shared" si="33"/>
        <v>171003.29618616679</v>
      </c>
      <c r="J60" s="514">
        <f t="shared" si="33"/>
        <v>171003.29618616679</v>
      </c>
      <c r="K60" s="514">
        <f t="shared" si="33"/>
        <v>171003.29618616679</v>
      </c>
      <c r="L60" s="514">
        <f t="shared" si="33"/>
        <v>171003.29618616679</v>
      </c>
      <c r="M60" s="514">
        <f t="shared" si="33"/>
        <v>171003.29618616679</v>
      </c>
      <c r="N60" s="514">
        <f>SUM(N6:N6)*-1+N58-N59</f>
        <v>171003.29618616679</v>
      </c>
      <c r="O60" s="514">
        <f t="shared" si="33"/>
        <v>171003.29618616679</v>
      </c>
      <c r="P60" s="514">
        <f t="shared" si="33"/>
        <v>171003.29618616679</v>
      </c>
      <c r="Q60" s="514">
        <f t="shared" si="33"/>
        <v>171003.29618616679</v>
      </c>
      <c r="R60" s="514">
        <f t="shared" si="33"/>
        <v>171003.29618616679</v>
      </c>
      <c r="S60" s="514">
        <f t="shared" si="33"/>
        <v>171003.29618616679</v>
      </c>
      <c r="T60" s="514">
        <f>SUM(T6:T6)*-1+T58-T59</f>
        <v>171003.29618616679</v>
      </c>
      <c r="U60" s="514">
        <f t="shared" ref="U60:AI60" si="34">SUM(U6:U6)*-1+U58-U59</f>
        <v>171003.29618616679</v>
      </c>
      <c r="V60" s="514">
        <f t="shared" si="34"/>
        <v>171003.29618616679</v>
      </c>
      <c r="W60" s="514">
        <f t="shared" si="34"/>
        <v>171003.29618616679</v>
      </c>
      <c r="X60" s="514">
        <f t="shared" si="34"/>
        <v>171003.29618616679</v>
      </c>
      <c r="Y60" s="514">
        <f t="shared" si="34"/>
        <v>171003.29618616679</v>
      </c>
      <c r="Z60" s="514">
        <f t="shared" si="34"/>
        <v>171003.29618616679</v>
      </c>
      <c r="AA60" s="514">
        <f t="shared" si="34"/>
        <v>171003.29618616679</v>
      </c>
      <c r="AB60" s="514">
        <f t="shared" si="34"/>
        <v>171003.29618616679</v>
      </c>
      <c r="AC60" s="514">
        <f t="shared" si="34"/>
        <v>171003.29618616679</v>
      </c>
      <c r="AD60" s="514">
        <f t="shared" si="34"/>
        <v>171003.29618616679</v>
      </c>
      <c r="AE60" s="514">
        <f t="shared" si="34"/>
        <v>171003.29618616679</v>
      </c>
      <c r="AF60" s="514">
        <f t="shared" si="34"/>
        <v>171003.29618616679</v>
      </c>
      <c r="AG60" s="514">
        <f t="shared" si="34"/>
        <v>171003.29618616679</v>
      </c>
      <c r="AH60" s="514">
        <f t="shared" si="34"/>
        <v>171003.29618616679</v>
      </c>
      <c r="AI60" s="514">
        <f t="shared" si="34"/>
        <v>85501.648093083393</v>
      </c>
    </row>
    <row r="61" spans="1:36" s="496" customFormat="1" x14ac:dyDescent="0.2">
      <c r="A61" s="514" t="s">
        <v>39</v>
      </c>
      <c r="B61" s="514"/>
      <c r="C61" s="514"/>
      <c r="D61" s="514"/>
      <c r="E61" s="514">
        <f>SUM($E60:E60)</f>
        <v>0</v>
      </c>
      <c r="F61" s="514">
        <f>SUM($E60:F60)</f>
        <v>171003.29618616679</v>
      </c>
      <c r="G61" s="514">
        <f>SUM($E60:G60)</f>
        <v>342006.59237233357</v>
      </c>
      <c r="H61" s="514">
        <f>SUM($E60:H60)</f>
        <v>513009.88855850033</v>
      </c>
      <c r="I61" s="514">
        <f>SUM($E60:I60)</f>
        <v>684013.18474466715</v>
      </c>
      <c r="J61" s="514">
        <f>SUM($E60:J60)</f>
        <v>855016.48093083396</v>
      </c>
      <c r="K61" s="514">
        <f>SUM($E60:K60)</f>
        <v>1026019.7771170008</v>
      </c>
      <c r="L61" s="514">
        <f>SUM($E60:L60)</f>
        <v>1197023.0733031675</v>
      </c>
      <c r="M61" s="514">
        <f>SUM($E60:M60)</f>
        <v>1368026.3694893343</v>
      </c>
      <c r="N61" s="514">
        <f>SUM($E60:N60)</f>
        <v>1539029.6656755011</v>
      </c>
      <c r="O61" s="514">
        <f>SUM($E60:O60)</f>
        <v>1710032.9618616679</v>
      </c>
      <c r="P61" s="514">
        <f>SUM($E60:P60)</f>
        <v>1881036.2580478347</v>
      </c>
      <c r="Q61" s="514">
        <f>SUM($E60:Q60)</f>
        <v>2052039.5542340016</v>
      </c>
      <c r="R61" s="514">
        <f>SUM($E60:R60)</f>
        <v>2223042.8504201681</v>
      </c>
      <c r="S61" s="514">
        <f>SUM($E60:S60)</f>
        <v>2394046.146606335</v>
      </c>
      <c r="T61" s="514">
        <f>SUM($E60:T60)</f>
        <v>2565049.4427925018</v>
      </c>
      <c r="U61" s="514">
        <f>SUM($E60:U60)</f>
        <v>2736052.7389786686</v>
      </c>
      <c r="V61" s="514">
        <f>SUM($E60:V60)</f>
        <v>2907056.0351648354</v>
      </c>
      <c r="W61" s="514">
        <f>SUM($E60:W60)</f>
        <v>3078059.3313510022</v>
      </c>
      <c r="X61" s="514">
        <f>SUM($E60:X60)</f>
        <v>3249062.627537169</v>
      </c>
      <c r="Y61" s="514">
        <f>SUM($E60:Y60)</f>
        <v>3420065.9237233358</v>
      </c>
      <c r="Z61" s="514">
        <f>SUM($E60:Z60)</f>
        <v>3591069.2199095027</v>
      </c>
      <c r="AA61" s="514">
        <f>SUM($E60:AA60)</f>
        <v>3762072.5160956695</v>
      </c>
      <c r="AB61" s="514">
        <f>SUM($E60:AB60)</f>
        <v>3933075.8122818363</v>
      </c>
      <c r="AC61" s="514">
        <f>SUM($E60:AC60)</f>
        <v>4104079.1084680031</v>
      </c>
      <c r="AD61" s="514">
        <f>SUM($E60:AD60)</f>
        <v>4275082.4046541695</v>
      </c>
      <c r="AE61" s="514">
        <f>SUM($E60:AE60)</f>
        <v>4446085.7008403363</v>
      </c>
      <c r="AF61" s="514">
        <f>SUM($E60:AF60)</f>
        <v>4617088.9970265031</v>
      </c>
      <c r="AG61" s="514">
        <f>SUM($E60:AG60)</f>
        <v>4788092.2932126699</v>
      </c>
      <c r="AH61" s="514">
        <f>SUM($E60:AH60)</f>
        <v>4959095.5893988367</v>
      </c>
      <c r="AI61" s="514">
        <f>SUM($E60:AI60)</f>
        <v>5044597.2374919197</v>
      </c>
    </row>
    <row r="62" spans="1:36" hidden="1" x14ac:dyDescent="0.2">
      <c r="A62" s="512" t="s">
        <v>40</v>
      </c>
      <c r="B62" s="512"/>
      <c r="C62" s="512"/>
      <c r="D62" s="512"/>
      <c r="E62" s="522">
        <f>R61/R60*-1+12</f>
        <v>-1</v>
      </c>
      <c r="F62" s="512" t="s">
        <v>41</v>
      </c>
      <c r="G62" s="502"/>
      <c r="H62" s="511"/>
      <c r="I62" s="511"/>
      <c r="J62" s="511"/>
      <c r="K62" s="511"/>
      <c r="L62" s="511"/>
      <c r="M62" s="511"/>
      <c r="N62" s="502">
        <f>N25+N26+N28+N35+N39+N40+N43+N44+N45+N46+N47+N48+N49+N51+N55</f>
        <v>209006.4</v>
      </c>
      <c r="O62" s="511"/>
      <c r="P62" s="511"/>
      <c r="Q62" s="511"/>
      <c r="R62" s="511"/>
      <c r="S62" s="511"/>
      <c r="T62" s="511"/>
      <c r="U62" s="511"/>
    </row>
    <row r="63" spans="1:36" ht="0.75" hidden="1" customHeight="1" x14ac:dyDescent="0.2">
      <c r="A63" s="512" t="s">
        <v>42</v>
      </c>
      <c r="B63" s="512"/>
      <c r="C63" s="512"/>
      <c r="D63" s="512"/>
      <c r="E63" s="522" t="e">
        <f>((Y60*12)/(E6+F6)*100)</f>
        <v>#DIV/0!</v>
      </c>
      <c r="F63" s="512" t="s">
        <v>0</v>
      </c>
      <c r="G63" s="511"/>
      <c r="H63" s="512"/>
      <c r="I63" s="512"/>
      <c r="J63" s="511"/>
      <c r="K63" s="511"/>
      <c r="L63" s="511"/>
      <c r="M63" s="511"/>
      <c r="N63" s="511"/>
      <c r="O63" s="511"/>
      <c r="P63" s="511"/>
      <c r="Q63" s="511"/>
      <c r="R63" s="511"/>
      <c r="S63" s="511"/>
      <c r="T63" s="511"/>
      <c r="U63" s="511"/>
    </row>
    <row r="64" spans="1:36" s="523" customFormat="1" ht="12" hidden="1" x14ac:dyDescent="0.2">
      <c r="F64" s="524" t="s">
        <v>92</v>
      </c>
      <c r="G64" s="523" t="s">
        <v>88</v>
      </c>
      <c r="H64" s="523" t="s">
        <v>87</v>
      </c>
    </row>
    <row r="65" spans="5:8" s="359" customFormat="1" ht="11.25" hidden="1" customHeight="1" x14ac:dyDescent="0.2">
      <c r="E65" s="363" t="s">
        <v>84</v>
      </c>
      <c r="F65" s="361">
        <v>1800</v>
      </c>
      <c r="G65" s="361">
        <v>0</v>
      </c>
      <c r="H65" s="361">
        <f>F65*30*G65</f>
        <v>0</v>
      </c>
    </row>
    <row r="66" spans="5:8" s="359" customFormat="1" ht="12" hidden="1" x14ac:dyDescent="0.2">
      <c r="E66" s="363" t="s">
        <v>85</v>
      </c>
      <c r="F66" s="361">
        <v>1800</v>
      </c>
      <c r="G66" s="361">
        <v>0</v>
      </c>
      <c r="H66" s="361">
        <f t="shared" ref="H66" si="35">F66*30*G66</f>
        <v>0</v>
      </c>
    </row>
    <row r="67" spans="5:8" s="359" customFormat="1" ht="12" hidden="1" x14ac:dyDescent="0.2">
      <c r="E67" s="363" t="s">
        <v>86</v>
      </c>
      <c r="F67" s="361">
        <f>'Параметры проекта'!B25</f>
        <v>23000</v>
      </c>
      <c r="G67" s="361">
        <v>2</v>
      </c>
      <c r="H67" s="361">
        <f>F67*G67</f>
        <v>46000</v>
      </c>
    </row>
    <row r="68" spans="5:8" s="359" customFormat="1" ht="12" hidden="1" x14ac:dyDescent="0.2">
      <c r="E68" s="363"/>
      <c r="F68" s="361"/>
      <c r="H68" s="361">
        <f>SUM(H65:H67)</f>
        <v>46000</v>
      </c>
    </row>
    <row r="69" spans="5:8" s="359" customFormat="1" ht="12" hidden="1" x14ac:dyDescent="0.2">
      <c r="F69" s="361"/>
      <c r="G69" s="525" t="s">
        <v>90</v>
      </c>
      <c r="H69" s="359" t="s">
        <v>87</v>
      </c>
    </row>
    <row r="70" spans="5:8" s="359" customFormat="1" ht="12" hidden="1" x14ac:dyDescent="0.2">
      <c r="F70" s="361" t="s">
        <v>89</v>
      </c>
      <c r="G70" s="361">
        <v>12000</v>
      </c>
      <c r="H70" s="361">
        <f>G70*(G67+G66+G65)*30.2%</f>
        <v>7248</v>
      </c>
    </row>
    <row r="71" spans="5:8" s="359" customFormat="1" ht="12" x14ac:dyDescent="0.2">
      <c r="F71" s="361"/>
    </row>
    <row r="72" spans="5:8" s="359" customFormat="1" ht="12" x14ac:dyDescent="0.2">
      <c r="F72" s="361"/>
    </row>
    <row r="73" spans="5:8" s="359" customFormat="1" ht="12" x14ac:dyDescent="0.2">
      <c r="F73" s="361"/>
    </row>
    <row r="74" spans="5:8" s="359" customFormat="1" ht="12" x14ac:dyDescent="0.2">
      <c r="F74" s="361"/>
    </row>
    <row r="75" spans="5:8" s="359" customFormat="1" ht="12" x14ac:dyDescent="0.2">
      <c r="F75" s="361"/>
    </row>
    <row r="76" spans="5:8" s="359" customFormat="1" ht="12" x14ac:dyDescent="0.2">
      <c r="F76" s="361"/>
    </row>
    <row r="77" spans="5:8" s="359" customFormat="1" ht="12" x14ac:dyDescent="0.2">
      <c r="F77" s="361"/>
    </row>
    <row r="78" spans="5:8" s="359" customFormat="1" ht="12" x14ac:dyDescent="0.2">
      <c r="F78" s="361"/>
    </row>
    <row r="79" spans="5:8" s="359" customFormat="1" ht="12" x14ac:dyDescent="0.2">
      <c r="F79" s="361"/>
    </row>
    <row r="80" spans="5:8" s="359" customFormat="1" ht="12" x14ac:dyDescent="0.2">
      <c r="F80" s="361"/>
    </row>
    <row r="81" spans="6:6" s="359" customFormat="1" ht="12" x14ac:dyDescent="0.2">
      <c r="F81" s="361"/>
    </row>
    <row r="82" spans="6:6" s="359" customFormat="1" ht="12" x14ac:dyDescent="0.2">
      <c r="F82" s="361"/>
    </row>
    <row r="83" spans="6:6" s="359" customFormat="1" ht="12" x14ac:dyDescent="0.2">
      <c r="F83" s="361"/>
    </row>
    <row r="84" spans="6:6" s="359" customFormat="1" ht="12" x14ac:dyDescent="0.2">
      <c r="F84" s="361"/>
    </row>
    <row r="85" spans="6:6" s="359" customFormat="1" ht="12" x14ac:dyDescent="0.2">
      <c r="F85" s="361"/>
    </row>
    <row r="86" spans="6:6" s="359" customFormat="1" ht="12" x14ac:dyDescent="0.2">
      <c r="F86" s="361"/>
    </row>
    <row r="87" spans="6:6" s="359" customFormat="1" ht="12" x14ac:dyDescent="0.2">
      <c r="F87" s="361"/>
    </row>
    <row r="88" spans="6:6" s="359" customFormat="1" ht="12" x14ac:dyDescent="0.2">
      <c r="F88" s="361"/>
    </row>
    <row r="89" spans="6:6" s="359" customFormat="1" ht="12" x14ac:dyDescent="0.2">
      <c r="F89" s="361"/>
    </row>
    <row r="90" spans="6:6" s="359" customFormat="1" ht="12" x14ac:dyDescent="0.2">
      <c r="F90" s="361"/>
    </row>
    <row r="91" spans="6:6" s="359" customFormat="1" ht="12" x14ac:dyDescent="0.2">
      <c r="F91" s="361"/>
    </row>
    <row r="92" spans="6:6" s="359" customFormat="1" ht="12" x14ac:dyDescent="0.2">
      <c r="F92" s="361"/>
    </row>
    <row r="93" spans="6:6" s="359" customFormat="1" ht="12" x14ac:dyDescent="0.2">
      <c r="F93" s="361"/>
    </row>
    <row r="94" spans="6:6" s="359" customFormat="1" ht="12" x14ac:dyDescent="0.2">
      <c r="F94" s="361"/>
    </row>
    <row r="95" spans="6:6" s="359" customFormat="1" ht="12" x14ac:dyDescent="0.2">
      <c r="F95" s="361"/>
    </row>
    <row r="96" spans="6:6" s="359" customFormat="1" ht="12" x14ac:dyDescent="0.2">
      <c r="F96" s="361"/>
    </row>
    <row r="97" spans="6:6" s="359" customFormat="1" ht="12" x14ac:dyDescent="0.2">
      <c r="F97" s="361"/>
    </row>
    <row r="98" spans="6:6" s="359" customFormat="1" ht="12" x14ac:dyDescent="0.2">
      <c r="F98" s="361"/>
    </row>
    <row r="99" spans="6:6" s="359" customFormat="1" ht="12" x14ac:dyDescent="0.2">
      <c r="F99" s="361"/>
    </row>
    <row r="100" spans="6:6" s="359" customFormat="1" ht="12" x14ac:dyDescent="0.2">
      <c r="F100" s="361"/>
    </row>
    <row r="101" spans="6:6" s="359" customFormat="1" ht="12" x14ac:dyDescent="0.2">
      <c r="F101" s="361"/>
    </row>
    <row r="102" spans="6:6" s="359" customFormat="1" ht="12" x14ac:dyDescent="0.2">
      <c r="F102" s="361"/>
    </row>
    <row r="103" spans="6:6" s="359" customFormat="1" ht="12" x14ac:dyDescent="0.2">
      <c r="F103" s="361"/>
    </row>
    <row r="104" spans="6:6" s="359" customFormat="1" ht="12" x14ac:dyDescent="0.2">
      <c r="F104" s="361"/>
    </row>
    <row r="105" spans="6:6" s="359" customFormat="1" ht="12" x14ac:dyDescent="0.2">
      <c r="F105" s="361"/>
    </row>
    <row r="106" spans="6:6" s="359" customFormat="1" ht="12" x14ac:dyDescent="0.2">
      <c r="F106" s="361"/>
    </row>
    <row r="107" spans="6:6" s="359" customFormat="1" ht="12" x14ac:dyDescent="0.2">
      <c r="F107" s="361"/>
    </row>
    <row r="108" spans="6:6" s="359" customFormat="1" ht="12" x14ac:dyDescent="0.2">
      <c r="F108" s="361"/>
    </row>
    <row r="109" spans="6:6" s="359" customFormat="1" ht="12" x14ac:dyDescent="0.2">
      <c r="F109" s="361"/>
    </row>
    <row r="110" spans="6:6" s="359" customFormat="1" ht="12" x14ac:dyDescent="0.2">
      <c r="F110" s="361"/>
    </row>
    <row r="111" spans="6:6" s="359" customFormat="1" ht="12" x14ac:dyDescent="0.2">
      <c r="F111" s="361"/>
    </row>
    <row r="112" spans="6:6" s="359" customFormat="1" ht="12" x14ac:dyDescent="0.2">
      <c r="F112" s="361"/>
    </row>
    <row r="113" spans="6:6" s="359" customFormat="1" ht="12" x14ac:dyDescent="0.2">
      <c r="F113" s="361"/>
    </row>
    <row r="114" spans="6:6" s="359" customFormat="1" ht="12" x14ac:dyDescent="0.2">
      <c r="F114" s="361"/>
    </row>
    <row r="115" spans="6:6" s="359" customFormat="1" ht="12" x14ac:dyDescent="0.2">
      <c r="F115" s="361"/>
    </row>
    <row r="116" spans="6:6" s="359" customFormat="1" ht="12" x14ac:dyDescent="0.2">
      <c r="F116" s="361"/>
    </row>
    <row r="117" spans="6:6" s="359" customFormat="1" ht="12" x14ac:dyDescent="0.2">
      <c r="F117" s="361"/>
    </row>
    <row r="118" spans="6:6" s="359" customFormat="1" ht="12" x14ac:dyDescent="0.2">
      <c r="F118" s="361"/>
    </row>
    <row r="119" spans="6:6" s="359" customFormat="1" ht="12" x14ac:dyDescent="0.2">
      <c r="F119" s="361"/>
    </row>
    <row r="120" spans="6:6" s="359" customFormat="1" ht="12" x14ac:dyDescent="0.2">
      <c r="F120" s="361"/>
    </row>
    <row r="121" spans="6:6" s="359" customFormat="1" ht="12" x14ac:dyDescent="0.2">
      <c r="F121" s="361"/>
    </row>
    <row r="122" spans="6:6" s="359" customFormat="1" ht="12" x14ac:dyDescent="0.2">
      <c r="F122" s="361"/>
    </row>
    <row r="123" spans="6:6" s="359" customFormat="1" ht="12" x14ac:dyDescent="0.2">
      <c r="F123" s="361"/>
    </row>
    <row r="124" spans="6:6" s="359" customFormat="1" ht="12" x14ac:dyDescent="0.2">
      <c r="F124" s="361"/>
    </row>
    <row r="125" spans="6:6" s="359" customFormat="1" ht="12" x14ac:dyDescent="0.2">
      <c r="F125" s="361"/>
    </row>
    <row r="126" spans="6:6" s="359" customFormat="1" ht="12" x14ac:dyDescent="0.2">
      <c r="F126" s="361"/>
    </row>
    <row r="127" spans="6:6" s="359" customFormat="1" ht="12" x14ac:dyDescent="0.2">
      <c r="F127" s="361"/>
    </row>
    <row r="128" spans="6:6" s="359" customFormat="1" ht="12" x14ac:dyDescent="0.2">
      <c r="F128" s="361"/>
    </row>
    <row r="129" spans="6:6" s="359" customFormat="1" ht="12" x14ac:dyDescent="0.2">
      <c r="F129" s="361"/>
    </row>
    <row r="130" spans="6:6" s="359" customFormat="1" ht="12" x14ac:dyDescent="0.2">
      <c r="F130" s="361"/>
    </row>
    <row r="131" spans="6:6" s="359" customFormat="1" ht="12" x14ac:dyDescent="0.2">
      <c r="F131" s="361"/>
    </row>
    <row r="132" spans="6:6" s="359" customFormat="1" ht="12" x14ac:dyDescent="0.2">
      <c r="F132" s="361"/>
    </row>
    <row r="133" spans="6:6" s="359" customFormat="1" ht="12" x14ac:dyDescent="0.2">
      <c r="F133" s="361"/>
    </row>
    <row r="134" spans="6:6" s="359" customFormat="1" ht="12" x14ac:dyDescent="0.2">
      <c r="F134" s="361"/>
    </row>
    <row r="135" spans="6:6" s="359" customFormat="1" ht="12" x14ac:dyDescent="0.2">
      <c r="F135" s="361"/>
    </row>
    <row r="136" spans="6:6" s="359" customFormat="1" ht="12" x14ac:dyDescent="0.2">
      <c r="F136" s="361"/>
    </row>
    <row r="137" spans="6:6" s="359" customFormat="1" ht="12" x14ac:dyDescent="0.2">
      <c r="F137" s="361"/>
    </row>
    <row r="138" spans="6:6" s="359" customFormat="1" ht="12" x14ac:dyDescent="0.2">
      <c r="F138" s="361"/>
    </row>
    <row r="139" spans="6:6" s="359" customFormat="1" ht="12" x14ac:dyDescent="0.2">
      <c r="F139" s="361"/>
    </row>
    <row r="140" spans="6:6" s="359" customFormat="1" ht="12" x14ac:dyDescent="0.2">
      <c r="F140" s="361"/>
    </row>
    <row r="141" spans="6:6" s="359" customFormat="1" ht="12" x14ac:dyDescent="0.2">
      <c r="F141" s="361"/>
    </row>
    <row r="142" spans="6:6" s="359" customFormat="1" ht="12" x14ac:dyDescent="0.2">
      <c r="F142" s="361"/>
    </row>
    <row r="143" spans="6:6" s="359" customFormat="1" ht="12" x14ac:dyDescent="0.2">
      <c r="F143" s="361"/>
    </row>
    <row r="144" spans="6:6" s="359" customFormat="1" ht="12" x14ac:dyDescent="0.2">
      <c r="F144" s="361"/>
    </row>
    <row r="145" spans="6:6" s="359" customFormat="1" ht="12" x14ac:dyDescent="0.2">
      <c r="F145" s="361"/>
    </row>
    <row r="146" spans="6:6" s="359" customFormat="1" ht="12" x14ac:dyDescent="0.2">
      <c r="F146" s="361"/>
    </row>
    <row r="147" spans="6:6" s="359" customFormat="1" ht="12" x14ac:dyDescent="0.2">
      <c r="F147" s="361"/>
    </row>
    <row r="148" spans="6:6" s="359" customFormat="1" ht="12" x14ac:dyDescent="0.2">
      <c r="F148" s="361"/>
    </row>
    <row r="149" spans="6:6" s="359" customFormat="1" ht="12" x14ac:dyDescent="0.2">
      <c r="F149" s="361"/>
    </row>
    <row r="150" spans="6:6" s="359" customFormat="1" ht="12" x14ac:dyDescent="0.2">
      <c r="F150" s="361"/>
    </row>
    <row r="151" spans="6:6" s="359" customFormat="1" ht="12" x14ac:dyDescent="0.2">
      <c r="F151" s="361"/>
    </row>
    <row r="152" spans="6:6" s="359" customFormat="1" ht="12" x14ac:dyDescent="0.2">
      <c r="F152" s="361"/>
    </row>
    <row r="153" spans="6:6" s="359" customFormat="1" ht="12" x14ac:dyDescent="0.2">
      <c r="F153" s="361"/>
    </row>
    <row r="154" spans="6:6" s="359" customFormat="1" ht="12" x14ac:dyDescent="0.2">
      <c r="F154" s="361"/>
    </row>
    <row r="155" spans="6:6" s="359" customFormat="1" ht="12" x14ac:dyDescent="0.2">
      <c r="F155" s="361"/>
    </row>
    <row r="156" spans="6:6" s="359" customFormat="1" ht="12" x14ac:dyDescent="0.2">
      <c r="F156" s="361"/>
    </row>
    <row r="157" spans="6:6" s="359" customFormat="1" ht="12" x14ac:dyDescent="0.2">
      <c r="F157" s="361"/>
    </row>
    <row r="158" spans="6:6" s="359" customFormat="1" ht="12" x14ac:dyDescent="0.2">
      <c r="F158" s="361"/>
    </row>
    <row r="159" spans="6:6" s="359" customFormat="1" ht="12" x14ac:dyDescent="0.2">
      <c r="F159" s="361"/>
    </row>
    <row r="160" spans="6:6" s="359" customFormat="1" ht="12" x14ac:dyDescent="0.2">
      <c r="F160" s="361"/>
    </row>
    <row r="161" spans="6:6" s="359" customFormat="1" ht="12" x14ac:dyDescent="0.2">
      <c r="F161" s="361"/>
    </row>
    <row r="162" spans="6:6" s="359" customFormat="1" ht="12" x14ac:dyDescent="0.2">
      <c r="F162" s="361"/>
    </row>
    <row r="163" spans="6:6" s="359" customFormat="1" ht="12" x14ac:dyDescent="0.2">
      <c r="F163" s="361"/>
    </row>
    <row r="164" spans="6:6" s="359" customFormat="1" ht="12" x14ac:dyDescent="0.2">
      <c r="F164" s="361"/>
    </row>
    <row r="165" spans="6:6" s="359" customFormat="1" ht="12" x14ac:dyDescent="0.2">
      <c r="F165" s="361"/>
    </row>
    <row r="166" spans="6:6" s="359" customFormat="1" ht="12" x14ac:dyDescent="0.2">
      <c r="F166" s="361"/>
    </row>
    <row r="167" spans="6:6" s="359" customFormat="1" ht="12" x14ac:dyDescent="0.2">
      <c r="F167" s="361"/>
    </row>
    <row r="168" spans="6:6" s="359" customFormat="1" ht="12" x14ac:dyDescent="0.2">
      <c r="F168" s="361"/>
    </row>
    <row r="169" spans="6:6" s="359" customFormat="1" ht="12" x14ac:dyDescent="0.2">
      <c r="F169" s="361"/>
    </row>
    <row r="170" spans="6:6" s="359" customFormat="1" ht="12" x14ac:dyDescent="0.2">
      <c r="F170" s="361"/>
    </row>
    <row r="171" spans="6:6" s="359" customFormat="1" ht="12" x14ac:dyDescent="0.2">
      <c r="F171" s="361"/>
    </row>
    <row r="172" spans="6:6" s="359" customFormat="1" ht="12" x14ac:dyDescent="0.2">
      <c r="F172" s="361"/>
    </row>
    <row r="173" spans="6:6" s="359" customFormat="1" ht="12" x14ac:dyDescent="0.2"/>
    <row r="174" spans="6:6" s="359" customFormat="1" ht="12" x14ac:dyDescent="0.2"/>
    <row r="175" spans="6:6" s="359" customFormat="1" ht="12" x14ac:dyDescent="0.2"/>
    <row r="176" spans="6:6" s="359" customFormat="1" ht="12" x14ac:dyDescent="0.2"/>
    <row r="177" s="359" customFormat="1" ht="12" x14ac:dyDescent="0.2"/>
    <row r="178" s="359" customFormat="1" ht="12" x14ac:dyDescent="0.2"/>
    <row r="179" s="359" customFormat="1" ht="12" x14ac:dyDescent="0.2"/>
    <row r="180" s="359" customFormat="1" ht="12" x14ac:dyDescent="0.2"/>
    <row r="181" s="359" customFormat="1" ht="12" x14ac:dyDescent="0.2"/>
    <row r="182" s="359" customFormat="1" ht="12" x14ac:dyDescent="0.2"/>
  </sheetData>
  <sheetProtection password="CC5E" sheet="1" objects="1" scenarios="1"/>
  <mergeCells count="1">
    <mergeCell ref="A1:E1"/>
  </mergeCells>
  <conditionalFormatting sqref="E61:AI61">
    <cfRule type="cellIs" dxfId="3" priority="1" operator="greaterThan">
      <formula>0</formula>
    </cfRule>
  </conditionalFormatting>
  <pageMargins left="0.15748031496062992" right="0.15748031496062992" top="0.21" bottom="0.31" header="0.2" footer="0.23"/>
  <pageSetup paperSize="9" scale="30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182"/>
  <sheetViews>
    <sheetView zoomScaleNormal="100" workbookViewId="0">
      <selection sqref="A1:XFD1048576"/>
    </sheetView>
  </sheetViews>
  <sheetFormatPr defaultRowHeight="12.75" outlineLevelRow="2" x14ac:dyDescent="0.2"/>
  <cols>
    <col min="1" max="1" width="30.7109375" style="494" customWidth="1"/>
    <col min="2" max="2" width="8" style="494" customWidth="1"/>
    <col min="3" max="3" width="7.85546875" style="494" customWidth="1"/>
    <col min="4" max="4" width="8.28515625" style="494" customWidth="1"/>
    <col min="5" max="5" width="10" style="494" customWidth="1"/>
    <col min="6" max="6" width="9.85546875" style="494" customWidth="1"/>
    <col min="7" max="25" width="9.140625" style="494" customWidth="1"/>
    <col min="26" max="35" width="8.28515625" style="494" customWidth="1"/>
    <col min="36" max="16384" width="9.140625" style="494"/>
  </cols>
  <sheetData>
    <row r="1" spans="1:35" x14ac:dyDescent="0.2">
      <c r="A1" s="668" t="s">
        <v>45</v>
      </c>
      <c r="B1" s="668"/>
      <c r="C1" s="668"/>
      <c r="D1" s="668"/>
      <c r="E1" s="668"/>
      <c r="F1" s="505">
        <f>F8/F15</f>
        <v>2.7273929332255933</v>
      </c>
      <c r="G1" s="505">
        <f t="shared" ref="G1:AI1" si="0">G8/G15</f>
        <v>2.7273929332255933</v>
      </c>
      <c r="H1" s="505">
        <f t="shared" si="0"/>
        <v>2.7273929332255933</v>
      </c>
      <c r="I1" s="505">
        <f t="shared" si="0"/>
        <v>2.7273929332255933</v>
      </c>
      <c r="J1" s="505">
        <f t="shared" si="0"/>
        <v>2.7273929332255933</v>
      </c>
      <c r="K1" s="505">
        <f t="shared" si="0"/>
        <v>2.7273929332255933</v>
      </c>
      <c r="L1" s="505">
        <f t="shared" si="0"/>
        <v>2.7273929332255933</v>
      </c>
      <c r="M1" s="505">
        <f t="shared" si="0"/>
        <v>2.7273929332255933</v>
      </c>
      <c r="N1" s="505">
        <f t="shared" si="0"/>
        <v>2.7273929332255933</v>
      </c>
      <c r="O1" s="505">
        <f t="shared" si="0"/>
        <v>2.7273929332255933</v>
      </c>
      <c r="P1" s="505">
        <f t="shared" si="0"/>
        <v>2.7273929332255933</v>
      </c>
      <c r="Q1" s="505">
        <f t="shared" si="0"/>
        <v>2.7273929332255933</v>
      </c>
      <c r="R1" s="505">
        <f t="shared" si="0"/>
        <v>2.7273929332255933</v>
      </c>
      <c r="S1" s="505">
        <f t="shared" si="0"/>
        <v>2.7273929332255933</v>
      </c>
      <c r="T1" s="505">
        <f t="shared" si="0"/>
        <v>2.7273929332255933</v>
      </c>
      <c r="U1" s="505">
        <f t="shared" si="0"/>
        <v>2.7273929332255933</v>
      </c>
      <c r="V1" s="505">
        <f t="shared" si="0"/>
        <v>2.7273929332255933</v>
      </c>
      <c r="W1" s="505">
        <f t="shared" si="0"/>
        <v>2.7273929332255933</v>
      </c>
      <c r="X1" s="505">
        <f t="shared" si="0"/>
        <v>2.7273929332255933</v>
      </c>
      <c r="Y1" s="505">
        <f t="shared" si="0"/>
        <v>2.7273929332255933</v>
      </c>
      <c r="Z1" s="505">
        <f t="shared" si="0"/>
        <v>2.7273929332255933</v>
      </c>
      <c r="AA1" s="505">
        <f t="shared" si="0"/>
        <v>2.7273929332255933</v>
      </c>
      <c r="AB1" s="505">
        <f t="shared" si="0"/>
        <v>2.7273929332255933</v>
      </c>
      <c r="AC1" s="505">
        <f t="shared" si="0"/>
        <v>2.7273929332255933</v>
      </c>
      <c r="AD1" s="505">
        <f t="shared" si="0"/>
        <v>2.7273929332255933</v>
      </c>
      <c r="AE1" s="505">
        <f t="shared" si="0"/>
        <v>2.7273929332255933</v>
      </c>
      <c r="AF1" s="505">
        <f t="shared" si="0"/>
        <v>2.7273929332255933</v>
      </c>
      <c r="AG1" s="505">
        <f t="shared" si="0"/>
        <v>2.7273929332255933</v>
      </c>
      <c r="AH1" s="505">
        <f t="shared" si="0"/>
        <v>2.7273929332255933</v>
      </c>
      <c r="AI1" s="505">
        <f t="shared" si="0"/>
        <v>2.7273929332255933</v>
      </c>
    </row>
    <row r="2" spans="1:35" x14ac:dyDescent="0.2">
      <c r="A2" s="506"/>
      <c r="B2" s="506"/>
      <c r="C2" s="506"/>
      <c r="D2" s="506"/>
      <c r="E2" s="507" t="s">
        <v>46</v>
      </c>
      <c r="F2" s="508">
        <f>F10/F16</f>
        <v>3.12</v>
      </c>
      <c r="G2" s="508">
        <f t="shared" ref="G2:AI2" si="1">G10/G16</f>
        <v>3.12</v>
      </c>
      <c r="H2" s="508">
        <f t="shared" si="1"/>
        <v>3.12</v>
      </c>
      <c r="I2" s="508">
        <f t="shared" si="1"/>
        <v>3.12</v>
      </c>
      <c r="J2" s="508">
        <f t="shared" si="1"/>
        <v>3.12</v>
      </c>
      <c r="K2" s="508">
        <f t="shared" si="1"/>
        <v>3.12</v>
      </c>
      <c r="L2" s="508">
        <f t="shared" si="1"/>
        <v>3.12</v>
      </c>
      <c r="M2" s="508">
        <f t="shared" si="1"/>
        <v>3.12</v>
      </c>
      <c r="N2" s="508">
        <f t="shared" si="1"/>
        <v>3.12</v>
      </c>
      <c r="O2" s="508">
        <f t="shared" si="1"/>
        <v>3.12</v>
      </c>
      <c r="P2" s="508">
        <f t="shared" si="1"/>
        <v>3.12</v>
      </c>
      <c r="Q2" s="508">
        <f t="shared" si="1"/>
        <v>3.12</v>
      </c>
      <c r="R2" s="508">
        <f t="shared" si="1"/>
        <v>3.12</v>
      </c>
      <c r="S2" s="508">
        <f t="shared" si="1"/>
        <v>3.12</v>
      </c>
      <c r="T2" s="508">
        <f t="shared" si="1"/>
        <v>3.12</v>
      </c>
      <c r="U2" s="508">
        <f t="shared" si="1"/>
        <v>3.12</v>
      </c>
      <c r="V2" s="508">
        <f t="shared" si="1"/>
        <v>3.12</v>
      </c>
      <c r="W2" s="508">
        <f t="shared" si="1"/>
        <v>3.12</v>
      </c>
      <c r="X2" s="508">
        <f t="shared" si="1"/>
        <v>3.12</v>
      </c>
      <c r="Y2" s="508">
        <f t="shared" si="1"/>
        <v>3.12</v>
      </c>
      <c r="Z2" s="508">
        <f t="shared" si="1"/>
        <v>3.12</v>
      </c>
      <c r="AA2" s="508">
        <f t="shared" si="1"/>
        <v>3.12</v>
      </c>
      <c r="AB2" s="508">
        <f t="shared" si="1"/>
        <v>3.12</v>
      </c>
      <c r="AC2" s="508">
        <f t="shared" si="1"/>
        <v>3.12</v>
      </c>
      <c r="AD2" s="508">
        <f t="shared" si="1"/>
        <v>3.12</v>
      </c>
      <c r="AE2" s="508">
        <f t="shared" si="1"/>
        <v>3.12</v>
      </c>
      <c r="AF2" s="508">
        <f t="shared" si="1"/>
        <v>3.12</v>
      </c>
      <c r="AG2" s="508">
        <f t="shared" si="1"/>
        <v>3.12</v>
      </c>
      <c r="AH2" s="508">
        <f t="shared" si="1"/>
        <v>3.12</v>
      </c>
      <c r="AI2" s="508">
        <f t="shared" si="1"/>
        <v>3.12</v>
      </c>
    </row>
    <row r="3" spans="1:35" x14ac:dyDescent="0.2">
      <c r="A3" s="507"/>
      <c r="B3" s="507"/>
      <c r="C3" s="507"/>
      <c r="D3" s="507"/>
      <c r="E3" s="507" t="s">
        <v>141</v>
      </c>
      <c r="F3" s="509">
        <f>IFERROR(F11/F17,0)</f>
        <v>2.1</v>
      </c>
      <c r="G3" s="509">
        <f t="shared" ref="G3:AI3" si="2">IFERROR(G11/G17,0)</f>
        <v>2.1</v>
      </c>
      <c r="H3" s="509">
        <f t="shared" si="2"/>
        <v>2.1</v>
      </c>
      <c r="I3" s="509">
        <f t="shared" si="2"/>
        <v>2.1</v>
      </c>
      <c r="J3" s="509">
        <f t="shared" si="2"/>
        <v>2.1</v>
      </c>
      <c r="K3" s="509">
        <f t="shared" si="2"/>
        <v>2.1</v>
      </c>
      <c r="L3" s="509">
        <f t="shared" si="2"/>
        <v>2.1</v>
      </c>
      <c r="M3" s="509">
        <f t="shared" si="2"/>
        <v>2.1</v>
      </c>
      <c r="N3" s="509">
        <f t="shared" si="2"/>
        <v>2.1</v>
      </c>
      <c r="O3" s="509">
        <f t="shared" si="2"/>
        <v>2.1</v>
      </c>
      <c r="P3" s="509">
        <f t="shared" si="2"/>
        <v>2.1</v>
      </c>
      <c r="Q3" s="509">
        <f t="shared" si="2"/>
        <v>2.1</v>
      </c>
      <c r="R3" s="509">
        <f t="shared" si="2"/>
        <v>2.1</v>
      </c>
      <c r="S3" s="509">
        <f t="shared" si="2"/>
        <v>2.1</v>
      </c>
      <c r="T3" s="509">
        <f t="shared" si="2"/>
        <v>2.1</v>
      </c>
      <c r="U3" s="509">
        <f t="shared" si="2"/>
        <v>2.1</v>
      </c>
      <c r="V3" s="509">
        <f t="shared" si="2"/>
        <v>2.1</v>
      </c>
      <c r="W3" s="509">
        <f t="shared" si="2"/>
        <v>2.1</v>
      </c>
      <c r="X3" s="509">
        <f t="shared" si="2"/>
        <v>2.1</v>
      </c>
      <c r="Y3" s="509">
        <f t="shared" si="2"/>
        <v>2.1</v>
      </c>
      <c r="Z3" s="509">
        <f t="shared" si="2"/>
        <v>2.1</v>
      </c>
      <c r="AA3" s="509">
        <f t="shared" si="2"/>
        <v>2.1</v>
      </c>
      <c r="AB3" s="509">
        <f t="shared" si="2"/>
        <v>2.1</v>
      </c>
      <c r="AC3" s="509">
        <f t="shared" si="2"/>
        <v>2.1</v>
      </c>
      <c r="AD3" s="509">
        <f t="shared" si="2"/>
        <v>2.1</v>
      </c>
      <c r="AE3" s="509">
        <f t="shared" si="2"/>
        <v>2.1</v>
      </c>
      <c r="AF3" s="509">
        <f t="shared" si="2"/>
        <v>2.1</v>
      </c>
      <c r="AG3" s="509">
        <f t="shared" si="2"/>
        <v>2.1</v>
      </c>
      <c r="AH3" s="509">
        <f t="shared" si="2"/>
        <v>2.1</v>
      </c>
      <c r="AI3" s="509">
        <f t="shared" si="2"/>
        <v>2.1</v>
      </c>
    </row>
    <row r="4" spans="1:35" x14ac:dyDescent="0.2">
      <c r="A4" s="506"/>
      <c r="B4" s="506"/>
      <c r="C4" s="506"/>
      <c r="D4" s="506"/>
      <c r="E4" s="507" t="s">
        <v>47</v>
      </c>
      <c r="F4" s="508">
        <f>F12/F18</f>
        <v>1.7</v>
      </c>
      <c r="G4" s="508">
        <f t="shared" ref="G4:AI4" si="3">G12/G18</f>
        <v>1.7</v>
      </c>
      <c r="H4" s="508">
        <f t="shared" si="3"/>
        <v>1.7</v>
      </c>
      <c r="I4" s="508">
        <f t="shared" si="3"/>
        <v>1.7</v>
      </c>
      <c r="J4" s="508">
        <f t="shared" si="3"/>
        <v>1.7</v>
      </c>
      <c r="K4" s="508">
        <f t="shared" si="3"/>
        <v>1.7</v>
      </c>
      <c r="L4" s="508">
        <f t="shared" si="3"/>
        <v>1.7</v>
      </c>
      <c r="M4" s="508">
        <f t="shared" si="3"/>
        <v>1.7</v>
      </c>
      <c r="N4" s="508">
        <f t="shared" si="3"/>
        <v>1.7</v>
      </c>
      <c r="O4" s="508">
        <f t="shared" si="3"/>
        <v>1.7</v>
      </c>
      <c r="P4" s="508">
        <f t="shared" si="3"/>
        <v>1.7</v>
      </c>
      <c r="Q4" s="508">
        <f t="shared" si="3"/>
        <v>1.7</v>
      </c>
      <c r="R4" s="508">
        <f t="shared" si="3"/>
        <v>1.7</v>
      </c>
      <c r="S4" s="508">
        <f t="shared" si="3"/>
        <v>1.7</v>
      </c>
      <c r="T4" s="508">
        <f t="shared" si="3"/>
        <v>1.7</v>
      </c>
      <c r="U4" s="508">
        <f t="shared" si="3"/>
        <v>1.7</v>
      </c>
      <c r="V4" s="508">
        <f t="shared" si="3"/>
        <v>1.7</v>
      </c>
      <c r="W4" s="508">
        <f t="shared" si="3"/>
        <v>1.7</v>
      </c>
      <c r="X4" s="508">
        <f t="shared" si="3"/>
        <v>1.7</v>
      </c>
      <c r="Y4" s="508">
        <f t="shared" si="3"/>
        <v>1.7</v>
      </c>
      <c r="Z4" s="508">
        <f t="shared" si="3"/>
        <v>1.7</v>
      </c>
      <c r="AA4" s="508">
        <f t="shared" si="3"/>
        <v>1.7</v>
      </c>
      <c r="AB4" s="508">
        <f t="shared" si="3"/>
        <v>1.7</v>
      </c>
      <c r="AC4" s="508">
        <f t="shared" si="3"/>
        <v>1.7</v>
      </c>
      <c r="AD4" s="508">
        <f t="shared" si="3"/>
        <v>1.7</v>
      </c>
      <c r="AE4" s="508">
        <f t="shared" si="3"/>
        <v>1.7</v>
      </c>
      <c r="AF4" s="508">
        <f t="shared" si="3"/>
        <v>1.7</v>
      </c>
      <c r="AG4" s="508">
        <f t="shared" si="3"/>
        <v>1.7</v>
      </c>
      <c r="AH4" s="508">
        <f t="shared" si="3"/>
        <v>1.7</v>
      </c>
      <c r="AI4" s="508">
        <f t="shared" si="3"/>
        <v>1.7</v>
      </c>
    </row>
    <row r="5" spans="1:35" ht="14.25" customHeight="1" x14ac:dyDescent="0.3">
      <c r="A5" s="510" t="s">
        <v>127</v>
      </c>
      <c r="B5" s="511"/>
      <c r="C5" s="502">
        <f>цех!L105</f>
        <v>231046.12578306397</v>
      </c>
      <c r="D5" s="511"/>
      <c r="E5" s="512"/>
      <c r="F5" s="513" t="s">
        <v>73</v>
      </c>
      <c r="G5" s="513" t="s">
        <v>74</v>
      </c>
      <c r="H5" s="513" t="s">
        <v>75</v>
      </c>
      <c r="I5" s="513" t="s">
        <v>76</v>
      </c>
      <c r="J5" s="513" t="s">
        <v>66</v>
      </c>
      <c r="K5" s="513" t="s">
        <v>63</v>
      </c>
      <c r="L5" s="513" t="s">
        <v>67</v>
      </c>
      <c r="M5" s="513" t="s">
        <v>68</v>
      </c>
      <c r="N5" s="513" t="s">
        <v>69</v>
      </c>
      <c r="O5" s="513" t="s">
        <v>70</v>
      </c>
      <c r="P5" s="513" t="s">
        <v>71</v>
      </c>
      <c r="Q5" s="513" t="s">
        <v>72</v>
      </c>
      <c r="R5" s="513" t="s">
        <v>73</v>
      </c>
      <c r="S5" s="513" t="s">
        <v>74</v>
      </c>
      <c r="T5" s="513" t="s">
        <v>75</v>
      </c>
      <c r="U5" s="513" t="s">
        <v>76</v>
      </c>
      <c r="V5" s="513" t="s">
        <v>66</v>
      </c>
      <c r="W5" s="513" t="s">
        <v>63</v>
      </c>
      <c r="X5" s="513" t="s">
        <v>67</v>
      </c>
      <c r="Y5" s="513" t="s">
        <v>68</v>
      </c>
      <c r="Z5" s="513" t="s">
        <v>69</v>
      </c>
      <c r="AA5" s="513" t="s">
        <v>70</v>
      </c>
      <c r="AB5" s="513" t="s">
        <v>71</v>
      </c>
      <c r="AC5" s="513" t="s">
        <v>72</v>
      </c>
      <c r="AD5" s="513" t="s">
        <v>73</v>
      </c>
      <c r="AE5" s="513" t="s">
        <v>74</v>
      </c>
      <c r="AF5" s="513" t="s">
        <v>75</v>
      </c>
      <c r="AG5" s="513" t="s">
        <v>76</v>
      </c>
      <c r="AH5" s="513" t="s">
        <v>66</v>
      </c>
      <c r="AI5" s="513" t="s">
        <v>63</v>
      </c>
    </row>
    <row r="6" spans="1:35" ht="15" x14ac:dyDescent="0.25">
      <c r="A6" s="512"/>
      <c r="B6" s="511"/>
      <c r="C6" s="511"/>
      <c r="D6" s="507" t="s">
        <v>43</v>
      </c>
      <c r="E6" s="503">
        <v>0</v>
      </c>
      <c r="F6" s="503">
        <v>0</v>
      </c>
      <c r="G6" s="502"/>
      <c r="H6" s="502"/>
      <c r="I6" s="502"/>
      <c r="J6" s="502"/>
      <c r="K6" s="502"/>
      <c r="L6" s="502"/>
      <c r="M6" s="502"/>
      <c r="N6" s="502"/>
      <c r="O6" s="502"/>
      <c r="P6" s="502"/>
      <c r="Q6" s="502"/>
      <c r="R6" s="502"/>
      <c r="S6" s="511"/>
      <c r="T6" s="511"/>
      <c r="U6" s="511"/>
    </row>
    <row r="7" spans="1:35" x14ac:dyDescent="0.2">
      <c r="A7" s="512" t="s">
        <v>1</v>
      </c>
      <c r="B7" s="512"/>
      <c r="C7" s="512"/>
      <c r="D7" s="512"/>
      <c r="E7" s="512"/>
      <c r="F7" s="514">
        <f>цех!$E$76</f>
        <v>20000</v>
      </c>
      <c r="G7" s="514">
        <f>цех!$E$76</f>
        <v>20000</v>
      </c>
      <c r="H7" s="514">
        <f>цех!$E$76</f>
        <v>20000</v>
      </c>
      <c r="I7" s="514">
        <f>цех!$E$76</f>
        <v>20000</v>
      </c>
      <c r="J7" s="514">
        <f>цех!$E$76</f>
        <v>20000</v>
      </c>
      <c r="K7" s="514">
        <f>цех!$E$76</f>
        <v>20000</v>
      </c>
      <c r="L7" s="514">
        <f>цех!$E$76</f>
        <v>20000</v>
      </c>
      <c r="M7" s="514">
        <f>цех!$E$76</f>
        <v>20000</v>
      </c>
      <c r="N7" s="514">
        <f>цех!$E$76</f>
        <v>20000</v>
      </c>
      <c r="O7" s="514">
        <f>цех!$E$76</f>
        <v>20000</v>
      </c>
      <c r="P7" s="514">
        <f>цех!$E$76</f>
        <v>20000</v>
      </c>
      <c r="Q7" s="514">
        <f>цех!$E$76</f>
        <v>20000</v>
      </c>
      <c r="R7" s="514">
        <f>цех!$E$76</f>
        <v>20000</v>
      </c>
      <c r="S7" s="514">
        <f>цех!$E$76</f>
        <v>20000</v>
      </c>
      <c r="T7" s="514">
        <f>цех!$E$76</f>
        <v>20000</v>
      </c>
      <c r="U7" s="514">
        <f>цех!$E$76</f>
        <v>20000</v>
      </c>
      <c r="V7" s="514">
        <f>цех!$E$76</f>
        <v>20000</v>
      </c>
      <c r="W7" s="514">
        <f>цех!$E$76</f>
        <v>20000</v>
      </c>
      <c r="X7" s="514">
        <f>цех!$E$76</f>
        <v>20000</v>
      </c>
      <c r="Y7" s="514">
        <f>цех!$E$76</f>
        <v>20000</v>
      </c>
      <c r="Z7" s="514">
        <f>цех!$E$76</f>
        <v>20000</v>
      </c>
      <c r="AA7" s="514">
        <f>цех!$E$76</f>
        <v>20000</v>
      </c>
      <c r="AB7" s="514">
        <f>цех!$E$76</f>
        <v>20000</v>
      </c>
      <c r="AC7" s="514">
        <f>цех!$E$76</f>
        <v>20000</v>
      </c>
      <c r="AD7" s="514">
        <f>цех!$E$76</f>
        <v>20000</v>
      </c>
      <c r="AE7" s="514">
        <f>цех!$E$76</f>
        <v>20000</v>
      </c>
      <c r="AF7" s="514">
        <f>цех!$E$76</f>
        <v>20000</v>
      </c>
      <c r="AG7" s="514">
        <f>цех!$E$76</f>
        <v>20000</v>
      </c>
      <c r="AH7" s="514">
        <f>цех!$E$76</f>
        <v>20000</v>
      </c>
      <c r="AI7" s="514">
        <f>цех!$E$76</f>
        <v>20000</v>
      </c>
    </row>
    <row r="8" spans="1:35" x14ac:dyDescent="0.2">
      <c r="A8" s="512" t="s">
        <v>2</v>
      </c>
      <c r="B8" s="512"/>
      <c r="C8" s="512"/>
      <c r="D8" s="512"/>
      <c r="E8" s="512"/>
      <c r="F8" s="514">
        <f t="shared" ref="F8:AI8" si="4">F7*30</f>
        <v>600000</v>
      </c>
      <c r="G8" s="514">
        <f t="shared" si="4"/>
        <v>600000</v>
      </c>
      <c r="H8" s="514">
        <f t="shared" si="4"/>
        <v>600000</v>
      </c>
      <c r="I8" s="514">
        <f t="shared" si="4"/>
        <v>600000</v>
      </c>
      <c r="J8" s="514">
        <f t="shared" si="4"/>
        <v>600000</v>
      </c>
      <c r="K8" s="514">
        <f t="shared" si="4"/>
        <v>600000</v>
      </c>
      <c r="L8" s="514">
        <f t="shared" si="4"/>
        <v>600000</v>
      </c>
      <c r="M8" s="514">
        <f t="shared" si="4"/>
        <v>600000</v>
      </c>
      <c r="N8" s="514">
        <f t="shared" si="4"/>
        <v>600000</v>
      </c>
      <c r="O8" s="514">
        <f>O7*30</f>
        <v>600000</v>
      </c>
      <c r="P8" s="514">
        <f t="shared" si="4"/>
        <v>600000</v>
      </c>
      <c r="Q8" s="514">
        <f t="shared" si="4"/>
        <v>600000</v>
      </c>
      <c r="R8" s="514">
        <f t="shared" si="4"/>
        <v>600000</v>
      </c>
      <c r="S8" s="514">
        <f t="shared" si="4"/>
        <v>600000</v>
      </c>
      <c r="T8" s="514">
        <f t="shared" si="4"/>
        <v>600000</v>
      </c>
      <c r="U8" s="514">
        <f t="shared" si="4"/>
        <v>600000</v>
      </c>
      <c r="V8" s="514">
        <f t="shared" si="4"/>
        <v>600000</v>
      </c>
      <c r="W8" s="514">
        <f t="shared" si="4"/>
        <v>600000</v>
      </c>
      <c r="X8" s="514">
        <f t="shared" si="4"/>
        <v>600000</v>
      </c>
      <c r="Y8" s="514">
        <f t="shared" si="4"/>
        <v>600000</v>
      </c>
      <c r="Z8" s="514">
        <f t="shared" si="4"/>
        <v>600000</v>
      </c>
      <c r="AA8" s="514">
        <f t="shared" si="4"/>
        <v>600000</v>
      </c>
      <c r="AB8" s="514">
        <f t="shared" si="4"/>
        <v>600000</v>
      </c>
      <c r="AC8" s="514">
        <f t="shared" si="4"/>
        <v>600000</v>
      </c>
      <c r="AD8" s="514">
        <f t="shared" si="4"/>
        <v>600000</v>
      </c>
      <c r="AE8" s="514">
        <f t="shared" si="4"/>
        <v>600000</v>
      </c>
      <c r="AF8" s="514">
        <f t="shared" si="4"/>
        <v>600000</v>
      </c>
      <c r="AG8" s="514">
        <f t="shared" si="4"/>
        <v>600000</v>
      </c>
      <c r="AH8" s="514">
        <f t="shared" si="4"/>
        <v>600000</v>
      </c>
      <c r="AI8" s="514">
        <f t="shared" si="4"/>
        <v>600000</v>
      </c>
    </row>
    <row r="9" spans="1:35" x14ac:dyDescent="0.2">
      <c r="A9" s="512" t="s">
        <v>3</v>
      </c>
      <c r="B9" s="512"/>
      <c r="C9" s="512"/>
      <c r="D9" s="512"/>
      <c r="E9" s="512"/>
      <c r="F9" s="514"/>
      <c r="G9" s="514"/>
      <c r="H9" s="514"/>
      <c r="I9" s="514"/>
      <c r="J9" s="514"/>
      <c r="K9" s="514"/>
      <c r="L9" s="514"/>
      <c r="M9" s="514"/>
      <c r="N9" s="514"/>
      <c r="O9" s="514"/>
      <c r="P9" s="514"/>
      <c r="Q9" s="514"/>
      <c r="R9" s="514"/>
      <c r="S9" s="514"/>
      <c r="T9" s="514"/>
      <c r="U9" s="514"/>
      <c r="V9" s="514"/>
      <c r="W9" s="514"/>
      <c r="X9" s="514"/>
      <c r="Y9" s="514"/>
      <c r="Z9" s="514"/>
      <c r="AA9" s="514"/>
      <c r="AB9" s="514"/>
      <c r="AC9" s="514"/>
      <c r="AD9" s="514"/>
      <c r="AE9" s="514"/>
      <c r="AF9" s="514"/>
      <c r="AG9" s="514"/>
      <c r="AH9" s="514"/>
      <c r="AI9" s="514"/>
    </row>
    <row r="10" spans="1:35" x14ac:dyDescent="0.2">
      <c r="A10" s="512" t="s">
        <v>4</v>
      </c>
      <c r="B10" s="512"/>
      <c r="C10" s="512" t="s">
        <v>5</v>
      </c>
      <c r="D10" s="515">
        <f>цех!I120</f>
        <v>0.79</v>
      </c>
      <c r="E10" s="512"/>
      <c r="F10" s="514">
        <f>F8*$D10</f>
        <v>474000</v>
      </c>
      <c r="G10" s="514">
        <f t="shared" ref="G10:AI10" si="5">G8*$D10</f>
        <v>474000</v>
      </c>
      <c r="H10" s="514">
        <f t="shared" si="5"/>
        <v>474000</v>
      </c>
      <c r="I10" s="514">
        <f t="shared" si="5"/>
        <v>474000</v>
      </c>
      <c r="J10" s="514">
        <f t="shared" si="5"/>
        <v>474000</v>
      </c>
      <c r="K10" s="514">
        <f t="shared" si="5"/>
        <v>474000</v>
      </c>
      <c r="L10" s="514">
        <f t="shared" si="5"/>
        <v>474000</v>
      </c>
      <c r="M10" s="514">
        <f t="shared" si="5"/>
        <v>474000</v>
      </c>
      <c r="N10" s="514">
        <f t="shared" si="5"/>
        <v>474000</v>
      </c>
      <c r="O10" s="514">
        <f t="shared" si="5"/>
        <v>474000</v>
      </c>
      <c r="P10" s="514">
        <f t="shared" si="5"/>
        <v>474000</v>
      </c>
      <c r="Q10" s="514">
        <f t="shared" si="5"/>
        <v>474000</v>
      </c>
      <c r="R10" s="514">
        <f t="shared" si="5"/>
        <v>474000</v>
      </c>
      <c r="S10" s="514">
        <f t="shared" si="5"/>
        <v>474000</v>
      </c>
      <c r="T10" s="514">
        <f t="shared" si="5"/>
        <v>474000</v>
      </c>
      <c r="U10" s="514">
        <f t="shared" si="5"/>
        <v>474000</v>
      </c>
      <c r="V10" s="514">
        <f t="shared" si="5"/>
        <v>474000</v>
      </c>
      <c r="W10" s="514">
        <f t="shared" si="5"/>
        <v>474000</v>
      </c>
      <c r="X10" s="514">
        <f t="shared" si="5"/>
        <v>474000</v>
      </c>
      <c r="Y10" s="514">
        <f t="shared" si="5"/>
        <v>474000</v>
      </c>
      <c r="Z10" s="514">
        <f t="shared" si="5"/>
        <v>474000</v>
      </c>
      <c r="AA10" s="514">
        <f t="shared" si="5"/>
        <v>474000</v>
      </c>
      <c r="AB10" s="514">
        <f t="shared" si="5"/>
        <v>474000</v>
      </c>
      <c r="AC10" s="514">
        <f t="shared" si="5"/>
        <v>474000</v>
      </c>
      <c r="AD10" s="514">
        <f t="shared" si="5"/>
        <v>474000</v>
      </c>
      <c r="AE10" s="514">
        <f t="shared" si="5"/>
        <v>474000</v>
      </c>
      <c r="AF10" s="514">
        <f t="shared" si="5"/>
        <v>474000</v>
      </c>
      <c r="AG10" s="514">
        <f t="shared" si="5"/>
        <v>474000</v>
      </c>
      <c r="AH10" s="514">
        <f t="shared" si="5"/>
        <v>474000</v>
      </c>
      <c r="AI10" s="514">
        <f t="shared" si="5"/>
        <v>474000</v>
      </c>
    </row>
    <row r="11" spans="1:35" x14ac:dyDescent="0.2">
      <c r="A11" s="512" t="s">
        <v>6</v>
      </c>
      <c r="B11" s="512"/>
      <c r="C11" s="512" t="s">
        <v>5</v>
      </c>
      <c r="D11" s="515">
        <f>цех!I121</f>
        <v>0.09</v>
      </c>
      <c r="E11" s="512"/>
      <c r="F11" s="514">
        <f>F8*$D$11</f>
        <v>54000</v>
      </c>
      <c r="G11" s="514">
        <f t="shared" ref="G11:AI11" si="6">G8*$D$11</f>
        <v>54000</v>
      </c>
      <c r="H11" s="514">
        <f t="shared" si="6"/>
        <v>54000</v>
      </c>
      <c r="I11" s="514">
        <f t="shared" si="6"/>
        <v>54000</v>
      </c>
      <c r="J11" s="514">
        <f t="shared" si="6"/>
        <v>54000</v>
      </c>
      <c r="K11" s="514">
        <f t="shared" si="6"/>
        <v>54000</v>
      </c>
      <c r="L11" s="514">
        <f t="shared" si="6"/>
        <v>54000</v>
      </c>
      <c r="M11" s="514">
        <f t="shared" si="6"/>
        <v>54000</v>
      </c>
      <c r="N11" s="514">
        <f t="shared" si="6"/>
        <v>54000</v>
      </c>
      <c r="O11" s="514">
        <f t="shared" si="6"/>
        <v>54000</v>
      </c>
      <c r="P11" s="514">
        <f t="shared" si="6"/>
        <v>54000</v>
      </c>
      <c r="Q11" s="514">
        <f t="shared" si="6"/>
        <v>54000</v>
      </c>
      <c r="R11" s="514">
        <f t="shared" si="6"/>
        <v>54000</v>
      </c>
      <c r="S11" s="514">
        <f t="shared" si="6"/>
        <v>54000</v>
      </c>
      <c r="T11" s="514">
        <f t="shared" si="6"/>
        <v>54000</v>
      </c>
      <c r="U11" s="514">
        <f t="shared" si="6"/>
        <v>54000</v>
      </c>
      <c r="V11" s="514">
        <f t="shared" si="6"/>
        <v>54000</v>
      </c>
      <c r="W11" s="514">
        <f t="shared" si="6"/>
        <v>54000</v>
      </c>
      <c r="X11" s="514">
        <f t="shared" si="6"/>
        <v>54000</v>
      </c>
      <c r="Y11" s="514">
        <f t="shared" si="6"/>
        <v>54000</v>
      </c>
      <c r="Z11" s="514">
        <f t="shared" si="6"/>
        <v>54000</v>
      </c>
      <c r="AA11" s="514">
        <f t="shared" si="6"/>
        <v>54000</v>
      </c>
      <c r="AB11" s="514">
        <f t="shared" si="6"/>
        <v>54000</v>
      </c>
      <c r="AC11" s="514">
        <f t="shared" si="6"/>
        <v>54000</v>
      </c>
      <c r="AD11" s="514">
        <f t="shared" si="6"/>
        <v>54000</v>
      </c>
      <c r="AE11" s="514">
        <f t="shared" si="6"/>
        <v>54000</v>
      </c>
      <c r="AF11" s="514">
        <f t="shared" si="6"/>
        <v>54000</v>
      </c>
      <c r="AG11" s="514">
        <f t="shared" si="6"/>
        <v>54000</v>
      </c>
      <c r="AH11" s="514">
        <f t="shared" si="6"/>
        <v>54000</v>
      </c>
      <c r="AI11" s="514">
        <f t="shared" si="6"/>
        <v>54000</v>
      </c>
    </row>
    <row r="12" spans="1:35" x14ac:dyDescent="0.2">
      <c r="A12" s="512" t="s">
        <v>7</v>
      </c>
      <c r="B12" s="512"/>
      <c r="C12" s="512" t="s">
        <v>5</v>
      </c>
      <c r="D12" s="515">
        <f>цех!I122</f>
        <v>0.12</v>
      </c>
      <c r="E12" s="512"/>
      <c r="F12" s="514">
        <f>F8*$D12</f>
        <v>72000</v>
      </c>
      <c r="G12" s="514">
        <f t="shared" ref="G12:AI12" si="7">G8*$D12</f>
        <v>72000</v>
      </c>
      <c r="H12" s="514">
        <f t="shared" si="7"/>
        <v>72000</v>
      </c>
      <c r="I12" s="514">
        <f t="shared" si="7"/>
        <v>72000</v>
      </c>
      <c r="J12" s="514">
        <f t="shared" si="7"/>
        <v>72000</v>
      </c>
      <c r="K12" s="514">
        <f t="shared" si="7"/>
        <v>72000</v>
      </c>
      <c r="L12" s="514">
        <f t="shared" si="7"/>
        <v>72000</v>
      </c>
      <c r="M12" s="514">
        <f t="shared" si="7"/>
        <v>72000</v>
      </c>
      <c r="N12" s="514">
        <f t="shared" si="7"/>
        <v>72000</v>
      </c>
      <c r="O12" s="514">
        <f t="shared" si="7"/>
        <v>72000</v>
      </c>
      <c r="P12" s="514">
        <f t="shared" si="7"/>
        <v>72000</v>
      </c>
      <c r="Q12" s="514">
        <f t="shared" si="7"/>
        <v>72000</v>
      </c>
      <c r="R12" s="514">
        <f t="shared" si="7"/>
        <v>72000</v>
      </c>
      <c r="S12" s="514">
        <f t="shared" si="7"/>
        <v>72000</v>
      </c>
      <c r="T12" s="514">
        <f t="shared" si="7"/>
        <v>72000</v>
      </c>
      <c r="U12" s="514">
        <f t="shared" si="7"/>
        <v>72000</v>
      </c>
      <c r="V12" s="514">
        <f t="shared" si="7"/>
        <v>72000</v>
      </c>
      <c r="W12" s="514">
        <f t="shared" si="7"/>
        <v>72000</v>
      </c>
      <c r="X12" s="514">
        <f t="shared" si="7"/>
        <v>72000</v>
      </c>
      <c r="Y12" s="514">
        <f t="shared" si="7"/>
        <v>72000</v>
      </c>
      <c r="Z12" s="514">
        <f t="shared" si="7"/>
        <v>72000</v>
      </c>
      <c r="AA12" s="514">
        <f t="shared" si="7"/>
        <v>72000</v>
      </c>
      <c r="AB12" s="514">
        <f t="shared" si="7"/>
        <v>72000</v>
      </c>
      <c r="AC12" s="514">
        <f t="shared" si="7"/>
        <v>72000</v>
      </c>
      <c r="AD12" s="514">
        <f t="shared" si="7"/>
        <v>72000</v>
      </c>
      <c r="AE12" s="514">
        <f t="shared" si="7"/>
        <v>72000</v>
      </c>
      <c r="AF12" s="514">
        <f t="shared" si="7"/>
        <v>72000</v>
      </c>
      <c r="AG12" s="514">
        <f t="shared" si="7"/>
        <v>72000</v>
      </c>
      <c r="AH12" s="514">
        <f t="shared" si="7"/>
        <v>72000</v>
      </c>
      <c r="AI12" s="514">
        <f t="shared" si="7"/>
        <v>72000</v>
      </c>
    </row>
    <row r="13" spans="1:35" x14ac:dyDescent="0.2">
      <c r="A13" s="512" t="s">
        <v>8</v>
      </c>
      <c r="B13" s="512"/>
      <c r="C13" s="512" t="s">
        <v>5</v>
      </c>
      <c r="D13" s="516">
        <v>0.33</v>
      </c>
      <c r="E13" s="512"/>
      <c r="F13" s="514">
        <f>F8*$D13</f>
        <v>198000</v>
      </c>
      <c r="G13" s="514">
        <f>G8*$D13</f>
        <v>198000</v>
      </c>
      <c r="H13" s="514">
        <f t="shared" ref="H13:AI13" si="8">H8*$D13</f>
        <v>198000</v>
      </c>
      <c r="I13" s="514">
        <f t="shared" si="8"/>
        <v>198000</v>
      </c>
      <c r="J13" s="514">
        <f t="shared" si="8"/>
        <v>198000</v>
      </c>
      <c r="K13" s="514">
        <f t="shared" si="8"/>
        <v>198000</v>
      </c>
      <c r="L13" s="514">
        <f t="shared" si="8"/>
        <v>198000</v>
      </c>
      <c r="M13" s="514">
        <f t="shared" si="8"/>
        <v>198000</v>
      </c>
      <c r="N13" s="514">
        <f t="shared" si="8"/>
        <v>198000</v>
      </c>
      <c r="O13" s="514">
        <f t="shared" si="8"/>
        <v>198000</v>
      </c>
      <c r="P13" s="514">
        <f t="shared" si="8"/>
        <v>198000</v>
      </c>
      <c r="Q13" s="514">
        <f t="shared" si="8"/>
        <v>198000</v>
      </c>
      <c r="R13" s="514">
        <f t="shared" si="8"/>
        <v>198000</v>
      </c>
      <c r="S13" s="514">
        <f t="shared" si="8"/>
        <v>198000</v>
      </c>
      <c r="T13" s="514">
        <f t="shared" si="8"/>
        <v>198000</v>
      </c>
      <c r="U13" s="514">
        <f t="shared" si="8"/>
        <v>198000</v>
      </c>
      <c r="V13" s="514">
        <f t="shared" si="8"/>
        <v>198000</v>
      </c>
      <c r="W13" s="514">
        <f t="shared" si="8"/>
        <v>198000</v>
      </c>
      <c r="X13" s="514">
        <f t="shared" si="8"/>
        <v>198000</v>
      </c>
      <c r="Y13" s="514">
        <f t="shared" si="8"/>
        <v>198000</v>
      </c>
      <c r="Z13" s="514">
        <f t="shared" si="8"/>
        <v>198000</v>
      </c>
      <c r="AA13" s="514">
        <f t="shared" si="8"/>
        <v>198000</v>
      </c>
      <c r="AB13" s="514">
        <f t="shared" si="8"/>
        <v>198000</v>
      </c>
      <c r="AC13" s="514">
        <f t="shared" si="8"/>
        <v>198000</v>
      </c>
      <c r="AD13" s="514">
        <f t="shared" si="8"/>
        <v>198000</v>
      </c>
      <c r="AE13" s="514">
        <f t="shared" si="8"/>
        <v>198000</v>
      </c>
      <c r="AF13" s="514">
        <f t="shared" si="8"/>
        <v>198000</v>
      </c>
      <c r="AG13" s="514">
        <f t="shared" si="8"/>
        <v>198000</v>
      </c>
      <c r="AH13" s="514">
        <f t="shared" si="8"/>
        <v>198000</v>
      </c>
      <c r="AI13" s="514">
        <f t="shared" si="8"/>
        <v>198000</v>
      </c>
    </row>
    <row r="14" spans="1:35" x14ac:dyDescent="0.2">
      <c r="A14" s="512" t="s">
        <v>9</v>
      </c>
      <c r="B14" s="512"/>
      <c r="C14" s="512" t="s">
        <v>5</v>
      </c>
      <c r="D14" s="516">
        <v>0.67</v>
      </c>
      <c r="E14" s="512"/>
      <c r="F14" s="514">
        <f>F8*$D14</f>
        <v>402000</v>
      </c>
      <c r="G14" s="514">
        <f>G8*$D14</f>
        <v>402000</v>
      </c>
      <c r="H14" s="514">
        <f t="shared" ref="H14:AI14" si="9">H8*$D14</f>
        <v>402000</v>
      </c>
      <c r="I14" s="514">
        <f t="shared" si="9"/>
        <v>402000</v>
      </c>
      <c r="J14" s="514">
        <f t="shared" si="9"/>
        <v>402000</v>
      </c>
      <c r="K14" s="514">
        <f t="shared" si="9"/>
        <v>402000</v>
      </c>
      <c r="L14" s="514">
        <f t="shared" si="9"/>
        <v>402000</v>
      </c>
      <c r="M14" s="514">
        <f t="shared" si="9"/>
        <v>402000</v>
      </c>
      <c r="N14" s="514">
        <f t="shared" si="9"/>
        <v>402000</v>
      </c>
      <c r="O14" s="514">
        <f t="shared" si="9"/>
        <v>402000</v>
      </c>
      <c r="P14" s="514">
        <f t="shared" si="9"/>
        <v>402000</v>
      </c>
      <c r="Q14" s="514">
        <f t="shared" si="9"/>
        <v>402000</v>
      </c>
      <c r="R14" s="514">
        <f t="shared" si="9"/>
        <v>402000</v>
      </c>
      <c r="S14" s="514">
        <f t="shared" si="9"/>
        <v>402000</v>
      </c>
      <c r="T14" s="514">
        <f t="shared" si="9"/>
        <v>402000</v>
      </c>
      <c r="U14" s="514">
        <f t="shared" si="9"/>
        <v>402000</v>
      </c>
      <c r="V14" s="514">
        <f t="shared" si="9"/>
        <v>402000</v>
      </c>
      <c r="W14" s="514">
        <f t="shared" si="9"/>
        <v>402000</v>
      </c>
      <c r="X14" s="514">
        <f t="shared" si="9"/>
        <v>402000</v>
      </c>
      <c r="Y14" s="514">
        <f t="shared" si="9"/>
        <v>402000</v>
      </c>
      <c r="Z14" s="514">
        <f t="shared" si="9"/>
        <v>402000</v>
      </c>
      <c r="AA14" s="514">
        <f t="shared" si="9"/>
        <v>402000</v>
      </c>
      <c r="AB14" s="514">
        <f t="shared" si="9"/>
        <v>402000</v>
      </c>
      <c r="AC14" s="514">
        <f t="shared" si="9"/>
        <v>402000</v>
      </c>
      <c r="AD14" s="514">
        <f t="shared" si="9"/>
        <v>402000</v>
      </c>
      <c r="AE14" s="514">
        <f t="shared" si="9"/>
        <v>402000</v>
      </c>
      <c r="AF14" s="514">
        <f t="shared" si="9"/>
        <v>402000</v>
      </c>
      <c r="AG14" s="514">
        <f t="shared" si="9"/>
        <v>402000</v>
      </c>
      <c r="AH14" s="514">
        <f t="shared" si="9"/>
        <v>402000</v>
      </c>
      <c r="AI14" s="514">
        <f t="shared" si="9"/>
        <v>402000</v>
      </c>
    </row>
    <row r="15" spans="1:35" x14ac:dyDescent="0.2">
      <c r="A15" s="512"/>
      <c r="B15" s="512"/>
      <c r="C15" s="512"/>
      <c r="D15" s="516"/>
      <c r="E15" s="512"/>
      <c r="F15" s="514">
        <f>F16+F17+F18</f>
        <v>219990.30381383322</v>
      </c>
      <c r="G15" s="514">
        <f t="shared" ref="G15:AI15" si="10">G16+G17+G18</f>
        <v>219990.30381383322</v>
      </c>
      <c r="H15" s="514">
        <f t="shared" si="10"/>
        <v>219990.30381383322</v>
      </c>
      <c r="I15" s="514">
        <f t="shared" si="10"/>
        <v>219990.30381383322</v>
      </c>
      <c r="J15" s="514">
        <f t="shared" si="10"/>
        <v>219990.30381383322</v>
      </c>
      <c r="K15" s="514">
        <f t="shared" si="10"/>
        <v>219990.30381383322</v>
      </c>
      <c r="L15" s="514">
        <f t="shared" si="10"/>
        <v>219990.30381383322</v>
      </c>
      <c r="M15" s="514">
        <f t="shared" si="10"/>
        <v>219990.30381383322</v>
      </c>
      <c r="N15" s="514">
        <f t="shared" si="10"/>
        <v>219990.30381383322</v>
      </c>
      <c r="O15" s="514">
        <f t="shared" si="10"/>
        <v>219990.30381383322</v>
      </c>
      <c r="P15" s="514">
        <f t="shared" si="10"/>
        <v>219990.30381383322</v>
      </c>
      <c r="Q15" s="514">
        <f t="shared" si="10"/>
        <v>219990.30381383322</v>
      </c>
      <c r="R15" s="514">
        <f t="shared" si="10"/>
        <v>219990.30381383322</v>
      </c>
      <c r="S15" s="514">
        <f t="shared" si="10"/>
        <v>219990.30381383322</v>
      </c>
      <c r="T15" s="514">
        <f t="shared" si="10"/>
        <v>219990.30381383322</v>
      </c>
      <c r="U15" s="514">
        <f t="shared" si="10"/>
        <v>219990.30381383322</v>
      </c>
      <c r="V15" s="514">
        <f t="shared" si="10"/>
        <v>219990.30381383322</v>
      </c>
      <c r="W15" s="514">
        <f t="shared" si="10"/>
        <v>219990.30381383322</v>
      </c>
      <c r="X15" s="514">
        <f t="shared" si="10"/>
        <v>219990.30381383322</v>
      </c>
      <c r="Y15" s="514">
        <f t="shared" si="10"/>
        <v>219990.30381383322</v>
      </c>
      <c r="Z15" s="514">
        <f t="shared" si="10"/>
        <v>219990.30381383322</v>
      </c>
      <c r="AA15" s="514">
        <f t="shared" si="10"/>
        <v>219990.30381383322</v>
      </c>
      <c r="AB15" s="514">
        <f t="shared" si="10"/>
        <v>219990.30381383322</v>
      </c>
      <c r="AC15" s="514">
        <f t="shared" si="10"/>
        <v>219990.30381383322</v>
      </c>
      <c r="AD15" s="514">
        <f t="shared" si="10"/>
        <v>219990.30381383322</v>
      </c>
      <c r="AE15" s="514">
        <f t="shared" si="10"/>
        <v>219990.30381383322</v>
      </c>
      <c r="AF15" s="514">
        <f t="shared" si="10"/>
        <v>219990.30381383322</v>
      </c>
      <c r="AG15" s="514">
        <f t="shared" si="10"/>
        <v>219990.30381383322</v>
      </c>
      <c r="AH15" s="514">
        <f t="shared" si="10"/>
        <v>219990.30381383322</v>
      </c>
      <c r="AI15" s="514">
        <f t="shared" si="10"/>
        <v>219990.30381383322</v>
      </c>
    </row>
    <row r="16" spans="1:35" x14ac:dyDescent="0.2">
      <c r="A16" s="512" t="s">
        <v>135</v>
      </c>
      <c r="B16" s="512"/>
      <c r="C16" s="512"/>
      <c r="D16" s="517">
        <f>цех!J120</f>
        <v>3.12</v>
      </c>
      <c r="E16" s="512"/>
      <c r="F16" s="514">
        <f>F10/$D$16</f>
        <v>151923.07692307691</v>
      </c>
      <c r="G16" s="514">
        <f t="shared" ref="G16:AI16" si="11">G10/$D$16</f>
        <v>151923.07692307691</v>
      </c>
      <c r="H16" s="514">
        <f t="shared" si="11"/>
        <v>151923.07692307691</v>
      </c>
      <c r="I16" s="514">
        <f t="shared" si="11"/>
        <v>151923.07692307691</v>
      </c>
      <c r="J16" s="514">
        <f t="shared" si="11"/>
        <v>151923.07692307691</v>
      </c>
      <c r="K16" s="514">
        <f t="shared" si="11"/>
        <v>151923.07692307691</v>
      </c>
      <c r="L16" s="514">
        <f t="shared" si="11"/>
        <v>151923.07692307691</v>
      </c>
      <c r="M16" s="514">
        <f t="shared" si="11"/>
        <v>151923.07692307691</v>
      </c>
      <c r="N16" s="514">
        <f t="shared" si="11"/>
        <v>151923.07692307691</v>
      </c>
      <c r="O16" s="514">
        <f t="shared" si="11"/>
        <v>151923.07692307691</v>
      </c>
      <c r="P16" s="514">
        <f t="shared" si="11"/>
        <v>151923.07692307691</v>
      </c>
      <c r="Q16" s="514">
        <f t="shared" si="11"/>
        <v>151923.07692307691</v>
      </c>
      <c r="R16" s="514">
        <f t="shared" si="11"/>
        <v>151923.07692307691</v>
      </c>
      <c r="S16" s="514">
        <f t="shared" si="11"/>
        <v>151923.07692307691</v>
      </c>
      <c r="T16" s="514">
        <f t="shared" si="11"/>
        <v>151923.07692307691</v>
      </c>
      <c r="U16" s="514">
        <f t="shared" si="11"/>
        <v>151923.07692307691</v>
      </c>
      <c r="V16" s="514">
        <f t="shared" si="11"/>
        <v>151923.07692307691</v>
      </c>
      <c r="W16" s="514">
        <f t="shared" si="11"/>
        <v>151923.07692307691</v>
      </c>
      <c r="X16" s="514">
        <f t="shared" si="11"/>
        <v>151923.07692307691</v>
      </c>
      <c r="Y16" s="514">
        <f t="shared" si="11"/>
        <v>151923.07692307691</v>
      </c>
      <c r="Z16" s="514">
        <f t="shared" si="11"/>
        <v>151923.07692307691</v>
      </c>
      <c r="AA16" s="514">
        <f t="shared" si="11"/>
        <v>151923.07692307691</v>
      </c>
      <c r="AB16" s="514">
        <f t="shared" si="11"/>
        <v>151923.07692307691</v>
      </c>
      <c r="AC16" s="514">
        <f t="shared" si="11"/>
        <v>151923.07692307691</v>
      </c>
      <c r="AD16" s="514">
        <f t="shared" si="11"/>
        <v>151923.07692307691</v>
      </c>
      <c r="AE16" s="514">
        <f t="shared" si="11"/>
        <v>151923.07692307691</v>
      </c>
      <c r="AF16" s="514">
        <f t="shared" si="11"/>
        <v>151923.07692307691</v>
      </c>
      <c r="AG16" s="514">
        <f t="shared" si="11"/>
        <v>151923.07692307691</v>
      </c>
      <c r="AH16" s="514">
        <f t="shared" si="11"/>
        <v>151923.07692307691</v>
      </c>
      <c r="AI16" s="514">
        <f t="shared" si="11"/>
        <v>151923.07692307691</v>
      </c>
    </row>
    <row r="17" spans="1:35" x14ac:dyDescent="0.2">
      <c r="A17" s="512" t="s">
        <v>142</v>
      </c>
      <c r="B17" s="512"/>
      <c r="C17" s="512"/>
      <c r="D17" s="517">
        <f>цех!J121</f>
        <v>2.1</v>
      </c>
      <c r="E17" s="512"/>
      <c r="F17" s="514">
        <f>F11/$D$17</f>
        <v>25714.285714285714</v>
      </c>
      <c r="G17" s="514">
        <f t="shared" ref="G17:AI17" si="12">G11/$D$17</f>
        <v>25714.285714285714</v>
      </c>
      <c r="H17" s="514">
        <f t="shared" si="12"/>
        <v>25714.285714285714</v>
      </c>
      <c r="I17" s="514">
        <f t="shared" si="12"/>
        <v>25714.285714285714</v>
      </c>
      <c r="J17" s="514">
        <f t="shared" si="12"/>
        <v>25714.285714285714</v>
      </c>
      <c r="K17" s="514">
        <f t="shared" si="12"/>
        <v>25714.285714285714</v>
      </c>
      <c r="L17" s="514">
        <f t="shared" si="12"/>
        <v>25714.285714285714</v>
      </c>
      <c r="M17" s="514">
        <f t="shared" si="12"/>
        <v>25714.285714285714</v>
      </c>
      <c r="N17" s="514">
        <f t="shared" si="12"/>
        <v>25714.285714285714</v>
      </c>
      <c r="O17" s="514">
        <f t="shared" si="12"/>
        <v>25714.285714285714</v>
      </c>
      <c r="P17" s="514">
        <f t="shared" si="12"/>
        <v>25714.285714285714</v>
      </c>
      <c r="Q17" s="514">
        <f t="shared" si="12"/>
        <v>25714.285714285714</v>
      </c>
      <c r="R17" s="514">
        <f t="shared" si="12"/>
        <v>25714.285714285714</v>
      </c>
      <c r="S17" s="514">
        <f t="shared" si="12"/>
        <v>25714.285714285714</v>
      </c>
      <c r="T17" s="514">
        <f t="shared" si="12"/>
        <v>25714.285714285714</v>
      </c>
      <c r="U17" s="514">
        <f t="shared" si="12"/>
        <v>25714.285714285714</v>
      </c>
      <c r="V17" s="514">
        <f t="shared" si="12"/>
        <v>25714.285714285714</v>
      </c>
      <c r="W17" s="514">
        <f t="shared" si="12"/>
        <v>25714.285714285714</v>
      </c>
      <c r="X17" s="514">
        <f t="shared" si="12"/>
        <v>25714.285714285714</v>
      </c>
      <c r="Y17" s="514">
        <f t="shared" si="12"/>
        <v>25714.285714285714</v>
      </c>
      <c r="Z17" s="514">
        <f t="shared" si="12"/>
        <v>25714.285714285714</v>
      </c>
      <c r="AA17" s="514">
        <f t="shared" si="12"/>
        <v>25714.285714285714</v>
      </c>
      <c r="AB17" s="514">
        <f t="shared" si="12"/>
        <v>25714.285714285714</v>
      </c>
      <c r="AC17" s="514">
        <f t="shared" si="12"/>
        <v>25714.285714285714</v>
      </c>
      <c r="AD17" s="514">
        <f t="shared" si="12"/>
        <v>25714.285714285714</v>
      </c>
      <c r="AE17" s="514">
        <f t="shared" si="12"/>
        <v>25714.285714285714</v>
      </c>
      <c r="AF17" s="514">
        <f t="shared" si="12"/>
        <v>25714.285714285714</v>
      </c>
      <c r="AG17" s="514">
        <f t="shared" si="12"/>
        <v>25714.285714285714</v>
      </c>
      <c r="AH17" s="514">
        <f t="shared" si="12"/>
        <v>25714.285714285714</v>
      </c>
      <c r="AI17" s="514">
        <f t="shared" si="12"/>
        <v>25714.285714285714</v>
      </c>
    </row>
    <row r="18" spans="1:35" x14ac:dyDescent="0.2">
      <c r="A18" s="512" t="s">
        <v>143</v>
      </c>
      <c r="B18" s="512"/>
      <c r="C18" s="512"/>
      <c r="D18" s="517">
        <f>цех!J122</f>
        <v>1.7</v>
      </c>
      <c r="E18" s="512"/>
      <c r="F18" s="514">
        <f>F12/$D$18</f>
        <v>42352.941176470587</v>
      </c>
      <c r="G18" s="514">
        <f t="shared" ref="G18:AI18" si="13">G12/$D$18</f>
        <v>42352.941176470587</v>
      </c>
      <c r="H18" s="514">
        <f t="shared" si="13"/>
        <v>42352.941176470587</v>
      </c>
      <c r="I18" s="514">
        <f t="shared" si="13"/>
        <v>42352.941176470587</v>
      </c>
      <c r="J18" s="514">
        <f t="shared" si="13"/>
        <v>42352.941176470587</v>
      </c>
      <c r="K18" s="514">
        <f t="shared" si="13"/>
        <v>42352.941176470587</v>
      </c>
      <c r="L18" s="514">
        <f t="shared" si="13"/>
        <v>42352.941176470587</v>
      </c>
      <c r="M18" s="514">
        <f t="shared" si="13"/>
        <v>42352.941176470587</v>
      </c>
      <c r="N18" s="514">
        <f t="shared" si="13"/>
        <v>42352.941176470587</v>
      </c>
      <c r="O18" s="514">
        <f t="shared" si="13"/>
        <v>42352.941176470587</v>
      </c>
      <c r="P18" s="514">
        <f t="shared" si="13"/>
        <v>42352.941176470587</v>
      </c>
      <c r="Q18" s="514">
        <f t="shared" si="13"/>
        <v>42352.941176470587</v>
      </c>
      <c r="R18" s="514">
        <f t="shared" si="13"/>
        <v>42352.941176470587</v>
      </c>
      <c r="S18" s="514">
        <f t="shared" si="13"/>
        <v>42352.941176470587</v>
      </c>
      <c r="T18" s="514">
        <f t="shared" si="13"/>
        <v>42352.941176470587</v>
      </c>
      <c r="U18" s="514">
        <f t="shared" si="13"/>
        <v>42352.941176470587</v>
      </c>
      <c r="V18" s="514">
        <f t="shared" si="13"/>
        <v>42352.941176470587</v>
      </c>
      <c r="W18" s="514">
        <f t="shared" si="13"/>
        <v>42352.941176470587</v>
      </c>
      <c r="X18" s="514">
        <f t="shared" si="13"/>
        <v>42352.941176470587</v>
      </c>
      <c r="Y18" s="514">
        <f t="shared" si="13"/>
        <v>42352.941176470587</v>
      </c>
      <c r="Z18" s="514">
        <f t="shared" si="13"/>
        <v>42352.941176470587</v>
      </c>
      <c r="AA18" s="514">
        <f t="shared" si="13"/>
        <v>42352.941176470587</v>
      </c>
      <c r="AB18" s="514">
        <f t="shared" si="13"/>
        <v>42352.941176470587</v>
      </c>
      <c r="AC18" s="514">
        <f t="shared" si="13"/>
        <v>42352.941176470587</v>
      </c>
      <c r="AD18" s="514">
        <f t="shared" si="13"/>
        <v>42352.941176470587</v>
      </c>
      <c r="AE18" s="514">
        <f t="shared" si="13"/>
        <v>42352.941176470587</v>
      </c>
      <c r="AF18" s="514">
        <f t="shared" si="13"/>
        <v>42352.941176470587</v>
      </c>
      <c r="AG18" s="514">
        <f t="shared" si="13"/>
        <v>42352.941176470587</v>
      </c>
      <c r="AH18" s="514">
        <f t="shared" si="13"/>
        <v>42352.941176470587</v>
      </c>
      <c r="AI18" s="514">
        <f t="shared" si="13"/>
        <v>42352.941176470587</v>
      </c>
    </row>
    <row r="19" spans="1:35" x14ac:dyDescent="0.2">
      <c r="A19" s="512" t="s">
        <v>10</v>
      </c>
      <c r="B19" s="512"/>
      <c r="C19" s="504" t="s">
        <v>49</v>
      </c>
      <c r="D19" s="518">
        <f>G8/(G8-G19)*100</f>
        <v>272.73929332255932</v>
      </c>
      <c r="E19" s="512"/>
      <c r="F19" s="514">
        <f>SUM(F20:F22)</f>
        <v>380009.69618616678</v>
      </c>
      <c r="G19" s="514">
        <f t="shared" ref="G19:AI19" si="14">SUM(G20:G22)</f>
        <v>380009.69618616678</v>
      </c>
      <c r="H19" s="514">
        <f t="shared" si="14"/>
        <v>380009.69618616678</v>
      </c>
      <c r="I19" s="514">
        <f t="shared" si="14"/>
        <v>380009.69618616678</v>
      </c>
      <c r="J19" s="514">
        <f t="shared" si="14"/>
        <v>380009.69618616678</v>
      </c>
      <c r="K19" s="514">
        <f t="shared" si="14"/>
        <v>380009.69618616678</v>
      </c>
      <c r="L19" s="514">
        <f t="shared" si="14"/>
        <v>380009.69618616678</v>
      </c>
      <c r="M19" s="514">
        <f t="shared" si="14"/>
        <v>380009.69618616678</v>
      </c>
      <c r="N19" s="514">
        <f t="shared" si="14"/>
        <v>380009.69618616678</v>
      </c>
      <c r="O19" s="514">
        <f t="shared" si="14"/>
        <v>380009.69618616678</v>
      </c>
      <c r="P19" s="514">
        <f t="shared" si="14"/>
        <v>380009.69618616678</v>
      </c>
      <c r="Q19" s="514">
        <f t="shared" si="14"/>
        <v>380009.69618616678</v>
      </c>
      <c r="R19" s="514">
        <f t="shared" si="14"/>
        <v>380009.69618616678</v>
      </c>
      <c r="S19" s="514">
        <f t="shared" si="14"/>
        <v>380009.69618616678</v>
      </c>
      <c r="T19" s="514">
        <f t="shared" si="14"/>
        <v>380009.69618616678</v>
      </c>
      <c r="U19" s="514">
        <f t="shared" si="14"/>
        <v>380009.69618616678</v>
      </c>
      <c r="V19" s="514">
        <f t="shared" si="14"/>
        <v>380009.69618616678</v>
      </c>
      <c r="W19" s="514">
        <f t="shared" si="14"/>
        <v>380009.69618616678</v>
      </c>
      <c r="X19" s="514">
        <f t="shared" si="14"/>
        <v>380009.69618616678</v>
      </c>
      <c r="Y19" s="514">
        <f t="shared" si="14"/>
        <v>380009.69618616678</v>
      </c>
      <c r="Z19" s="514">
        <f t="shared" si="14"/>
        <v>380009.69618616678</v>
      </c>
      <c r="AA19" s="514">
        <f t="shared" si="14"/>
        <v>380009.69618616678</v>
      </c>
      <c r="AB19" s="514">
        <f t="shared" si="14"/>
        <v>380009.69618616678</v>
      </c>
      <c r="AC19" s="514">
        <f t="shared" si="14"/>
        <v>380009.69618616678</v>
      </c>
      <c r="AD19" s="514">
        <f t="shared" si="14"/>
        <v>380009.69618616678</v>
      </c>
      <c r="AE19" s="514">
        <f t="shared" si="14"/>
        <v>380009.69618616678</v>
      </c>
      <c r="AF19" s="514">
        <f t="shared" si="14"/>
        <v>380009.69618616678</v>
      </c>
      <c r="AG19" s="514">
        <f t="shared" si="14"/>
        <v>380009.69618616678</v>
      </c>
      <c r="AH19" s="514">
        <f t="shared" si="14"/>
        <v>380009.69618616678</v>
      </c>
      <c r="AI19" s="514">
        <f t="shared" si="14"/>
        <v>380009.69618616678</v>
      </c>
    </row>
    <row r="20" spans="1:35" x14ac:dyDescent="0.2">
      <c r="A20" s="512" t="s">
        <v>4</v>
      </c>
      <c r="B20" s="512"/>
      <c r="C20" s="504">
        <v>0.66500000000000004</v>
      </c>
      <c r="D20" s="518">
        <f>G10/(G10-G20)*100</f>
        <v>312.00000000000011</v>
      </c>
      <c r="E20" s="512"/>
      <c r="F20" s="514">
        <f>F10-F16</f>
        <v>322076.92307692312</v>
      </c>
      <c r="G20" s="514">
        <f t="shared" ref="G20:AI20" si="15">G10-G16</f>
        <v>322076.92307692312</v>
      </c>
      <c r="H20" s="514">
        <f t="shared" si="15"/>
        <v>322076.92307692312</v>
      </c>
      <c r="I20" s="514">
        <f t="shared" si="15"/>
        <v>322076.92307692312</v>
      </c>
      <c r="J20" s="514">
        <f t="shared" si="15"/>
        <v>322076.92307692312</v>
      </c>
      <c r="K20" s="514">
        <f t="shared" si="15"/>
        <v>322076.92307692312</v>
      </c>
      <c r="L20" s="514">
        <f t="shared" si="15"/>
        <v>322076.92307692312</v>
      </c>
      <c r="M20" s="514">
        <f t="shared" si="15"/>
        <v>322076.92307692312</v>
      </c>
      <c r="N20" s="514">
        <f t="shared" si="15"/>
        <v>322076.92307692312</v>
      </c>
      <c r="O20" s="514">
        <f t="shared" si="15"/>
        <v>322076.92307692312</v>
      </c>
      <c r="P20" s="514">
        <f t="shared" si="15"/>
        <v>322076.92307692312</v>
      </c>
      <c r="Q20" s="514">
        <f t="shared" si="15"/>
        <v>322076.92307692312</v>
      </c>
      <c r="R20" s="514">
        <f t="shared" si="15"/>
        <v>322076.92307692312</v>
      </c>
      <c r="S20" s="514">
        <f t="shared" si="15"/>
        <v>322076.92307692312</v>
      </c>
      <c r="T20" s="514">
        <f t="shared" si="15"/>
        <v>322076.92307692312</v>
      </c>
      <c r="U20" s="514">
        <f t="shared" si="15"/>
        <v>322076.92307692312</v>
      </c>
      <c r="V20" s="514">
        <f t="shared" si="15"/>
        <v>322076.92307692312</v>
      </c>
      <c r="W20" s="514">
        <f t="shared" si="15"/>
        <v>322076.92307692312</v>
      </c>
      <c r="X20" s="514">
        <f t="shared" si="15"/>
        <v>322076.92307692312</v>
      </c>
      <c r="Y20" s="514">
        <f t="shared" si="15"/>
        <v>322076.92307692312</v>
      </c>
      <c r="Z20" s="514">
        <f t="shared" si="15"/>
        <v>322076.92307692312</v>
      </c>
      <c r="AA20" s="514">
        <f t="shared" si="15"/>
        <v>322076.92307692312</v>
      </c>
      <c r="AB20" s="514">
        <f t="shared" si="15"/>
        <v>322076.92307692312</v>
      </c>
      <c r="AC20" s="514">
        <f t="shared" si="15"/>
        <v>322076.92307692312</v>
      </c>
      <c r="AD20" s="514">
        <f t="shared" si="15"/>
        <v>322076.92307692312</v>
      </c>
      <c r="AE20" s="514">
        <f t="shared" si="15"/>
        <v>322076.92307692312</v>
      </c>
      <c r="AF20" s="514">
        <f t="shared" si="15"/>
        <v>322076.92307692312</v>
      </c>
      <c r="AG20" s="514">
        <f t="shared" si="15"/>
        <v>322076.92307692312</v>
      </c>
      <c r="AH20" s="514">
        <f t="shared" si="15"/>
        <v>322076.92307692312</v>
      </c>
      <c r="AI20" s="514">
        <f t="shared" si="15"/>
        <v>322076.92307692312</v>
      </c>
    </row>
    <row r="21" spans="1:35" x14ac:dyDescent="0.2">
      <c r="A21" s="512" t="s">
        <v>146</v>
      </c>
      <c r="B21" s="512"/>
      <c r="C21" s="504"/>
      <c r="D21" s="518"/>
      <c r="E21" s="512"/>
      <c r="F21" s="514">
        <f>F11-F17</f>
        <v>28285.714285714286</v>
      </c>
      <c r="G21" s="514">
        <f t="shared" ref="G21:AI21" si="16">G11-G17</f>
        <v>28285.714285714286</v>
      </c>
      <c r="H21" s="514">
        <f t="shared" si="16"/>
        <v>28285.714285714286</v>
      </c>
      <c r="I21" s="514">
        <f t="shared" si="16"/>
        <v>28285.714285714286</v>
      </c>
      <c r="J21" s="514">
        <f t="shared" si="16"/>
        <v>28285.714285714286</v>
      </c>
      <c r="K21" s="514">
        <f t="shared" si="16"/>
        <v>28285.714285714286</v>
      </c>
      <c r="L21" s="514">
        <f t="shared" si="16"/>
        <v>28285.714285714286</v>
      </c>
      <c r="M21" s="514">
        <f t="shared" si="16"/>
        <v>28285.714285714286</v>
      </c>
      <c r="N21" s="514">
        <f t="shared" si="16"/>
        <v>28285.714285714286</v>
      </c>
      <c r="O21" s="514">
        <f t="shared" si="16"/>
        <v>28285.714285714286</v>
      </c>
      <c r="P21" s="514">
        <f t="shared" si="16"/>
        <v>28285.714285714286</v>
      </c>
      <c r="Q21" s="514">
        <f t="shared" si="16"/>
        <v>28285.714285714286</v>
      </c>
      <c r="R21" s="514">
        <f t="shared" si="16"/>
        <v>28285.714285714286</v>
      </c>
      <c r="S21" s="514">
        <f t="shared" si="16"/>
        <v>28285.714285714286</v>
      </c>
      <c r="T21" s="514">
        <f t="shared" si="16"/>
        <v>28285.714285714286</v>
      </c>
      <c r="U21" s="514">
        <f t="shared" si="16"/>
        <v>28285.714285714286</v>
      </c>
      <c r="V21" s="514">
        <f t="shared" si="16"/>
        <v>28285.714285714286</v>
      </c>
      <c r="W21" s="514">
        <f t="shared" si="16"/>
        <v>28285.714285714286</v>
      </c>
      <c r="X21" s="514">
        <f t="shared" si="16"/>
        <v>28285.714285714286</v>
      </c>
      <c r="Y21" s="514">
        <f t="shared" si="16"/>
        <v>28285.714285714286</v>
      </c>
      <c r="Z21" s="514">
        <f t="shared" si="16"/>
        <v>28285.714285714286</v>
      </c>
      <c r="AA21" s="514">
        <f t="shared" si="16"/>
        <v>28285.714285714286</v>
      </c>
      <c r="AB21" s="514">
        <f t="shared" si="16"/>
        <v>28285.714285714286</v>
      </c>
      <c r="AC21" s="514">
        <f t="shared" si="16"/>
        <v>28285.714285714286</v>
      </c>
      <c r="AD21" s="514">
        <f t="shared" si="16"/>
        <v>28285.714285714286</v>
      </c>
      <c r="AE21" s="514">
        <f t="shared" si="16"/>
        <v>28285.714285714286</v>
      </c>
      <c r="AF21" s="514">
        <f t="shared" si="16"/>
        <v>28285.714285714286</v>
      </c>
      <c r="AG21" s="514">
        <f t="shared" si="16"/>
        <v>28285.714285714286</v>
      </c>
      <c r="AH21" s="514">
        <f t="shared" si="16"/>
        <v>28285.714285714286</v>
      </c>
      <c r="AI21" s="514">
        <f t="shared" si="16"/>
        <v>28285.714285714286</v>
      </c>
    </row>
    <row r="22" spans="1:35" x14ac:dyDescent="0.2">
      <c r="A22" s="512" t="s">
        <v>7</v>
      </c>
      <c r="B22" s="512"/>
      <c r="C22" s="504">
        <v>0.25</v>
      </c>
      <c r="D22" s="518">
        <f>G12/(G12-G22)*100</f>
        <v>170</v>
      </c>
      <c r="E22" s="512"/>
      <c r="F22" s="514">
        <f>F12-F18</f>
        <v>29647.058823529413</v>
      </c>
      <c r="G22" s="514">
        <f t="shared" ref="G22:AI22" si="17">G12-G18</f>
        <v>29647.058823529413</v>
      </c>
      <c r="H22" s="514">
        <f t="shared" si="17"/>
        <v>29647.058823529413</v>
      </c>
      <c r="I22" s="514">
        <f t="shared" si="17"/>
        <v>29647.058823529413</v>
      </c>
      <c r="J22" s="514">
        <f t="shared" si="17"/>
        <v>29647.058823529413</v>
      </c>
      <c r="K22" s="514">
        <f t="shared" si="17"/>
        <v>29647.058823529413</v>
      </c>
      <c r="L22" s="514">
        <f t="shared" si="17"/>
        <v>29647.058823529413</v>
      </c>
      <c r="M22" s="514">
        <f t="shared" si="17"/>
        <v>29647.058823529413</v>
      </c>
      <c r="N22" s="514">
        <f t="shared" si="17"/>
        <v>29647.058823529413</v>
      </c>
      <c r="O22" s="514">
        <f t="shared" si="17"/>
        <v>29647.058823529413</v>
      </c>
      <c r="P22" s="514">
        <f t="shared" si="17"/>
        <v>29647.058823529413</v>
      </c>
      <c r="Q22" s="514">
        <f t="shared" si="17"/>
        <v>29647.058823529413</v>
      </c>
      <c r="R22" s="514">
        <f t="shared" si="17"/>
        <v>29647.058823529413</v>
      </c>
      <c r="S22" s="514">
        <f t="shared" si="17"/>
        <v>29647.058823529413</v>
      </c>
      <c r="T22" s="514">
        <f t="shared" si="17"/>
        <v>29647.058823529413</v>
      </c>
      <c r="U22" s="514">
        <f t="shared" si="17"/>
        <v>29647.058823529413</v>
      </c>
      <c r="V22" s="514">
        <f t="shared" si="17"/>
        <v>29647.058823529413</v>
      </c>
      <c r="W22" s="514">
        <f t="shared" si="17"/>
        <v>29647.058823529413</v>
      </c>
      <c r="X22" s="514">
        <f t="shared" si="17"/>
        <v>29647.058823529413</v>
      </c>
      <c r="Y22" s="514">
        <f t="shared" si="17"/>
        <v>29647.058823529413</v>
      </c>
      <c r="Z22" s="514">
        <f t="shared" si="17"/>
        <v>29647.058823529413</v>
      </c>
      <c r="AA22" s="514">
        <f t="shared" si="17"/>
        <v>29647.058823529413</v>
      </c>
      <c r="AB22" s="514">
        <f t="shared" si="17"/>
        <v>29647.058823529413</v>
      </c>
      <c r="AC22" s="514">
        <f t="shared" si="17"/>
        <v>29647.058823529413</v>
      </c>
      <c r="AD22" s="514">
        <f t="shared" si="17"/>
        <v>29647.058823529413</v>
      </c>
      <c r="AE22" s="514">
        <f t="shared" si="17"/>
        <v>29647.058823529413</v>
      </c>
      <c r="AF22" s="514">
        <f t="shared" si="17"/>
        <v>29647.058823529413</v>
      </c>
      <c r="AG22" s="514">
        <f t="shared" si="17"/>
        <v>29647.058823529413</v>
      </c>
      <c r="AH22" s="514">
        <f t="shared" si="17"/>
        <v>29647.058823529413</v>
      </c>
      <c r="AI22" s="514">
        <f t="shared" si="17"/>
        <v>29647.058823529413</v>
      </c>
    </row>
    <row r="23" spans="1:35" x14ac:dyDescent="0.2">
      <c r="A23" s="512" t="s">
        <v>11</v>
      </c>
      <c r="B23" s="512"/>
      <c r="C23" s="512"/>
      <c r="D23" s="512"/>
      <c r="E23" s="512"/>
      <c r="F23" s="514"/>
      <c r="G23" s="514"/>
      <c r="H23" s="514"/>
      <c r="I23" s="514"/>
      <c r="J23" s="514"/>
      <c r="K23" s="514"/>
      <c r="L23" s="514"/>
      <c r="M23" s="514"/>
      <c r="N23" s="514"/>
      <c r="O23" s="514"/>
      <c r="P23" s="514"/>
      <c r="Q23" s="514"/>
      <c r="R23" s="514"/>
      <c r="S23" s="514"/>
      <c r="T23" s="514"/>
      <c r="U23" s="514"/>
      <c r="V23" s="514"/>
      <c r="W23" s="514"/>
      <c r="X23" s="514"/>
      <c r="Y23" s="514"/>
      <c r="Z23" s="514"/>
      <c r="AA23" s="514"/>
      <c r="AB23" s="514"/>
      <c r="AC23" s="514"/>
      <c r="AD23" s="514"/>
      <c r="AE23" s="514"/>
      <c r="AF23" s="514"/>
      <c r="AG23" s="514"/>
      <c r="AH23" s="514"/>
      <c r="AI23" s="514"/>
    </row>
    <row r="24" spans="1:35" x14ac:dyDescent="0.2">
      <c r="A24" s="512" t="s">
        <v>98</v>
      </c>
      <c r="B24" s="512"/>
      <c r="C24" s="512"/>
      <c r="D24" s="512"/>
      <c r="E24" s="512">
        <f>SUM(E25:E28,E35,E39:E40,E43:E49)</f>
        <v>0</v>
      </c>
      <c r="F24" s="514">
        <f>SUM(F25:F28,F35,F39:F40,F43:F50)</f>
        <v>141006.39999999999</v>
      </c>
      <c r="G24" s="514">
        <f>SUM(G25:G28,G35,G39:G40,G43:G50)</f>
        <v>141006.39999999999</v>
      </c>
      <c r="H24" s="514">
        <f t="shared" ref="H24:AI24" si="18">SUM(H25:H28,H35,H39:H40,H43:H50)</f>
        <v>141006.39999999999</v>
      </c>
      <c r="I24" s="514">
        <f>SUM(I25:I28,I35,I39:I40,I43:I50)</f>
        <v>141006.39999999999</v>
      </c>
      <c r="J24" s="514">
        <f>SUM(J25:J28,J35,J39:J40,J43:J50)</f>
        <v>141006.39999999999</v>
      </c>
      <c r="K24" s="514">
        <f>SUM(K25:K28,K35,K39:K40,K43:K50)</f>
        <v>141006.39999999999</v>
      </c>
      <c r="L24" s="514">
        <f>SUM(L25:L28,L35,L39:L40,L43:L50)</f>
        <v>141006.39999999999</v>
      </c>
      <c r="M24" s="514">
        <f>SUM(M25:M28,M35,M39:M40,M43:M50)</f>
        <v>141006.39999999999</v>
      </c>
      <c r="N24" s="514">
        <f t="shared" si="18"/>
        <v>141006.39999999999</v>
      </c>
      <c r="O24" s="514">
        <f t="shared" si="18"/>
        <v>141006.39999999999</v>
      </c>
      <c r="P24" s="514">
        <f t="shared" si="18"/>
        <v>141006.39999999999</v>
      </c>
      <c r="Q24" s="514">
        <f t="shared" si="18"/>
        <v>141006.39999999999</v>
      </c>
      <c r="R24" s="514">
        <f t="shared" si="18"/>
        <v>141006.39999999999</v>
      </c>
      <c r="S24" s="514">
        <f t="shared" si="18"/>
        <v>141006.39999999999</v>
      </c>
      <c r="T24" s="514">
        <f t="shared" si="18"/>
        <v>141006.39999999999</v>
      </c>
      <c r="U24" s="514">
        <f t="shared" si="18"/>
        <v>141006.39999999999</v>
      </c>
      <c r="V24" s="514">
        <f t="shared" si="18"/>
        <v>141006.39999999999</v>
      </c>
      <c r="W24" s="514">
        <f t="shared" si="18"/>
        <v>141006.39999999999</v>
      </c>
      <c r="X24" s="514">
        <f t="shared" si="18"/>
        <v>141006.39999999999</v>
      </c>
      <c r="Y24" s="514">
        <f t="shared" si="18"/>
        <v>141006.39999999999</v>
      </c>
      <c r="Z24" s="514">
        <f t="shared" si="18"/>
        <v>141006.39999999999</v>
      </c>
      <c r="AA24" s="514">
        <f t="shared" si="18"/>
        <v>141006.39999999999</v>
      </c>
      <c r="AB24" s="514">
        <f t="shared" si="18"/>
        <v>141006.39999999999</v>
      </c>
      <c r="AC24" s="514">
        <f t="shared" si="18"/>
        <v>141006.39999999999</v>
      </c>
      <c r="AD24" s="514">
        <f t="shared" si="18"/>
        <v>141006.39999999999</v>
      </c>
      <c r="AE24" s="514">
        <f t="shared" si="18"/>
        <v>141006.39999999999</v>
      </c>
      <c r="AF24" s="514">
        <f t="shared" si="18"/>
        <v>141006.39999999999</v>
      </c>
      <c r="AG24" s="514">
        <f t="shared" si="18"/>
        <v>141006.39999999999</v>
      </c>
      <c r="AH24" s="514">
        <f t="shared" si="18"/>
        <v>141006.39999999999</v>
      </c>
      <c r="AI24" s="514">
        <f t="shared" si="18"/>
        <v>141006.39999999999</v>
      </c>
    </row>
    <row r="25" spans="1:35" x14ac:dyDescent="0.2">
      <c r="A25" s="512" t="s">
        <v>12</v>
      </c>
      <c r="B25" s="512"/>
      <c r="C25" s="512" t="s">
        <v>60</v>
      </c>
      <c r="D25" s="512"/>
      <c r="E25" s="512">
        <v>0</v>
      </c>
      <c r="F25" s="514">
        <f>'Параметры проекта'!$B$23</f>
        <v>50000</v>
      </c>
      <c r="G25" s="514">
        <f>'Параметры проекта'!$B$23</f>
        <v>50000</v>
      </c>
      <c r="H25" s="514">
        <f>'Параметры проекта'!$B$23</f>
        <v>50000</v>
      </c>
      <c r="I25" s="514">
        <f>'Параметры проекта'!$B$23</f>
        <v>50000</v>
      </c>
      <c r="J25" s="514">
        <f>'Параметры проекта'!$B$23</f>
        <v>50000</v>
      </c>
      <c r="K25" s="514">
        <f>'Параметры проекта'!$B$23</f>
        <v>50000</v>
      </c>
      <c r="L25" s="514">
        <f>'Параметры проекта'!$B$23</f>
        <v>50000</v>
      </c>
      <c r="M25" s="514">
        <f>'Параметры проекта'!$B$23</f>
        <v>50000</v>
      </c>
      <c r="N25" s="514">
        <f>'Параметры проекта'!$B$23</f>
        <v>50000</v>
      </c>
      <c r="O25" s="514">
        <f>'Параметры проекта'!$B$23</f>
        <v>50000</v>
      </c>
      <c r="P25" s="514">
        <f>'Параметры проекта'!$B$23</f>
        <v>50000</v>
      </c>
      <c r="Q25" s="514">
        <f>'Параметры проекта'!$B$23</f>
        <v>50000</v>
      </c>
      <c r="R25" s="514">
        <f>'Параметры проекта'!$B$23</f>
        <v>50000</v>
      </c>
      <c r="S25" s="514">
        <f>'Параметры проекта'!$B$23</f>
        <v>50000</v>
      </c>
      <c r="T25" s="514">
        <f>'Параметры проекта'!$B$23</f>
        <v>50000</v>
      </c>
      <c r="U25" s="514">
        <f>'Параметры проекта'!$B$23</f>
        <v>50000</v>
      </c>
      <c r="V25" s="514">
        <f>'Параметры проекта'!$B$23</f>
        <v>50000</v>
      </c>
      <c r="W25" s="514">
        <f>'Параметры проекта'!$B$23</f>
        <v>50000</v>
      </c>
      <c r="X25" s="514">
        <f>'Параметры проекта'!$B$23</f>
        <v>50000</v>
      </c>
      <c r="Y25" s="514">
        <f>'Параметры проекта'!$B$23</f>
        <v>50000</v>
      </c>
      <c r="Z25" s="514">
        <f>'Параметры проекта'!$B$23</f>
        <v>50000</v>
      </c>
      <c r="AA25" s="514">
        <f>'Параметры проекта'!$B$23</f>
        <v>50000</v>
      </c>
      <c r="AB25" s="514">
        <f>'Параметры проекта'!$B$23</f>
        <v>50000</v>
      </c>
      <c r="AC25" s="514">
        <f>'Параметры проекта'!$B$23</f>
        <v>50000</v>
      </c>
      <c r="AD25" s="514">
        <f>'Параметры проекта'!$B$23</f>
        <v>50000</v>
      </c>
      <c r="AE25" s="514">
        <f>'Параметры проекта'!$B$23</f>
        <v>50000</v>
      </c>
      <c r="AF25" s="514">
        <f>'Параметры проекта'!$B$23</f>
        <v>50000</v>
      </c>
      <c r="AG25" s="514">
        <f>'Параметры проекта'!$B$23</f>
        <v>50000</v>
      </c>
      <c r="AH25" s="514">
        <f>'Параметры проекта'!$B$23</f>
        <v>50000</v>
      </c>
      <c r="AI25" s="514">
        <f>'Параметры проекта'!$B$23</f>
        <v>50000</v>
      </c>
    </row>
    <row r="26" spans="1:35" ht="11.25" customHeight="1" x14ac:dyDescent="0.2">
      <c r="A26" s="512" t="s">
        <v>13</v>
      </c>
      <c r="B26" s="512"/>
      <c r="C26" s="512"/>
      <c r="D26" s="512"/>
      <c r="E26" s="512"/>
      <c r="F26" s="514">
        <f>'Параметры проекта'!$B$24</f>
        <v>5000</v>
      </c>
      <c r="G26" s="514">
        <f>'Параметры проекта'!$B$24</f>
        <v>5000</v>
      </c>
      <c r="H26" s="514">
        <f>'Параметры проекта'!$B$24</f>
        <v>5000</v>
      </c>
      <c r="I26" s="514">
        <f>'Параметры проекта'!$B$24</f>
        <v>5000</v>
      </c>
      <c r="J26" s="514">
        <f>'Параметры проекта'!$B$24</f>
        <v>5000</v>
      </c>
      <c r="K26" s="514">
        <f>'Параметры проекта'!$B$24</f>
        <v>5000</v>
      </c>
      <c r="L26" s="514">
        <f>'Параметры проекта'!$B$24</f>
        <v>5000</v>
      </c>
      <c r="M26" s="514">
        <f>'Параметры проекта'!$B$24</f>
        <v>5000</v>
      </c>
      <c r="N26" s="514">
        <f>'Параметры проекта'!$B$24</f>
        <v>5000</v>
      </c>
      <c r="O26" s="514">
        <f>'Параметры проекта'!$B$24</f>
        <v>5000</v>
      </c>
      <c r="P26" s="514">
        <f>'Параметры проекта'!$B$24</f>
        <v>5000</v>
      </c>
      <c r="Q26" s="514">
        <f>'Параметры проекта'!$B$24</f>
        <v>5000</v>
      </c>
      <c r="R26" s="514">
        <f>'Параметры проекта'!$B$24</f>
        <v>5000</v>
      </c>
      <c r="S26" s="514">
        <f>'Параметры проекта'!$B$24</f>
        <v>5000</v>
      </c>
      <c r="T26" s="514">
        <f>'Параметры проекта'!$B$24</f>
        <v>5000</v>
      </c>
      <c r="U26" s="514">
        <f>'Параметры проекта'!$B$24</f>
        <v>5000</v>
      </c>
      <c r="V26" s="514">
        <f>'Параметры проекта'!$B$24</f>
        <v>5000</v>
      </c>
      <c r="W26" s="514">
        <f>'Параметры проекта'!$B$24</f>
        <v>5000</v>
      </c>
      <c r="X26" s="514">
        <f>'Параметры проекта'!$B$24</f>
        <v>5000</v>
      </c>
      <c r="Y26" s="514">
        <f>'Параметры проекта'!$B$24</f>
        <v>5000</v>
      </c>
      <c r="Z26" s="514">
        <f>'Параметры проекта'!$B$24</f>
        <v>5000</v>
      </c>
      <c r="AA26" s="514">
        <f>'Параметры проекта'!$B$24</f>
        <v>5000</v>
      </c>
      <c r="AB26" s="514">
        <f>'Параметры проекта'!$B$24</f>
        <v>5000</v>
      </c>
      <c r="AC26" s="514">
        <f>'Параметры проекта'!$B$24</f>
        <v>5000</v>
      </c>
      <c r="AD26" s="514">
        <f>'Параметры проекта'!$B$24</f>
        <v>5000</v>
      </c>
      <c r="AE26" s="514">
        <f>'Параметры проекта'!$B$24</f>
        <v>5000</v>
      </c>
      <c r="AF26" s="514">
        <f>'Параметры проекта'!$B$24</f>
        <v>5000</v>
      </c>
      <c r="AG26" s="514">
        <f>'Параметры проекта'!$B$24</f>
        <v>5000</v>
      </c>
      <c r="AH26" s="514">
        <f>'Параметры проекта'!$B$24</f>
        <v>5000</v>
      </c>
      <c r="AI26" s="514">
        <f>'Параметры проекта'!$B$24</f>
        <v>5000</v>
      </c>
    </row>
    <row r="27" spans="1:35" ht="1.5" customHeight="1" x14ac:dyDescent="0.2">
      <c r="A27" s="512"/>
      <c r="B27" s="512"/>
      <c r="C27" s="512"/>
      <c r="D27" s="512"/>
      <c r="E27" s="512"/>
      <c r="F27" s="514"/>
      <c r="G27" s="514"/>
      <c r="H27" s="514"/>
      <c r="I27" s="514"/>
      <c r="J27" s="514"/>
      <c r="K27" s="514"/>
      <c r="L27" s="514"/>
      <c r="M27" s="514"/>
      <c r="N27" s="514"/>
      <c r="O27" s="514"/>
      <c r="P27" s="514"/>
      <c r="Q27" s="514"/>
      <c r="R27" s="514"/>
      <c r="S27" s="514"/>
      <c r="T27" s="514"/>
      <c r="U27" s="514"/>
      <c r="V27" s="514"/>
      <c r="W27" s="514"/>
      <c r="X27" s="514"/>
      <c r="Y27" s="514"/>
      <c r="Z27" s="514"/>
      <c r="AA27" s="514"/>
      <c r="AB27" s="514"/>
      <c r="AC27" s="514"/>
      <c r="AD27" s="514"/>
      <c r="AE27" s="514"/>
      <c r="AF27" s="514"/>
      <c r="AG27" s="514"/>
      <c r="AH27" s="514"/>
      <c r="AI27" s="514"/>
    </row>
    <row r="28" spans="1:35" x14ac:dyDescent="0.2">
      <c r="A28" s="512" t="s">
        <v>52</v>
      </c>
      <c r="B28" s="512"/>
      <c r="C28" s="512"/>
      <c r="D28" s="512"/>
      <c r="E28" s="514">
        <v>0</v>
      </c>
      <c r="F28" s="514">
        <f>$H$68</f>
        <v>46000</v>
      </c>
      <c r="G28" s="514">
        <f t="shared" ref="G28:AI28" si="19">$H$68</f>
        <v>46000</v>
      </c>
      <c r="H28" s="514">
        <f t="shared" si="19"/>
        <v>46000</v>
      </c>
      <c r="I28" s="514">
        <f t="shared" si="19"/>
        <v>46000</v>
      </c>
      <c r="J28" s="514">
        <f t="shared" si="19"/>
        <v>46000</v>
      </c>
      <c r="K28" s="514">
        <f t="shared" si="19"/>
        <v>46000</v>
      </c>
      <c r="L28" s="514">
        <f t="shared" si="19"/>
        <v>46000</v>
      </c>
      <c r="M28" s="514">
        <f t="shared" si="19"/>
        <v>46000</v>
      </c>
      <c r="N28" s="514">
        <f t="shared" si="19"/>
        <v>46000</v>
      </c>
      <c r="O28" s="514">
        <f t="shared" si="19"/>
        <v>46000</v>
      </c>
      <c r="P28" s="514">
        <f t="shared" si="19"/>
        <v>46000</v>
      </c>
      <c r="Q28" s="514">
        <f t="shared" si="19"/>
        <v>46000</v>
      </c>
      <c r="R28" s="514">
        <f t="shared" si="19"/>
        <v>46000</v>
      </c>
      <c r="S28" s="514">
        <f t="shared" si="19"/>
        <v>46000</v>
      </c>
      <c r="T28" s="514">
        <f t="shared" si="19"/>
        <v>46000</v>
      </c>
      <c r="U28" s="514">
        <f t="shared" si="19"/>
        <v>46000</v>
      </c>
      <c r="V28" s="514">
        <f t="shared" si="19"/>
        <v>46000</v>
      </c>
      <c r="W28" s="514">
        <f t="shared" si="19"/>
        <v>46000</v>
      </c>
      <c r="X28" s="514">
        <f t="shared" si="19"/>
        <v>46000</v>
      </c>
      <c r="Y28" s="514">
        <f t="shared" si="19"/>
        <v>46000</v>
      </c>
      <c r="Z28" s="514">
        <f t="shared" si="19"/>
        <v>46000</v>
      </c>
      <c r="AA28" s="514">
        <f t="shared" si="19"/>
        <v>46000</v>
      </c>
      <c r="AB28" s="514">
        <f t="shared" si="19"/>
        <v>46000</v>
      </c>
      <c r="AC28" s="514">
        <f t="shared" si="19"/>
        <v>46000</v>
      </c>
      <c r="AD28" s="514">
        <f t="shared" si="19"/>
        <v>46000</v>
      </c>
      <c r="AE28" s="514">
        <f t="shared" si="19"/>
        <v>46000</v>
      </c>
      <c r="AF28" s="514">
        <f t="shared" si="19"/>
        <v>46000</v>
      </c>
      <c r="AG28" s="514">
        <f t="shared" si="19"/>
        <v>46000</v>
      </c>
      <c r="AH28" s="514">
        <f t="shared" si="19"/>
        <v>46000</v>
      </c>
      <c r="AI28" s="514">
        <f t="shared" si="19"/>
        <v>46000</v>
      </c>
    </row>
    <row r="29" spans="1:35" hidden="1" outlineLevel="1" x14ac:dyDescent="0.2">
      <c r="A29" s="512" t="s">
        <v>14</v>
      </c>
      <c r="B29" s="512">
        <v>2</v>
      </c>
      <c r="C29" s="512">
        <v>35000</v>
      </c>
      <c r="D29" s="512">
        <f>B29*C29</f>
        <v>70000</v>
      </c>
      <c r="E29" s="512"/>
      <c r="F29" s="514"/>
      <c r="G29" s="514"/>
      <c r="H29" s="514"/>
      <c r="I29" s="514"/>
      <c r="J29" s="514"/>
      <c r="K29" s="514"/>
      <c r="L29" s="514"/>
      <c r="M29" s="514"/>
      <c r="N29" s="514"/>
      <c r="O29" s="514"/>
      <c r="P29" s="514"/>
      <c r="Q29" s="514"/>
      <c r="R29" s="514"/>
      <c r="S29" s="514"/>
      <c r="T29" s="514"/>
      <c r="U29" s="514"/>
      <c r="V29" s="514"/>
      <c r="W29" s="514"/>
      <c r="X29" s="514"/>
      <c r="Y29" s="514"/>
      <c r="Z29" s="514"/>
      <c r="AA29" s="514"/>
      <c r="AB29" s="514"/>
      <c r="AC29" s="514"/>
      <c r="AD29" s="514"/>
      <c r="AE29" s="514"/>
      <c r="AF29" s="514"/>
      <c r="AG29" s="514"/>
      <c r="AH29" s="514"/>
      <c r="AI29" s="514"/>
    </row>
    <row r="30" spans="1:35" hidden="1" outlineLevel="1" x14ac:dyDescent="0.2">
      <c r="A30" s="512" t="s">
        <v>15</v>
      </c>
      <c r="B30" s="512">
        <v>0</v>
      </c>
      <c r="C30" s="512">
        <v>37000</v>
      </c>
      <c r="D30" s="512">
        <f t="shared" ref="D30:D31" si="20">B30*C30</f>
        <v>0</v>
      </c>
      <c r="E30" s="512"/>
      <c r="F30" s="514"/>
      <c r="G30" s="514"/>
      <c r="H30" s="514"/>
      <c r="I30" s="514"/>
      <c r="J30" s="514"/>
      <c r="K30" s="514"/>
      <c r="L30" s="514"/>
      <c r="M30" s="514"/>
      <c r="N30" s="514"/>
      <c r="O30" s="514"/>
      <c r="P30" s="514"/>
      <c r="Q30" s="514"/>
      <c r="R30" s="514"/>
      <c r="S30" s="514"/>
      <c r="T30" s="514"/>
      <c r="U30" s="514"/>
      <c r="V30" s="514"/>
      <c r="W30" s="514"/>
      <c r="X30" s="514"/>
      <c r="Y30" s="514"/>
      <c r="Z30" s="514"/>
      <c r="AA30" s="514"/>
      <c r="AB30" s="514"/>
      <c r="AC30" s="514"/>
      <c r="AD30" s="514"/>
      <c r="AE30" s="514"/>
      <c r="AF30" s="514"/>
      <c r="AG30" s="514"/>
      <c r="AH30" s="514"/>
      <c r="AI30" s="514"/>
    </row>
    <row r="31" spans="1:35" hidden="1" outlineLevel="1" x14ac:dyDescent="0.2">
      <c r="A31" s="512" t="s">
        <v>16</v>
      </c>
      <c r="B31" s="512">
        <v>0</v>
      </c>
      <c r="C31" s="512">
        <v>24000</v>
      </c>
      <c r="D31" s="512">
        <f t="shared" si="20"/>
        <v>0</v>
      </c>
      <c r="E31" s="512"/>
      <c r="F31" s="514"/>
      <c r="G31" s="514"/>
      <c r="H31" s="514"/>
      <c r="I31" s="514"/>
      <c r="J31" s="514"/>
      <c r="K31" s="514"/>
      <c r="L31" s="514"/>
      <c r="M31" s="514"/>
      <c r="N31" s="514"/>
      <c r="O31" s="514"/>
      <c r="P31" s="514"/>
      <c r="Q31" s="514"/>
      <c r="R31" s="514"/>
      <c r="S31" s="514"/>
      <c r="T31" s="514"/>
      <c r="U31" s="514"/>
      <c r="V31" s="514"/>
      <c r="W31" s="514"/>
      <c r="X31" s="514"/>
      <c r="Y31" s="514"/>
      <c r="Z31" s="514"/>
      <c r="AA31" s="514"/>
      <c r="AB31" s="514"/>
      <c r="AC31" s="514"/>
      <c r="AD31" s="514"/>
      <c r="AE31" s="514"/>
      <c r="AF31" s="514"/>
      <c r="AG31" s="514"/>
      <c r="AH31" s="514"/>
      <c r="AI31" s="514"/>
    </row>
    <row r="32" spans="1:35" hidden="1" outlineLevel="1" x14ac:dyDescent="0.2">
      <c r="A32" s="512" t="s">
        <v>17</v>
      </c>
      <c r="B32" s="512">
        <v>0</v>
      </c>
      <c r="C32" s="512"/>
      <c r="D32" s="512">
        <f>B32*C32</f>
        <v>0</v>
      </c>
      <c r="E32" s="512"/>
      <c r="F32" s="514"/>
      <c r="G32" s="514"/>
      <c r="H32" s="514"/>
      <c r="I32" s="514"/>
      <c r="J32" s="514"/>
      <c r="K32" s="514"/>
      <c r="L32" s="514"/>
      <c r="M32" s="514"/>
      <c r="N32" s="514"/>
      <c r="O32" s="514"/>
      <c r="P32" s="514"/>
      <c r="Q32" s="514"/>
      <c r="R32" s="514"/>
      <c r="S32" s="514"/>
      <c r="T32" s="514"/>
      <c r="U32" s="514"/>
      <c r="V32" s="514"/>
      <c r="W32" s="514"/>
      <c r="X32" s="514"/>
      <c r="Y32" s="514"/>
      <c r="Z32" s="514"/>
      <c r="AA32" s="514"/>
      <c r="AB32" s="514"/>
      <c r="AC32" s="514"/>
      <c r="AD32" s="514"/>
      <c r="AE32" s="514"/>
      <c r="AF32" s="514"/>
      <c r="AG32" s="514"/>
      <c r="AH32" s="514"/>
      <c r="AI32" s="514"/>
    </row>
    <row r="33" spans="1:35" hidden="1" outlineLevel="1" x14ac:dyDescent="0.2">
      <c r="A33" s="512" t="s">
        <v>18</v>
      </c>
      <c r="B33" s="512"/>
      <c r="C33" s="512"/>
      <c r="D33" s="512">
        <f>SUM(D29:D32)</f>
        <v>70000</v>
      </c>
      <c r="E33" s="512"/>
      <c r="F33" s="514"/>
      <c r="G33" s="514"/>
      <c r="H33" s="514"/>
      <c r="I33" s="514"/>
      <c r="J33" s="514"/>
      <c r="K33" s="514"/>
      <c r="L33" s="514"/>
      <c r="M33" s="514"/>
      <c r="N33" s="514"/>
      <c r="O33" s="514"/>
      <c r="P33" s="514"/>
      <c r="Q33" s="514"/>
      <c r="R33" s="514"/>
      <c r="S33" s="514"/>
      <c r="T33" s="514"/>
      <c r="U33" s="514"/>
      <c r="V33" s="514"/>
      <c r="W33" s="514"/>
      <c r="X33" s="514"/>
      <c r="Y33" s="514"/>
      <c r="Z33" s="514"/>
      <c r="AA33" s="514"/>
      <c r="AB33" s="514"/>
      <c r="AC33" s="514"/>
      <c r="AD33" s="514"/>
      <c r="AE33" s="514"/>
      <c r="AF33" s="514"/>
      <c r="AG33" s="514"/>
      <c r="AH33" s="514"/>
      <c r="AI33" s="514"/>
    </row>
    <row r="34" spans="1:35" hidden="1" outlineLevel="1" x14ac:dyDescent="0.2">
      <c r="A34" s="512" t="s">
        <v>19</v>
      </c>
      <c r="B34" s="512"/>
      <c r="C34" s="512"/>
      <c r="D34" s="512">
        <f>D33-D32</f>
        <v>70000</v>
      </c>
      <c r="E34" s="512"/>
      <c r="F34" s="514"/>
      <c r="G34" s="514"/>
      <c r="H34" s="514"/>
      <c r="I34" s="514"/>
      <c r="J34" s="514"/>
      <c r="K34" s="514"/>
      <c r="L34" s="514"/>
      <c r="M34" s="514"/>
      <c r="N34" s="514"/>
      <c r="O34" s="514"/>
      <c r="P34" s="514"/>
      <c r="Q34" s="514"/>
      <c r="R34" s="514"/>
      <c r="S34" s="514"/>
      <c r="T34" s="514"/>
      <c r="U34" s="514"/>
      <c r="V34" s="514"/>
      <c r="W34" s="514"/>
      <c r="X34" s="514"/>
      <c r="Y34" s="514"/>
      <c r="Z34" s="514"/>
      <c r="AA34" s="514"/>
      <c r="AB34" s="514"/>
      <c r="AC34" s="514"/>
      <c r="AD34" s="514"/>
      <c r="AE34" s="514"/>
      <c r="AF34" s="514"/>
      <c r="AG34" s="514"/>
      <c r="AH34" s="514"/>
      <c r="AI34" s="514"/>
    </row>
    <row r="35" spans="1:35" collapsed="1" x14ac:dyDescent="0.2">
      <c r="A35" s="512" t="s">
        <v>20</v>
      </c>
      <c r="B35" s="512">
        <f>B29+B30+B31</f>
        <v>2</v>
      </c>
      <c r="C35" s="512">
        <v>11000</v>
      </c>
      <c r="D35" s="519">
        <v>0.30199999999999999</v>
      </c>
      <c r="E35" s="512"/>
      <c r="F35" s="514">
        <f>$H$70</f>
        <v>7248</v>
      </c>
      <c r="G35" s="514">
        <f t="shared" ref="G35:AI35" si="21">$H$70</f>
        <v>7248</v>
      </c>
      <c r="H35" s="514">
        <f t="shared" si="21"/>
        <v>7248</v>
      </c>
      <c r="I35" s="514">
        <f t="shared" si="21"/>
        <v>7248</v>
      </c>
      <c r="J35" s="514">
        <f t="shared" si="21"/>
        <v>7248</v>
      </c>
      <c r="K35" s="514">
        <f t="shared" si="21"/>
        <v>7248</v>
      </c>
      <c r="L35" s="514">
        <f t="shared" si="21"/>
        <v>7248</v>
      </c>
      <c r="M35" s="514">
        <f t="shared" si="21"/>
        <v>7248</v>
      </c>
      <c r="N35" s="514">
        <f t="shared" si="21"/>
        <v>7248</v>
      </c>
      <c r="O35" s="514">
        <f t="shared" si="21"/>
        <v>7248</v>
      </c>
      <c r="P35" s="514">
        <f t="shared" si="21"/>
        <v>7248</v>
      </c>
      <c r="Q35" s="514">
        <f t="shared" si="21"/>
        <v>7248</v>
      </c>
      <c r="R35" s="514">
        <f t="shared" si="21"/>
        <v>7248</v>
      </c>
      <c r="S35" s="514">
        <f t="shared" si="21"/>
        <v>7248</v>
      </c>
      <c r="T35" s="514">
        <f t="shared" si="21"/>
        <v>7248</v>
      </c>
      <c r="U35" s="514">
        <f t="shared" si="21"/>
        <v>7248</v>
      </c>
      <c r="V35" s="514">
        <f t="shared" si="21"/>
        <v>7248</v>
      </c>
      <c r="W35" s="514">
        <f t="shared" si="21"/>
        <v>7248</v>
      </c>
      <c r="X35" s="514">
        <f t="shared" si="21"/>
        <v>7248</v>
      </c>
      <c r="Y35" s="514">
        <f t="shared" si="21"/>
        <v>7248</v>
      </c>
      <c r="Z35" s="514">
        <f t="shared" si="21"/>
        <v>7248</v>
      </c>
      <c r="AA35" s="514">
        <f t="shared" si="21"/>
        <v>7248</v>
      </c>
      <c r="AB35" s="514">
        <f t="shared" si="21"/>
        <v>7248</v>
      </c>
      <c r="AC35" s="514">
        <f t="shared" si="21"/>
        <v>7248</v>
      </c>
      <c r="AD35" s="514">
        <f t="shared" si="21"/>
        <v>7248</v>
      </c>
      <c r="AE35" s="514">
        <f t="shared" si="21"/>
        <v>7248</v>
      </c>
      <c r="AF35" s="514">
        <f t="shared" si="21"/>
        <v>7248</v>
      </c>
      <c r="AG35" s="514">
        <f t="shared" si="21"/>
        <v>7248</v>
      </c>
      <c r="AH35" s="514">
        <f t="shared" si="21"/>
        <v>7248</v>
      </c>
      <c r="AI35" s="514">
        <f t="shared" si="21"/>
        <v>7248</v>
      </c>
    </row>
    <row r="36" spans="1:35" hidden="1" outlineLevel="2" x14ac:dyDescent="0.2">
      <c r="A36" s="512"/>
      <c r="B36" s="512"/>
      <c r="C36" s="512" t="s">
        <v>21</v>
      </c>
      <c r="D36" s="512">
        <f>SUM(B29:B32)-B32</f>
        <v>2</v>
      </c>
      <c r="E36" s="512"/>
      <c r="F36" s="514"/>
      <c r="G36" s="514"/>
      <c r="H36" s="514"/>
      <c r="I36" s="514"/>
      <c r="J36" s="514"/>
      <c r="K36" s="514"/>
      <c r="L36" s="514"/>
      <c r="M36" s="514"/>
      <c r="N36" s="514"/>
      <c r="O36" s="514"/>
      <c r="P36" s="514"/>
      <c r="Q36" s="514"/>
      <c r="R36" s="514"/>
      <c r="S36" s="514"/>
      <c r="T36" s="514"/>
      <c r="U36" s="514"/>
      <c r="V36" s="514"/>
      <c r="W36" s="514"/>
      <c r="X36" s="514"/>
      <c r="Y36" s="514"/>
      <c r="Z36" s="514"/>
      <c r="AA36" s="514"/>
      <c r="AB36" s="514"/>
      <c r="AC36" s="514"/>
      <c r="AD36" s="514"/>
      <c r="AE36" s="514"/>
      <c r="AF36" s="514"/>
      <c r="AG36" s="514"/>
      <c r="AH36" s="514"/>
      <c r="AI36" s="514"/>
    </row>
    <row r="37" spans="1:35" hidden="1" outlineLevel="2" x14ac:dyDescent="0.2">
      <c r="A37" s="512"/>
      <c r="B37" s="512"/>
      <c r="C37" s="512" t="s">
        <v>22</v>
      </c>
      <c r="D37" s="512">
        <v>10000</v>
      </c>
      <c r="E37" s="512"/>
      <c r="F37" s="514"/>
      <c r="G37" s="514"/>
      <c r="H37" s="514"/>
      <c r="I37" s="514"/>
      <c r="J37" s="514"/>
      <c r="K37" s="514"/>
      <c r="L37" s="514"/>
      <c r="M37" s="514"/>
      <c r="N37" s="514"/>
      <c r="O37" s="514"/>
      <c r="P37" s="514"/>
      <c r="Q37" s="514"/>
      <c r="R37" s="514"/>
      <c r="S37" s="514"/>
      <c r="T37" s="514"/>
      <c r="U37" s="514"/>
      <c r="V37" s="514"/>
      <c r="W37" s="514"/>
      <c r="X37" s="514"/>
      <c r="Y37" s="514"/>
      <c r="Z37" s="514"/>
      <c r="AA37" s="514"/>
      <c r="AB37" s="514"/>
      <c r="AC37" s="514"/>
      <c r="AD37" s="514"/>
      <c r="AE37" s="514"/>
      <c r="AF37" s="514"/>
      <c r="AG37" s="514"/>
      <c r="AH37" s="514"/>
      <c r="AI37" s="514"/>
    </row>
    <row r="38" spans="1:35" hidden="1" outlineLevel="2" x14ac:dyDescent="0.2">
      <c r="A38" s="512"/>
      <c r="B38" s="512"/>
      <c r="C38" s="512" t="s">
        <v>23</v>
      </c>
      <c r="D38" s="520">
        <v>0.30199999999999999</v>
      </c>
      <c r="E38" s="512"/>
      <c r="F38" s="514"/>
      <c r="G38" s="514"/>
      <c r="H38" s="514"/>
      <c r="I38" s="514"/>
      <c r="J38" s="514"/>
      <c r="K38" s="514"/>
      <c r="L38" s="514"/>
      <c r="M38" s="514"/>
      <c r="N38" s="514"/>
      <c r="O38" s="514"/>
      <c r="P38" s="514"/>
      <c r="Q38" s="514"/>
      <c r="R38" s="514"/>
      <c r="S38" s="514"/>
      <c r="T38" s="514"/>
      <c r="U38" s="514"/>
      <c r="V38" s="514"/>
      <c r="W38" s="514"/>
      <c r="X38" s="514"/>
      <c r="Y38" s="514"/>
      <c r="Z38" s="514"/>
      <c r="AA38" s="514"/>
      <c r="AB38" s="514"/>
      <c r="AC38" s="514"/>
      <c r="AD38" s="514"/>
      <c r="AE38" s="514"/>
      <c r="AF38" s="514"/>
      <c r="AG38" s="514"/>
      <c r="AH38" s="514"/>
      <c r="AI38" s="514"/>
    </row>
    <row r="39" spans="1:35" collapsed="1" x14ac:dyDescent="0.2">
      <c r="A39" s="512" t="s">
        <v>24</v>
      </c>
      <c r="B39" s="512"/>
      <c r="C39" s="512"/>
      <c r="D39" s="512"/>
      <c r="E39" s="512"/>
      <c r="F39" s="514">
        <f>1300+200</f>
        <v>1500</v>
      </c>
      <c r="G39" s="514">
        <f t="shared" ref="G39:AI39" si="22">1300+200</f>
        <v>1500</v>
      </c>
      <c r="H39" s="514">
        <f t="shared" si="22"/>
        <v>1500</v>
      </c>
      <c r="I39" s="514">
        <f t="shared" si="22"/>
        <v>1500</v>
      </c>
      <c r="J39" s="514">
        <f t="shared" si="22"/>
        <v>1500</v>
      </c>
      <c r="K39" s="514">
        <f t="shared" si="22"/>
        <v>1500</v>
      </c>
      <c r="L39" s="514">
        <f t="shared" si="22"/>
        <v>1500</v>
      </c>
      <c r="M39" s="514">
        <f t="shared" si="22"/>
        <v>1500</v>
      </c>
      <c r="N39" s="514">
        <f t="shared" si="22"/>
        <v>1500</v>
      </c>
      <c r="O39" s="514">
        <f t="shared" si="22"/>
        <v>1500</v>
      </c>
      <c r="P39" s="514">
        <f t="shared" si="22"/>
        <v>1500</v>
      </c>
      <c r="Q39" s="514">
        <f t="shared" si="22"/>
        <v>1500</v>
      </c>
      <c r="R39" s="514">
        <f t="shared" si="22"/>
        <v>1500</v>
      </c>
      <c r="S39" s="514">
        <f t="shared" si="22"/>
        <v>1500</v>
      </c>
      <c r="T39" s="514">
        <f t="shared" si="22"/>
        <v>1500</v>
      </c>
      <c r="U39" s="514">
        <f t="shared" si="22"/>
        <v>1500</v>
      </c>
      <c r="V39" s="514">
        <f t="shared" si="22"/>
        <v>1500</v>
      </c>
      <c r="W39" s="514">
        <f t="shared" si="22"/>
        <v>1500</v>
      </c>
      <c r="X39" s="514">
        <f t="shared" si="22"/>
        <v>1500</v>
      </c>
      <c r="Y39" s="514">
        <f t="shared" si="22"/>
        <v>1500</v>
      </c>
      <c r="Z39" s="514">
        <f t="shared" si="22"/>
        <v>1500</v>
      </c>
      <c r="AA39" s="514">
        <f t="shared" si="22"/>
        <v>1500</v>
      </c>
      <c r="AB39" s="514">
        <f t="shared" si="22"/>
        <v>1500</v>
      </c>
      <c r="AC39" s="514">
        <f t="shared" si="22"/>
        <v>1500</v>
      </c>
      <c r="AD39" s="514">
        <f t="shared" si="22"/>
        <v>1500</v>
      </c>
      <c r="AE39" s="514">
        <f t="shared" si="22"/>
        <v>1500</v>
      </c>
      <c r="AF39" s="514">
        <f t="shared" si="22"/>
        <v>1500</v>
      </c>
      <c r="AG39" s="514">
        <f t="shared" si="22"/>
        <v>1500</v>
      </c>
      <c r="AH39" s="514">
        <f t="shared" si="22"/>
        <v>1500</v>
      </c>
      <c r="AI39" s="514">
        <f t="shared" si="22"/>
        <v>1500</v>
      </c>
    </row>
    <row r="40" spans="1:35" x14ac:dyDescent="0.2">
      <c r="A40" s="512" t="s">
        <v>25</v>
      </c>
      <c r="B40" s="512"/>
      <c r="C40" s="512"/>
      <c r="D40" s="512"/>
      <c r="E40" s="512"/>
      <c r="F40" s="514">
        <f t="shared" ref="F40:AI40" si="23">F41+F42</f>
        <v>5000</v>
      </c>
      <c r="G40" s="514">
        <f t="shared" si="23"/>
        <v>5000</v>
      </c>
      <c r="H40" s="514">
        <f t="shared" si="23"/>
        <v>5000</v>
      </c>
      <c r="I40" s="514">
        <f t="shared" si="23"/>
        <v>5000</v>
      </c>
      <c r="J40" s="514">
        <f t="shared" si="23"/>
        <v>5000</v>
      </c>
      <c r="K40" s="514">
        <f>K41+K42</f>
        <v>5000</v>
      </c>
      <c r="L40" s="514">
        <f t="shared" si="23"/>
        <v>5000</v>
      </c>
      <c r="M40" s="514">
        <f t="shared" si="23"/>
        <v>5000</v>
      </c>
      <c r="N40" s="514">
        <f t="shared" si="23"/>
        <v>5000</v>
      </c>
      <c r="O40" s="514">
        <f t="shared" si="23"/>
        <v>5000</v>
      </c>
      <c r="P40" s="514">
        <f t="shared" si="23"/>
        <v>5000</v>
      </c>
      <c r="Q40" s="514">
        <f t="shared" si="23"/>
        <v>5000</v>
      </c>
      <c r="R40" s="514">
        <f t="shared" si="23"/>
        <v>5000</v>
      </c>
      <c r="S40" s="514">
        <f t="shared" si="23"/>
        <v>5000</v>
      </c>
      <c r="T40" s="514">
        <f t="shared" si="23"/>
        <v>5000</v>
      </c>
      <c r="U40" s="514">
        <f t="shared" si="23"/>
        <v>5000</v>
      </c>
      <c r="V40" s="514">
        <f t="shared" si="23"/>
        <v>5000</v>
      </c>
      <c r="W40" s="514">
        <f t="shared" si="23"/>
        <v>5000</v>
      </c>
      <c r="X40" s="514">
        <f t="shared" si="23"/>
        <v>5000</v>
      </c>
      <c r="Y40" s="514">
        <f t="shared" si="23"/>
        <v>5000</v>
      </c>
      <c r="Z40" s="514">
        <f t="shared" si="23"/>
        <v>5000</v>
      </c>
      <c r="AA40" s="514">
        <f t="shared" si="23"/>
        <v>5000</v>
      </c>
      <c r="AB40" s="514">
        <f t="shared" si="23"/>
        <v>5000</v>
      </c>
      <c r="AC40" s="514">
        <f t="shared" si="23"/>
        <v>5000</v>
      </c>
      <c r="AD40" s="514">
        <f t="shared" si="23"/>
        <v>5000</v>
      </c>
      <c r="AE40" s="514">
        <f t="shared" si="23"/>
        <v>5000</v>
      </c>
      <c r="AF40" s="514">
        <f t="shared" si="23"/>
        <v>5000</v>
      </c>
      <c r="AG40" s="514">
        <f t="shared" si="23"/>
        <v>5000</v>
      </c>
      <c r="AH40" s="514">
        <f t="shared" si="23"/>
        <v>5000</v>
      </c>
      <c r="AI40" s="514">
        <f t="shared" si="23"/>
        <v>5000</v>
      </c>
    </row>
    <row r="41" spans="1:35" hidden="1" x14ac:dyDescent="0.2">
      <c r="A41" s="512" t="s">
        <v>26</v>
      </c>
      <c r="B41" s="512"/>
      <c r="C41" s="512"/>
      <c r="D41" s="512"/>
      <c r="E41" s="512"/>
      <c r="F41" s="514">
        <v>1000</v>
      </c>
      <c r="G41" s="514">
        <v>1000</v>
      </c>
      <c r="H41" s="514">
        <v>1000</v>
      </c>
      <c r="I41" s="514">
        <v>1000</v>
      </c>
      <c r="J41" s="514">
        <v>1000</v>
      </c>
      <c r="K41" s="514">
        <v>1000</v>
      </c>
      <c r="L41" s="514">
        <v>1000</v>
      </c>
      <c r="M41" s="514">
        <v>1000</v>
      </c>
      <c r="N41" s="514">
        <v>1000</v>
      </c>
      <c r="O41" s="514">
        <v>1000</v>
      </c>
      <c r="P41" s="514">
        <v>1000</v>
      </c>
      <c r="Q41" s="514">
        <v>1000</v>
      </c>
      <c r="R41" s="514">
        <v>1000</v>
      </c>
      <c r="S41" s="514">
        <v>1000</v>
      </c>
      <c r="T41" s="514">
        <v>1000</v>
      </c>
      <c r="U41" s="514">
        <v>1000</v>
      </c>
      <c r="V41" s="514">
        <v>1000</v>
      </c>
      <c r="W41" s="514">
        <v>1000</v>
      </c>
      <c r="X41" s="514">
        <v>1000</v>
      </c>
      <c r="Y41" s="514">
        <v>1000</v>
      </c>
      <c r="Z41" s="514">
        <v>1000</v>
      </c>
      <c r="AA41" s="514">
        <v>1000</v>
      </c>
      <c r="AB41" s="514">
        <v>1000</v>
      </c>
      <c r="AC41" s="514">
        <v>1000</v>
      </c>
      <c r="AD41" s="514">
        <v>1000</v>
      </c>
      <c r="AE41" s="514">
        <v>1000</v>
      </c>
      <c r="AF41" s="514">
        <v>1000</v>
      </c>
      <c r="AG41" s="514">
        <v>1000</v>
      </c>
      <c r="AH41" s="514">
        <v>1000</v>
      </c>
      <c r="AI41" s="514">
        <v>1000</v>
      </c>
    </row>
    <row r="42" spans="1:35" hidden="1" x14ac:dyDescent="0.2">
      <c r="A42" s="512" t="s">
        <v>27</v>
      </c>
      <c r="B42" s="512"/>
      <c r="C42" s="512"/>
      <c r="D42" s="512"/>
      <c r="E42" s="512"/>
      <c r="F42" s="514">
        <v>4000</v>
      </c>
      <c r="G42" s="514">
        <v>4000</v>
      </c>
      <c r="H42" s="514">
        <v>4000</v>
      </c>
      <c r="I42" s="514">
        <v>4000</v>
      </c>
      <c r="J42" s="514">
        <v>4000</v>
      </c>
      <c r="K42" s="514">
        <v>4000</v>
      </c>
      <c r="L42" s="514">
        <v>4000</v>
      </c>
      <c r="M42" s="514">
        <v>4000</v>
      </c>
      <c r="N42" s="514">
        <v>4000</v>
      </c>
      <c r="O42" s="514">
        <v>4000</v>
      </c>
      <c r="P42" s="514">
        <v>4000</v>
      </c>
      <c r="Q42" s="514">
        <v>4000</v>
      </c>
      <c r="R42" s="514">
        <v>4000</v>
      </c>
      <c r="S42" s="514">
        <v>4000</v>
      </c>
      <c r="T42" s="514">
        <v>4000</v>
      </c>
      <c r="U42" s="514">
        <v>4000</v>
      </c>
      <c r="V42" s="514">
        <v>4000</v>
      </c>
      <c r="W42" s="514">
        <v>4000</v>
      </c>
      <c r="X42" s="514">
        <v>4000</v>
      </c>
      <c r="Y42" s="514">
        <v>4000</v>
      </c>
      <c r="Z42" s="514">
        <v>4000</v>
      </c>
      <c r="AA42" s="514">
        <v>4000</v>
      </c>
      <c r="AB42" s="514">
        <v>4000</v>
      </c>
      <c r="AC42" s="514">
        <v>4000</v>
      </c>
      <c r="AD42" s="514">
        <v>4000</v>
      </c>
      <c r="AE42" s="514">
        <v>4000</v>
      </c>
      <c r="AF42" s="514">
        <v>4000</v>
      </c>
      <c r="AG42" s="514">
        <v>4000</v>
      </c>
      <c r="AH42" s="514">
        <v>4000</v>
      </c>
      <c r="AI42" s="514">
        <v>4000</v>
      </c>
    </row>
    <row r="43" spans="1:35" x14ac:dyDescent="0.2">
      <c r="A43" s="512" t="s">
        <v>28</v>
      </c>
      <c r="B43" s="512"/>
      <c r="C43" s="512"/>
      <c r="D43" s="512"/>
      <c r="E43" s="512"/>
      <c r="F43" s="514">
        <v>5000</v>
      </c>
      <c r="G43" s="514">
        <v>5000</v>
      </c>
      <c r="H43" s="514">
        <v>5000</v>
      </c>
      <c r="I43" s="514">
        <v>5000</v>
      </c>
      <c r="J43" s="514">
        <v>5000</v>
      </c>
      <c r="K43" s="514">
        <v>5000</v>
      </c>
      <c r="L43" s="514">
        <v>5000</v>
      </c>
      <c r="M43" s="514">
        <v>5000</v>
      </c>
      <c r="N43" s="514">
        <v>5000</v>
      </c>
      <c r="O43" s="514">
        <v>5000</v>
      </c>
      <c r="P43" s="514">
        <v>5000</v>
      </c>
      <c r="Q43" s="514">
        <v>5000</v>
      </c>
      <c r="R43" s="514">
        <v>5000</v>
      </c>
      <c r="S43" s="514">
        <v>5000</v>
      </c>
      <c r="T43" s="514">
        <v>5000</v>
      </c>
      <c r="U43" s="514">
        <v>5000</v>
      </c>
      <c r="V43" s="514">
        <v>5000</v>
      </c>
      <c r="W43" s="514">
        <v>5000</v>
      </c>
      <c r="X43" s="514">
        <v>5000</v>
      </c>
      <c r="Y43" s="514">
        <v>5000</v>
      </c>
      <c r="Z43" s="514">
        <v>5000</v>
      </c>
      <c r="AA43" s="514">
        <v>5000</v>
      </c>
      <c r="AB43" s="514">
        <v>5000</v>
      </c>
      <c r="AC43" s="514">
        <v>5000</v>
      </c>
      <c r="AD43" s="514">
        <v>5000</v>
      </c>
      <c r="AE43" s="514">
        <v>5000</v>
      </c>
      <c r="AF43" s="514">
        <v>5000</v>
      </c>
      <c r="AG43" s="514">
        <v>5000</v>
      </c>
      <c r="AH43" s="514">
        <v>5000</v>
      </c>
      <c r="AI43" s="514">
        <v>5000</v>
      </c>
    </row>
    <row r="44" spans="1:35" x14ac:dyDescent="0.2">
      <c r="A44" s="512" t="s">
        <v>29</v>
      </c>
      <c r="B44" s="512"/>
      <c r="C44" s="512"/>
      <c r="D44" s="512"/>
      <c r="E44" s="512"/>
      <c r="F44" s="514">
        <v>3000</v>
      </c>
      <c r="G44" s="514">
        <v>3000</v>
      </c>
      <c r="H44" s="514">
        <v>3000</v>
      </c>
      <c r="I44" s="514">
        <v>3000</v>
      </c>
      <c r="J44" s="514">
        <v>3000</v>
      </c>
      <c r="K44" s="514">
        <v>3000</v>
      </c>
      <c r="L44" s="514">
        <v>3000</v>
      </c>
      <c r="M44" s="514">
        <v>3000</v>
      </c>
      <c r="N44" s="514">
        <v>3000</v>
      </c>
      <c r="O44" s="514">
        <v>3000</v>
      </c>
      <c r="P44" s="514">
        <v>3000</v>
      </c>
      <c r="Q44" s="514">
        <v>3000</v>
      </c>
      <c r="R44" s="514">
        <v>3000</v>
      </c>
      <c r="S44" s="514">
        <v>3000</v>
      </c>
      <c r="T44" s="514">
        <v>3000</v>
      </c>
      <c r="U44" s="514">
        <v>3000</v>
      </c>
      <c r="V44" s="514">
        <v>3000</v>
      </c>
      <c r="W44" s="514">
        <v>3000</v>
      </c>
      <c r="X44" s="514">
        <v>3000</v>
      </c>
      <c r="Y44" s="514">
        <v>3000</v>
      </c>
      <c r="Z44" s="514">
        <v>3000</v>
      </c>
      <c r="AA44" s="514">
        <v>3000</v>
      </c>
      <c r="AB44" s="514">
        <v>3000</v>
      </c>
      <c r="AC44" s="514">
        <v>3000</v>
      </c>
      <c r="AD44" s="514">
        <v>3000</v>
      </c>
      <c r="AE44" s="514">
        <v>3000</v>
      </c>
      <c r="AF44" s="514">
        <v>3000</v>
      </c>
      <c r="AG44" s="514">
        <v>3000</v>
      </c>
      <c r="AH44" s="514">
        <v>3000</v>
      </c>
      <c r="AI44" s="514">
        <v>3000</v>
      </c>
    </row>
    <row r="45" spans="1:35" x14ac:dyDescent="0.2">
      <c r="A45" s="512" t="s">
        <v>97</v>
      </c>
      <c r="B45" s="512"/>
      <c r="C45" s="512"/>
      <c r="D45" s="512"/>
      <c r="E45" s="512"/>
      <c r="F45" s="514">
        <v>5000</v>
      </c>
      <c r="G45" s="514">
        <v>5000</v>
      </c>
      <c r="H45" s="514">
        <v>5000</v>
      </c>
      <c r="I45" s="514">
        <v>5000</v>
      </c>
      <c r="J45" s="514">
        <v>5000</v>
      </c>
      <c r="K45" s="514">
        <v>5000</v>
      </c>
      <c r="L45" s="514">
        <v>5000</v>
      </c>
      <c r="M45" s="514">
        <v>5000</v>
      </c>
      <c r="N45" s="514">
        <v>5000</v>
      </c>
      <c r="O45" s="514">
        <v>5000</v>
      </c>
      <c r="P45" s="514">
        <v>5000</v>
      </c>
      <c r="Q45" s="514">
        <v>5000</v>
      </c>
      <c r="R45" s="514">
        <v>5000</v>
      </c>
      <c r="S45" s="514">
        <v>5000</v>
      </c>
      <c r="T45" s="514">
        <v>5000</v>
      </c>
      <c r="U45" s="514">
        <v>5000</v>
      </c>
      <c r="V45" s="514">
        <v>5000</v>
      </c>
      <c r="W45" s="514">
        <v>5000</v>
      </c>
      <c r="X45" s="514">
        <v>5000</v>
      </c>
      <c r="Y45" s="514">
        <v>5000</v>
      </c>
      <c r="Z45" s="514">
        <v>5000</v>
      </c>
      <c r="AA45" s="514">
        <v>5000</v>
      </c>
      <c r="AB45" s="514">
        <v>5000</v>
      </c>
      <c r="AC45" s="514">
        <v>5000</v>
      </c>
      <c r="AD45" s="514">
        <v>5000</v>
      </c>
      <c r="AE45" s="514">
        <v>5000</v>
      </c>
      <c r="AF45" s="514">
        <v>5000</v>
      </c>
      <c r="AG45" s="514">
        <v>5000</v>
      </c>
      <c r="AH45" s="514">
        <v>5000</v>
      </c>
      <c r="AI45" s="514">
        <v>5000</v>
      </c>
    </row>
    <row r="46" spans="1:35" x14ac:dyDescent="0.2">
      <c r="A46" s="512" t="s">
        <v>44</v>
      </c>
      <c r="B46" s="512"/>
      <c r="C46" s="512" t="s">
        <v>30</v>
      </c>
      <c r="D46" s="515">
        <v>1.6E-2</v>
      </c>
      <c r="E46" s="512"/>
      <c r="F46" s="514">
        <f t="shared" ref="F46:AI46" si="24">F13*$D46</f>
        <v>3168</v>
      </c>
      <c r="G46" s="514">
        <f t="shared" si="24"/>
        <v>3168</v>
      </c>
      <c r="H46" s="514">
        <f t="shared" si="24"/>
        <v>3168</v>
      </c>
      <c r="I46" s="514">
        <f t="shared" si="24"/>
        <v>3168</v>
      </c>
      <c r="J46" s="514">
        <f t="shared" si="24"/>
        <v>3168</v>
      </c>
      <c r="K46" s="514">
        <f t="shared" si="24"/>
        <v>3168</v>
      </c>
      <c r="L46" s="514">
        <f t="shared" si="24"/>
        <v>3168</v>
      </c>
      <c r="M46" s="514">
        <f t="shared" si="24"/>
        <v>3168</v>
      </c>
      <c r="N46" s="514">
        <f t="shared" si="24"/>
        <v>3168</v>
      </c>
      <c r="O46" s="514">
        <f t="shared" si="24"/>
        <v>3168</v>
      </c>
      <c r="P46" s="514">
        <f t="shared" si="24"/>
        <v>3168</v>
      </c>
      <c r="Q46" s="514">
        <f t="shared" si="24"/>
        <v>3168</v>
      </c>
      <c r="R46" s="514">
        <f t="shared" si="24"/>
        <v>3168</v>
      </c>
      <c r="S46" s="514">
        <f t="shared" si="24"/>
        <v>3168</v>
      </c>
      <c r="T46" s="514">
        <f t="shared" si="24"/>
        <v>3168</v>
      </c>
      <c r="U46" s="514">
        <f t="shared" si="24"/>
        <v>3168</v>
      </c>
      <c r="V46" s="514">
        <f t="shared" si="24"/>
        <v>3168</v>
      </c>
      <c r="W46" s="514">
        <f t="shared" si="24"/>
        <v>3168</v>
      </c>
      <c r="X46" s="514">
        <f t="shared" si="24"/>
        <v>3168</v>
      </c>
      <c r="Y46" s="514">
        <f t="shared" si="24"/>
        <v>3168</v>
      </c>
      <c r="Z46" s="514">
        <f t="shared" si="24"/>
        <v>3168</v>
      </c>
      <c r="AA46" s="514">
        <f t="shared" si="24"/>
        <v>3168</v>
      </c>
      <c r="AB46" s="514">
        <f t="shared" si="24"/>
        <v>3168</v>
      </c>
      <c r="AC46" s="514">
        <f t="shared" si="24"/>
        <v>3168</v>
      </c>
      <c r="AD46" s="514">
        <f t="shared" si="24"/>
        <v>3168</v>
      </c>
      <c r="AE46" s="514">
        <f t="shared" si="24"/>
        <v>3168</v>
      </c>
      <c r="AF46" s="514">
        <f t="shared" si="24"/>
        <v>3168</v>
      </c>
      <c r="AG46" s="514">
        <f t="shared" si="24"/>
        <v>3168</v>
      </c>
      <c r="AH46" s="514">
        <f t="shared" si="24"/>
        <v>3168</v>
      </c>
      <c r="AI46" s="514">
        <f t="shared" si="24"/>
        <v>3168</v>
      </c>
    </row>
    <row r="47" spans="1:35" x14ac:dyDescent="0.2">
      <c r="A47" s="512" t="s">
        <v>31</v>
      </c>
      <c r="B47" s="512"/>
      <c r="C47" s="512" t="s">
        <v>30</v>
      </c>
      <c r="D47" s="515">
        <v>5.1999999999999998E-3</v>
      </c>
      <c r="E47" s="512"/>
      <c r="F47" s="514">
        <f t="shared" ref="F47:AI47" si="25">F14*$D47</f>
        <v>2090.4</v>
      </c>
      <c r="G47" s="514">
        <f t="shared" si="25"/>
        <v>2090.4</v>
      </c>
      <c r="H47" s="514">
        <f t="shared" si="25"/>
        <v>2090.4</v>
      </c>
      <c r="I47" s="514">
        <f t="shared" si="25"/>
        <v>2090.4</v>
      </c>
      <c r="J47" s="514">
        <f t="shared" si="25"/>
        <v>2090.4</v>
      </c>
      <c r="K47" s="514">
        <f t="shared" si="25"/>
        <v>2090.4</v>
      </c>
      <c r="L47" s="514">
        <f t="shared" si="25"/>
        <v>2090.4</v>
      </c>
      <c r="M47" s="514">
        <f t="shared" si="25"/>
        <v>2090.4</v>
      </c>
      <c r="N47" s="514">
        <f t="shared" si="25"/>
        <v>2090.4</v>
      </c>
      <c r="O47" s="514">
        <f t="shared" si="25"/>
        <v>2090.4</v>
      </c>
      <c r="P47" s="514">
        <f t="shared" si="25"/>
        <v>2090.4</v>
      </c>
      <c r="Q47" s="514">
        <f t="shared" si="25"/>
        <v>2090.4</v>
      </c>
      <c r="R47" s="514">
        <f t="shared" si="25"/>
        <v>2090.4</v>
      </c>
      <c r="S47" s="514">
        <f t="shared" si="25"/>
        <v>2090.4</v>
      </c>
      <c r="T47" s="514">
        <f t="shared" si="25"/>
        <v>2090.4</v>
      </c>
      <c r="U47" s="514">
        <f t="shared" si="25"/>
        <v>2090.4</v>
      </c>
      <c r="V47" s="514">
        <f t="shared" si="25"/>
        <v>2090.4</v>
      </c>
      <c r="W47" s="514">
        <f t="shared" si="25"/>
        <v>2090.4</v>
      </c>
      <c r="X47" s="514">
        <f t="shared" si="25"/>
        <v>2090.4</v>
      </c>
      <c r="Y47" s="514">
        <f t="shared" si="25"/>
        <v>2090.4</v>
      </c>
      <c r="Z47" s="514">
        <f t="shared" si="25"/>
        <v>2090.4</v>
      </c>
      <c r="AA47" s="514">
        <f t="shared" si="25"/>
        <v>2090.4</v>
      </c>
      <c r="AB47" s="514">
        <f t="shared" si="25"/>
        <v>2090.4</v>
      </c>
      <c r="AC47" s="514">
        <f t="shared" si="25"/>
        <v>2090.4</v>
      </c>
      <c r="AD47" s="514">
        <f t="shared" si="25"/>
        <v>2090.4</v>
      </c>
      <c r="AE47" s="514">
        <f t="shared" si="25"/>
        <v>2090.4</v>
      </c>
      <c r="AF47" s="514">
        <f t="shared" si="25"/>
        <v>2090.4</v>
      </c>
      <c r="AG47" s="514">
        <f t="shared" si="25"/>
        <v>2090.4</v>
      </c>
      <c r="AH47" s="514">
        <f t="shared" si="25"/>
        <v>2090.4</v>
      </c>
      <c r="AI47" s="514">
        <f t="shared" si="25"/>
        <v>2090.4</v>
      </c>
    </row>
    <row r="48" spans="1:35" x14ac:dyDescent="0.2">
      <c r="A48" s="512" t="s">
        <v>91</v>
      </c>
      <c r="B48" s="512"/>
      <c r="C48" s="512"/>
      <c r="D48" s="512"/>
      <c r="E48" s="512"/>
      <c r="F48" s="514">
        <v>7000</v>
      </c>
      <c r="G48" s="514">
        <v>7000</v>
      </c>
      <c r="H48" s="514">
        <v>7000</v>
      </c>
      <c r="I48" s="514">
        <v>7000</v>
      </c>
      <c r="J48" s="514">
        <v>7000</v>
      </c>
      <c r="K48" s="514">
        <v>7000</v>
      </c>
      <c r="L48" s="514">
        <v>7000</v>
      </c>
      <c r="M48" s="514">
        <v>7000</v>
      </c>
      <c r="N48" s="514">
        <v>7000</v>
      </c>
      <c r="O48" s="514">
        <v>7000</v>
      </c>
      <c r="P48" s="514">
        <v>7000</v>
      </c>
      <c r="Q48" s="514">
        <v>7000</v>
      </c>
      <c r="R48" s="514">
        <v>7000</v>
      </c>
      <c r="S48" s="514">
        <v>7000</v>
      </c>
      <c r="T48" s="514">
        <v>7000</v>
      </c>
      <c r="U48" s="514">
        <v>7000</v>
      </c>
      <c r="V48" s="514">
        <v>7000</v>
      </c>
      <c r="W48" s="514">
        <v>7000</v>
      </c>
      <c r="X48" s="514">
        <v>7000</v>
      </c>
      <c r="Y48" s="514">
        <v>7000</v>
      </c>
      <c r="Z48" s="514">
        <v>7000</v>
      </c>
      <c r="AA48" s="514">
        <v>7000</v>
      </c>
      <c r="AB48" s="514">
        <v>7000</v>
      </c>
      <c r="AC48" s="514">
        <v>7000</v>
      </c>
      <c r="AD48" s="514">
        <v>7000</v>
      </c>
      <c r="AE48" s="514">
        <v>7000</v>
      </c>
      <c r="AF48" s="514">
        <v>7000</v>
      </c>
      <c r="AG48" s="514">
        <v>7000</v>
      </c>
      <c r="AH48" s="514">
        <v>7000</v>
      </c>
      <c r="AI48" s="514">
        <v>7000</v>
      </c>
    </row>
    <row r="49" spans="1:36" x14ac:dyDescent="0.2">
      <c r="A49" s="512" t="s">
        <v>32</v>
      </c>
      <c r="B49" s="512"/>
      <c r="C49" s="512"/>
      <c r="D49" s="512"/>
      <c r="E49" s="512"/>
      <c r="F49" s="514">
        <v>1000</v>
      </c>
      <c r="G49" s="514">
        <v>1000</v>
      </c>
      <c r="H49" s="514">
        <v>1000</v>
      </c>
      <c r="I49" s="514">
        <v>1000</v>
      </c>
      <c r="J49" s="514">
        <v>1000</v>
      </c>
      <c r="K49" s="514">
        <v>1000</v>
      </c>
      <c r="L49" s="514">
        <v>1000</v>
      </c>
      <c r="M49" s="514">
        <v>1000</v>
      </c>
      <c r="N49" s="514">
        <v>1000</v>
      </c>
      <c r="O49" s="514">
        <v>1000</v>
      </c>
      <c r="P49" s="514">
        <v>1000</v>
      </c>
      <c r="Q49" s="514">
        <v>1000</v>
      </c>
      <c r="R49" s="514">
        <v>1000</v>
      </c>
      <c r="S49" s="514">
        <v>1000</v>
      </c>
      <c r="T49" s="514">
        <v>1000</v>
      </c>
      <c r="U49" s="514">
        <v>1000</v>
      </c>
      <c r="V49" s="514">
        <v>1000</v>
      </c>
      <c r="W49" s="514">
        <v>1000</v>
      </c>
      <c r="X49" s="514">
        <v>1000</v>
      </c>
      <c r="Y49" s="514">
        <v>1000</v>
      </c>
      <c r="Z49" s="514">
        <v>1000</v>
      </c>
      <c r="AA49" s="514">
        <v>1000</v>
      </c>
      <c r="AB49" s="514">
        <v>1000</v>
      </c>
      <c r="AC49" s="514">
        <v>1000</v>
      </c>
      <c r="AD49" s="514">
        <v>1000</v>
      </c>
      <c r="AE49" s="514">
        <v>1000</v>
      </c>
      <c r="AF49" s="514">
        <v>1000</v>
      </c>
      <c r="AG49" s="514">
        <v>1000</v>
      </c>
      <c r="AH49" s="514">
        <v>1000</v>
      </c>
      <c r="AI49" s="514">
        <v>1000</v>
      </c>
    </row>
    <row r="50" spans="1:36" hidden="1" x14ac:dyDescent="0.2">
      <c r="A50" s="507"/>
      <c r="B50" s="512"/>
      <c r="C50" s="512"/>
      <c r="D50" s="512"/>
      <c r="E50" s="512"/>
      <c r="F50" s="514">
        <v>0</v>
      </c>
      <c r="G50" s="514">
        <v>0</v>
      </c>
      <c r="H50" s="514">
        <v>0</v>
      </c>
      <c r="I50" s="514">
        <v>0</v>
      </c>
      <c r="J50" s="514">
        <v>0</v>
      </c>
      <c r="K50" s="514">
        <v>0</v>
      </c>
      <c r="L50" s="514">
        <v>0</v>
      </c>
      <c r="M50" s="514">
        <v>0</v>
      </c>
      <c r="N50" s="514">
        <v>0</v>
      </c>
      <c r="O50" s="514">
        <v>0</v>
      </c>
      <c r="P50" s="514">
        <v>0</v>
      </c>
      <c r="Q50" s="514">
        <v>0</v>
      </c>
      <c r="R50" s="514">
        <v>0</v>
      </c>
      <c r="S50" s="514">
        <v>0</v>
      </c>
      <c r="T50" s="514">
        <v>0</v>
      </c>
      <c r="U50" s="514">
        <v>0</v>
      </c>
      <c r="V50" s="514">
        <v>0</v>
      </c>
      <c r="W50" s="514">
        <v>0</v>
      </c>
      <c r="X50" s="514">
        <v>0</v>
      </c>
      <c r="Y50" s="514">
        <v>0</v>
      </c>
      <c r="Z50" s="514">
        <v>0</v>
      </c>
      <c r="AA50" s="514">
        <v>0</v>
      </c>
      <c r="AB50" s="514">
        <v>0</v>
      </c>
      <c r="AC50" s="514">
        <v>0</v>
      </c>
      <c r="AD50" s="514">
        <v>0</v>
      </c>
      <c r="AE50" s="514">
        <v>0</v>
      </c>
      <c r="AF50" s="514">
        <v>0</v>
      </c>
      <c r="AG50" s="514">
        <v>0</v>
      </c>
      <c r="AH50" s="514">
        <v>0</v>
      </c>
      <c r="AI50" s="514">
        <v>0</v>
      </c>
    </row>
    <row r="51" spans="1:36" x14ac:dyDescent="0.2">
      <c r="A51" s="512" t="s">
        <v>33</v>
      </c>
      <c r="B51" s="512"/>
      <c r="C51" s="512" t="s">
        <v>34</v>
      </c>
      <c r="D51" s="515"/>
      <c r="E51" s="512"/>
      <c r="F51" s="514">
        <f>'Параметры проекта'!$B$26</f>
        <v>18000</v>
      </c>
      <c r="G51" s="514">
        <f>'Параметры проекта'!$B$26</f>
        <v>18000</v>
      </c>
      <c r="H51" s="514">
        <f>'Параметры проекта'!$B$26</f>
        <v>18000</v>
      </c>
      <c r="I51" s="514">
        <f>'Параметры проекта'!$B$26</f>
        <v>18000</v>
      </c>
      <c r="J51" s="514">
        <f>'Параметры проекта'!$B$26</f>
        <v>18000</v>
      </c>
      <c r="K51" s="514">
        <f>'Параметры проекта'!$B$26</f>
        <v>18000</v>
      </c>
      <c r="L51" s="514">
        <f>'Параметры проекта'!$B$26</f>
        <v>18000</v>
      </c>
      <c r="M51" s="514">
        <f>'Параметры проекта'!$B$26</f>
        <v>18000</v>
      </c>
      <c r="N51" s="514">
        <f>'Параметры проекта'!$B$26</f>
        <v>18000</v>
      </c>
      <c r="O51" s="514">
        <f>'Параметры проекта'!$B$26</f>
        <v>18000</v>
      </c>
      <c r="P51" s="514">
        <f>'Параметры проекта'!$B$26</f>
        <v>18000</v>
      </c>
      <c r="Q51" s="514">
        <f>'Параметры проекта'!$B$26</f>
        <v>18000</v>
      </c>
      <c r="R51" s="514">
        <f>'Параметры проекта'!$B$26</f>
        <v>18000</v>
      </c>
      <c r="S51" s="514">
        <f>'Параметры проекта'!$B$26</f>
        <v>18000</v>
      </c>
      <c r="T51" s="514">
        <f>'Параметры проекта'!$B$26</f>
        <v>18000</v>
      </c>
      <c r="U51" s="514">
        <f>'Параметры проекта'!$B$26</f>
        <v>18000</v>
      </c>
      <c r="V51" s="514">
        <f>'Параметры проекта'!$B$26</f>
        <v>18000</v>
      </c>
      <c r="W51" s="514">
        <f>'Параметры проекта'!$B$26</f>
        <v>18000</v>
      </c>
      <c r="X51" s="514">
        <f>'Параметры проекта'!$B$26</f>
        <v>18000</v>
      </c>
      <c r="Y51" s="514">
        <f>'Параметры проекта'!$B$26</f>
        <v>18000</v>
      </c>
      <c r="Z51" s="514">
        <f>'Параметры проекта'!$B$26</f>
        <v>18000</v>
      </c>
      <c r="AA51" s="514">
        <f>'Параметры проекта'!$B$26</f>
        <v>18000</v>
      </c>
      <c r="AB51" s="514">
        <f>'Параметры проекта'!$B$26</f>
        <v>18000</v>
      </c>
      <c r="AC51" s="514">
        <f>'Параметры проекта'!$B$26</f>
        <v>18000</v>
      </c>
      <c r="AD51" s="514">
        <f>'Параметры проекта'!$B$26</f>
        <v>18000</v>
      </c>
      <c r="AE51" s="514">
        <f>'Параметры проекта'!$B$26</f>
        <v>18000</v>
      </c>
      <c r="AF51" s="514">
        <f>'Параметры проекта'!$B$26</f>
        <v>18000</v>
      </c>
      <c r="AG51" s="514">
        <f>'Параметры проекта'!$B$26</f>
        <v>18000</v>
      </c>
      <c r="AH51" s="514">
        <f>'Параметры проекта'!$B$26</f>
        <v>18000</v>
      </c>
      <c r="AI51" s="514">
        <f>'Параметры проекта'!$B$26</f>
        <v>18000</v>
      </c>
    </row>
    <row r="52" spans="1:36" hidden="1" x14ac:dyDescent="0.2">
      <c r="A52" s="512"/>
      <c r="B52" s="512"/>
      <c r="C52" s="512"/>
      <c r="D52" s="512"/>
      <c r="E52" s="512"/>
      <c r="F52" s="514">
        <v>0</v>
      </c>
      <c r="G52" s="514">
        <v>0</v>
      </c>
      <c r="H52" s="514"/>
      <c r="I52" s="514"/>
      <c r="J52" s="514"/>
      <c r="K52" s="514"/>
      <c r="L52" s="514"/>
      <c r="M52" s="514"/>
      <c r="N52" s="514"/>
      <c r="O52" s="514"/>
      <c r="P52" s="514"/>
      <c r="Q52" s="514"/>
      <c r="R52" s="514"/>
      <c r="S52" s="514"/>
      <c r="T52" s="514"/>
      <c r="U52" s="514"/>
      <c r="V52" s="514"/>
      <c r="W52" s="514"/>
      <c r="X52" s="514"/>
      <c r="Y52" s="514"/>
      <c r="Z52" s="514"/>
      <c r="AA52" s="514"/>
      <c r="AB52" s="514"/>
      <c r="AC52" s="514"/>
      <c r="AD52" s="514"/>
      <c r="AE52" s="514"/>
      <c r="AF52" s="514"/>
      <c r="AG52" s="514"/>
      <c r="AH52" s="514"/>
      <c r="AI52" s="514"/>
    </row>
    <row r="53" spans="1:36" hidden="1" x14ac:dyDescent="0.2">
      <c r="A53" s="507" t="s">
        <v>35</v>
      </c>
      <c r="B53" s="512"/>
      <c r="C53" s="512"/>
      <c r="D53" s="512"/>
      <c r="E53" s="512"/>
      <c r="F53" s="514">
        <v>0</v>
      </c>
      <c r="G53" s="514">
        <v>0</v>
      </c>
      <c r="H53" s="514">
        <v>0</v>
      </c>
      <c r="I53" s="514">
        <v>0</v>
      </c>
      <c r="J53" s="514">
        <v>0</v>
      </c>
      <c r="K53" s="514">
        <v>0</v>
      </c>
      <c r="L53" s="514">
        <v>0</v>
      </c>
      <c r="M53" s="514">
        <v>0</v>
      </c>
      <c r="N53" s="514">
        <v>0</v>
      </c>
      <c r="O53" s="514">
        <v>0</v>
      </c>
      <c r="P53" s="514">
        <v>0</v>
      </c>
      <c r="Q53" s="514">
        <v>0</v>
      </c>
      <c r="R53" s="514">
        <v>0</v>
      </c>
      <c r="S53" s="514">
        <v>0</v>
      </c>
      <c r="T53" s="514">
        <v>0</v>
      </c>
      <c r="U53" s="514">
        <v>0</v>
      </c>
      <c r="V53" s="514">
        <v>0</v>
      </c>
      <c r="W53" s="514">
        <v>0</v>
      </c>
      <c r="X53" s="514">
        <v>0</v>
      </c>
      <c r="Y53" s="514">
        <v>0</v>
      </c>
      <c r="Z53" s="514">
        <v>0</v>
      </c>
      <c r="AA53" s="514">
        <v>0</v>
      </c>
      <c r="AB53" s="514">
        <v>0</v>
      </c>
      <c r="AC53" s="514">
        <v>0</v>
      </c>
      <c r="AD53" s="514">
        <v>0</v>
      </c>
      <c r="AE53" s="514">
        <v>0</v>
      </c>
      <c r="AF53" s="514">
        <v>0</v>
      </c>
      <c r="AG53" s="514">
        <v>0</v>
      </c>
      <c r="AH53" s="514">
        <v>0</v>
      </c>
      <c r="AI53" s="514">
        <v>0</v>
      </c>
      <c r="AJ53" s="514"/>
    </row>
    <row r="54" spans="1:36" hidden="1" x14ac:dyDescent="0.2">
      <c r="A54" s="512"/>
      <c r="B54" s="512"/>
      <c r="C54" s="512"/>
      <c r="D54" s="512"/>
      <c r="E54" s="512"/>
      <c r="F54" s="512"/>
      <c r="G54" s="512"/>
      <c r="H54" s="512"/>
      <c r="I54" s="512"/>
      <c r="J54" s="512"/>
      <c r="K54" s="512"/>
      <c r="L54" s="512"/>
      <c r="M54" s="512"/>
      <c r="N54" s="512"/>
      <c r="O54" s="512"/>
      <c r="P54" s="512"/>
      <c r="Q54" s="512"/>
      <c r="R54" s="512"/>
      <c r="S54" s="512"/>
      <c r="T54" s="512"/>
      <c r="U54" s="512"/>
      <c r="V54" s="512"/>
      <c r="W54" s="512"/>
      <c r="X54" s="512"/>
      <c r="Y54" s="512"/>
      <c r="Z54" s="512"/>
      <c r="AA54" s="512"/>
      <c r="AB54" s="512"/>
      <c r="AC54" s="512"/>
      <c r="AD54" s="512"/>
      <c r="AE54" s="512"/>
      <c r="AF54" s="512"/>
      <c r="AG54" s="512"/>
      <c r="AH54" s="512"/>
      <c r="AI54" s="512"/>
    </row>
    <row r="55" spans="1:36" x14ac:dyDescent="0.2">
      <c r="A55" s="512" t="s">
        <v>53</v>
      </c>
      <c r="B55" s="512"/>
      <c r="C55" s="512"/>
      <c r="D55" s="515"/>
      <c r="E55" s="512">
        <v>0</v>
      </c>
      <c r="F55" s="514">
        <f>'Параметры проекта'!$B$40</f>
        <v>50000</v>
      </c>
      <c r="G55" s="514">
        <f>'Параметры проекта'!$B$40</f>
        <v>50000</v>
      </c>
      <c r="H55" s="514">
        <f>'Параметры проекта'!$B$40</f>
        <v>50000</v>
      </c>
      <c r="I55" s="514">
        <f>'Параметры проекта'!$B$40</f>
        <v>50000</v>
      </c>
      <c r="J55" s="514">
        <f>'Параметры проекта'!$B$40</f>
        <v>50000</v>
      </c>
      <c r="K55" s="514">
        <f>'Параметры проекта'!$B$40</f>
        <v>50000</v>
      </c>
      <c r="L55" s="514">
        <f>'Параметры проекта'!$B$40</f>
        <v>50000</v>
      </c>
      <c r="M55" s="514">
        <f>'Параметры проекта'!$B$40</f>
        <v>50000</v>
      </c>
      <c r="N55" s="514">
        <f>'Параметры проекта'!$B$40</f>
        <v>50000</v>
      </c>
      <c r="O55" s="514">
        <f>'Параметры проекта'!$B$40</f>
        <v>50000</v>
      </c>
      <c r="P55" s="514">
        <f>'Параметры проекта'!$B$40</f>
        <v>50000</v>
      </c>
      <c r="Q55" s="514">
        <f>'Параметры проекта'!$B$40</f>
        <v>50000</v>
      </c>
      <c r="R55" s="514">
        <f>'Параметры проекта'!$B$40</f>
        <v>50000</v>
      </c>
      <c r="S55" s="514">
        <f>'Параметры проекта'!$B$40</f>
        <v>50000</v>
      </c>
      <c r="T55" s="514">
        <f>'Параметры проекта'!$B$40</f>
        <v>50000</v>
      </c>
      <c r="U55" s="514">
        <f>'Параметры проекта'!$B$40</f>
        <v>50000</v>
      </c>
      <c r="V55" s="514">
        <f>'Параметры проекта'!$B$40</f>
        <v>50000</v>
      </c>
      <c r="W55" s="514">
        <f>'Параметры проекта'!$B$40</f>
        <v>50000</v>
      </c>
      <c r="X55" s="514">
        <f>'Параметры проекта'!$B$40</f>
        <v>50000</v>
      </c>
      <c r="Y55" s="514">
        <f>'Параметры проекта'!$B$40</f>
        <v>50000</v>
      </c>
      <c r="Z55" s="514">
        <f>'Параметры проекта'!$B$40</f>
        <v>50000</v>
      </c>
      <c r="AA55" s="514">
        <f>'Параметры проекта'!$B$40</f>
        <v>50000</v>
      </c>
      <c r="AB55" s="514">
        <f>'Параметры проекта'!$B$40</f>
        <v>50000</v>
      </c>
      <c r="AC55" s="514">
        <f>'Параметры проекта'!$B$40</f>
        <v>50000</v>
      </c>
      <c r="AD55" s="514">
        <f>'Параметры проекта'!$B$40</f>
        <v>50000</v>
      </c>
      <c r="AE55" s="514">
        <f>'Параметры проекта'!$B$40</f>
        <v>50000</v>
      </c>
      <c r="AF55" s="514">
        <f>'Параметры проекта'!$B$40</f>
        <v>50000</v>
      </c>
      <c r="AG55" s="514">
        <f>'Параметры проекта'!$B$40</f>
        <v>50000</v>
      </c>
      <c r="AH55" s="514">
        <f>'Параметры проекта'!$B$40</f>
        <v>50000</v>
      </c>
      <c r="AI55" s="514">
        <f>'Параметры проекта'!$B$40</f>
        <v>50000</v>
      </c>
    </row>
    <row r="56" spans="1:36" hidden="1" x14ac:dyDescent="0.2">
      <c r="A56" s="512"/>
      <c r="B56" s="512"/>
      <c r="C56" s="512"/>
      <c r="D56" s="512"/>
      <c r="E56" s="512"/>
      <c r="F56" s="512"/>
      <c r="G56" s="512"/>
      <c r="H56" s="512"/>
      <c r="I56" s="512"/>
      <c r="J56" s="512"/>
      <c r="K56" s="512"/>
      <c r="L56" s="512"/>
      <c r="M56" s="512"/>
      <c r="N56" s="512"/>
      <c r="O56" s="512"/>
      <c r="P56" s="512"/>
      <c r="Q56" s="512"/>
      <c r="R56" s="512"/>
      <c r="S56" s="512"/>
      <c r="T56" s="512"/>
      <c r="U56" s="512"/>
      <c r="V56" s="512"/>
      <c r="W56" s="512"/>
      <c r="X56" s="512"/>
      <c r="Y56" s="512"/>
      <c r="Z56" s="512"/>
      <c r="AA56" s="512"/>
      <c r="AB56" s="512"/>
      <c r="AC56" s="512"/>
      <c r="AD56" s="512"/>
      <c r="AE56" s="512"/>
      <c r="AF56" s="512"/>
      <c r="AG56" s="512"/>
      <c r="AH56" s="512"/>
      <c r="AI56" s="512"/>
    </row>
    <row r="57" spans="1:36" x14ac:dyDescent="0.2">
      <c r="A57" s="512" t="s">
        <v>37</v>
      </c>
      <c r="B57" s="512"/>
      <c r="C57" s="512"/>
      <c r="D57" s="512"/>
      <c r="E57" s="514">
        <f>E19-E24-E51-E53-E55</f>
        <v>0</v>
      </c>
      <c r="F57" s="514">
        <f>F19-F24-F51-F53-F55</f>
        <v>171003.29618616679</v>
      </c>
      <c r="G57" s="514">
        <f>G19-G24-G51-G53-G55</f>
        <v>171003.29618616679</v>
      </c>
      <c r="H57" s="514">
        <f>H19-H24-H51-H53-H55</f>
        <v>171003.29618616679</v>
      </c>
      <c r="I57" s="514">
        <f t="shared" ref="I57:AI57" si="26">I19-I24-I51-I53-I55</f>
        <v>171003.29618616679</v>
      </c>
      <c r="J57" s="514">
        <f>J19-J24-J51-J53-J55</f>
        <v>171003.29618616679</v>
      </c>
      <c r="K57" s="514">
        <f>K19-K24-K51-K53-K55</f>
        <v>171003.29618616679</v>
      </c>
      <c r="L57" s="514">
        <f>L19-L24-L51-L53-L55</f>
        <v>171003.29618616679</v>
      </c>
      <c r="M57" s="514">
        <f>M19-M24-M51-M53-M55</f>
        <v>171003.29618616679</v>
      </c>
      <c r="N57" s="514">
        <f t="shared" si="26"/>
        <v>171003.29618616679</v>
      </c>
      <c r="O57" s="514">
        <f t="shared" si="26"/>
        <v>171003.29618616679</v>
      </c>
      <c r="P57" s="514">
        <f t="shared" si="26"/>
        <v>171003.29618616679</v>
      </c>
      <c r="Q57" s="514">
        <f>Q19-Q24-Q51-Q53-Q55</f>
        <v>171003.29618616679</v>
      </c>
      <c r="R57" s="514">
        <f t="shared" si="26"/>
        <v>171003.29618616679</v>
      </c>
      <c r="S57" s="514">
        <f t="shared" si="26"/>
        <v>171003.29618616679</v>
      </c>
      <c r="T57" s="514">
        <f t="shared" si="26"/>
        <v>171003.29618616679</v>
      </c>
      <c r="U57" s="514">
        <f t="shared" si="26"/>
        <v>171003.29618616679</v>
      </c>
      <c r="V57" s="514">
        <f t="shared" si="26"/>
        <v>171003.29618616679</v>
      </c>
      <c r="W57" s="514">
        <f t="shared" si="26"/>
        <v>171003.29618616679</v>
      </c>
      <c r="X57" s="514">
        <f t="shared" si="26"/>
        <v>171003.29618616679</v>
      </c>
      <c r="Y57" s="514">
        <f t="shared" si="26"/>
        <v>171003.29618616679</v>
      </c>
      <c r="Z57" s="514">
        <f t="shared" si="26"/>
        <v>171003.29618616679</v>
      </c>
      <c r="AA57" s="514">
        <f t="shared" si="26"/>
        <v>171003.29618616679</v>
      </c>
      <c r="AB57" s="514">
        <f t="shared" si="26"/>
        <v>171003.29618616679</v>
      </c>
      <c r="AC57" s="514">
        <f t="shared" si="26"/>
        <v>171003.29618616679</v>
      </c>
      <c r="AD57" s="514">
        <f t="shared" si="26"/>
        <v>171003.29618616679</v>
      </c>
      <c r="AE57" s="514">
        <f t="shared" si="26"/>
        <v>171003.29618616679</v>
      </c>
      <c r="AF57" s="514">
        <f t="shared" si="26"/>
        <v>171003.29618616679</v>
      </c>
      <c r="AG57" s="514">
        <f t="shared" si="26"/>
        <v>171003.29618616679</v>
      </c>
      <c r="AH57" s="514">
        <f t="shared" si="26"/>
        <v>171003.29618616679</v>
      </c>
      <c r="AI57" s="514">
        <f t="shared" si="26"/>
        <v>171003.29618616679</v>
      </c>
    </row>
    <row r="58" spans="1:36" x14ac:dyDescent="0.2">
      <c r="A58" s="512" t="s">
        <v>38</v>
      </c>
      <c r="B58" s="512"/>
      <c r="C58" s="512"/>
      <c r="D58" s="512"/>
      <c r="E58" s="514">
        <f t="shared" ref="E58:L58" si="27">E57+E27</f>
        <v>0</v>
      </c>
      <c r="F58" s="514">
        <f>F57+F27</f>
        <v>171003.29618616679</v>
      </c>
      <c r="G58" s="514">
        <f t="shared" si="27"/>
        <v>171003.29618616679</v>
      </c>
      <c r="H58" s="514">
        <f t="shared" si="27"/>
        <v>171003.29618616679</v>
      </c>
      <c r="I58" s="514">
        <f t="shared" si="27"/>
        <v>171003.29618616679</v>
      </c>
      <c r="J58" s="514">
        <f>J57+J27</f>
        <v>171003.29618616679</v>
      </c>
      <c r="K58" s="514">
        <f>K57+K27</f>
        <v>171003.29618616679</v>
      </c>
      <c r="L58" s="514">
        <f t="shared" si="27"/>
        <v>171003.29618616679</v>
      </c>
      <c r="M58" s="514">
        <f>M57+M27</f>
        <v>171003.29618616679</v>
      </c>
      <c r="N58" s="514">
        <f t="shared" ref="N58:AI58" si="28">N57+N27</f>
        <v>171003.29618616679</v>
      </c>
      <c r="O58" s="514">
        <f t="shared" si="28"/>
        <v>171003.29618616679</v>
      </c>
      <c r="P58" s="514">
        <f t="shared" si="28"/>
        <v>171003.29618616679</v>
      </c>
      <c r="Q58" s="514">
        <f t="shared" si="28"/>
        <v>171003.29618616679</v>
      </c>
      <c r="R58" s="514">
        <f t="shared" si="28"/>
        <v>171003.29618616679</v>
      </c>
      <c r="S58" s="514">
        <f>S57+S27</f>
        <v>171003.29618616679</v>
      </c>
      <c r="T58" s="514">
        <f t="shared" si="28"/>
        <v>171003.29618616679</v>
      </c>
      <c r="U58" s="514">
        <f t="shared" si="28"/>
        <v>171003.29618616679</v>
      </c>
      <c r="V58" s="514">
        <f t="shared" si="28"/>
        <v>171003.29618616679</v>
      </c>
      <c r="W58" s="514">
        <f t="shared" si="28"/>
        <v>171003.29618616679</v>
      </c>
      <c r="X58" s="514">
        <f t="shared" si="28"/>
        <v>171003.29618616679</v>
      </c>
      <c r="Y58" s="514">
        <f t="shared" si="28"/>
        <v>171003.29618616679</v>
      </c>
      <c r="Z58" s="514">
        <f t="shared" si="28"/>
        <v>171003.29618616679</v>
      </c>
      <c r="AA58" s="514">
        <f t="shared" si="28"/>
        <v>171003.29618616679</v>
      </c>
      <c r="AB58" s="514">
        <f t="shared" si="28"/>
        <v>171003.29618616679</v>
      </c>
      <c r="AC58" s="514">
        <f t="shared" si="28"/>
        <v>171003.29618616679</v>
      </c>
      <c r="AD58" s="514">
        <f t="shared" si="28"/>
        <v>171003.29618616679</v>
      </c>
      <c r="AE58" s="514">
        <f t="shared" si="28"/>
        <v>171003.29618616679</v>
      </c>
      <c r="AF58" s="514">
        <f t="shared" si="28"/>
        <v>171003.29618616679</v>
      </c>
      <c r="AG58" s="514">
        <f t="shared" si="28"/>
        <v>171003.29618616679</v>
      </c>
      <c r="AH58" s="514">
        <f t="shared" si="28"/>
        <v>171003.29618616679</v>
      </c>
      <c r="AI58" s="514">
        <f t="shared" si="28"/>
        <v>171003.29618616679</v>
      </c>
    </row>
    <row r="59" spans="1:36" x14ac:dyDescent="0.2">
      <c r="A59" s="512" t="s">
        <v>48</v>
      </c>
      <c r="B59" s="512"/>
      <c r="C59" s="512"/>
      <c r="D59" s="512"/>
      <c r="E59" s="514">
        <f>IF(E58&lt;0,0,E58*0.5)</f>
        <v>0</v>
      </c>
      <c r="F59" s="514">
        <v>0</v>
      </c>
      <c r="G59" s="514">
        <v>0</v>
      </c>
      <c r="H59" s="514">
        <v>0</v>
      </c>
      <c r="I59" s="514">
        <v>0</v>
      </c>
      <c r="J59" s="514">
        <v>0</v>
      </c>
      <c r="K59" s="514">
        <v>0</v>
      </c>
      <c r="L59" s="514">
        <v>0</v>
      </c>
      <c r="M59" s="514">
        <v>0</v>
      </c>
      <c r="N59" s="514">
        <v>0</v>
      </c>
      <c r="O59" s="514">
        <v>0</v>
      </c>
      <c r="P59" s="514">
        <v>0</v>
      </c>
      <c r="Q59" s="514">
        <v>0</v>
      </c>
      <c r="R59" s="514">
        <v>0</v>
      </c>
      <c r="S59" s="514">
        <v>0</v>
      </c>
      <c r="T59" s="514">
        <v>0</v>
      </c>
      <c r="U59" s="514">
        <v>0</v>
      </c>
      <c r="V59" s="514">
        <v>0</v>
      </c>
      <c r="W59" s="514">
        <v>0</v>
      </c>
      <c r="X59" s="514">
        <v>0</v>
      </c>
      <c r="Y59" s="514">
        <v>0</v>
      </c>
      <c r="Z59" s="514">
        <v>0</v>
      </c>
      <c r="AA59" s="514">
        <v>0</v>
      </c>
      <c r="AB59" s="514">
        <v>0</v>
      </c>
      <c r="AC59" s="514">
        <v>0</v>
      </c>
      <c r="AD59" s="514">
        <v>0</v>
      </c>
      <c r="AE59" s="514">
        <v>0</v>
      </c>
      <c r="AF59" s="514">
        <v>0</v>
      </c>
      <c r="AG59" s="514">
        <v>0</v>
      </c>
      <c r="AH59" s="514">
        <v>0</v>
      </c>
      <c r="AI59" s="514">
        <f t="shared" ref="AI59" si="29">IF(AI58&lt;0,0,AI58*0.5)</f>
        <v>85501.648093083393</v>
      </c>
    </row>
    <row r="60" spans="1:36" ht="26.25" customHeight="1" x14ac:dyDescent="0.2">
      <c r="A60" s="521" t="s">
        <v>50</v>
      </c>
      <c r="B60" s="512"/>
      <c r="C60" s="512"/>
      <c r="D60" s="512"/>
      <c r="E60" s="514">
        <f t="shared" ref="E60:S60" si="30">SUM(E6:E6)*-1+E58-E59</f>
        <v>0</v>
      </c>
      <c r="F60" s="514">
        <f t="shared" si="30"/>
        <v>171003.29618616679</v>
      </c>
      <c r="G60" s="514">
        <f t="shared" si="30"/>
        <v>171003.29618616679</v>
      </c>
      <c r="H60" s="514">
        <f t="shared" si="30"/>
        <v>171003.29618616679</v>
      </c>
      <c r="I60" s="514">
        <f t="shared" si="30"/>
        <v>171003.29618616679</v>
      </c>
      <c r="J60" s="514">
        <f t="shared" si="30"/>
        <v>171003.29618616679</v>
      </c>
      <c r="K60" s="514">
        <f t="shared" si="30"/>
        <v>171003.29618616679</v>
      </c>
      <c r="L60" s="514">
        <f t="shared" si="30"/>
        <v>171003.29618616679</v>
      </c>
      <c r="M60" s="514">
        <f t="shared" si="30"/>
        <v>171003.29618616679</v>
      </c>
      <c r="N60" s="514">
        <f>SUM(N6:N6)*-1+N58-N59</f>
        <v>171003.29618616679</v>
      </c>
      <c r="O60" s="514">
        <f t="shared" si="30"/>
        <v>171003.29618616679</v>
      </c>
      <c r="P60" s="514">
        <f t="shared" si="30"/>
        <v>171003.29618616679</v>
      </c>
      <c r="Q60" s="514">
        <f t="shared" si="30"/>
        <v>171003.29618616679</v>
      </c>
      <c r="R60" s="514">
        <f t="shared" si="30"/>
        <v>171003.29618616679</v>
      </c>
      <c r="S60" s="514">
        <f t="shared" si="30"/>
        <v>171003.29618616679</v>
      </c>
      <c r="T60" s="514">
        <f>SUM(T6:T6)*-1+T58-T59</f>
        <v>171003.29618616679</v>
      </c>
      <c r="U60" s="514">
        <f t="shared" ref="U60:AI60" si="31">SUM(U6:U6)*-1+U58-U59</f>
        <v>171003.29618616679</v>
      </c>
      <c r="V60" s="514">
        <f t="shared" si="31"/>
        <v>171003.29618616679</v>
      </c>
      <c r="W60" s="514">
        <f t="shared" si="31"/>
        <v>171003.29618616679</v>
      </c>
      <c r="X60" s="514">
        <f t="shared" si="31"/>
        <v>171003.29618616679</v>
      </c>
      <c r="Y60" s="514">
        <f t="shared" si="31"/>
        <v>171003.29618616679</v>
      </c>
      <c r="Z60" s="514">
        <f t="shared" si="31"/>
        <v>171003.29618616679</v>
      </c>
      <c r="AA60" s="514">
        <f t="shared" si="31"/>
        <v>171003.29618616679</v>
      </c>
      <c r="AB60" s="514">
        <f t="shared" si="31"/>
        <v>171003.29618616679</v>
      </c>
      <c r="AC60" s="514">
        <f t="shared" si="31"/>
        <v>171003.29618616679</v>
      </c>
      <c r="AD60" s="514">
        <f t="shared" si="31"/>
        <v>171003.29618616679</v>
      </c>
      <c r="AE60" s="514">
        <f t="shared" si="31"/>
        <v>171003.29618616679</v>
      </c>
      <c r="AF60" s="514">
        <f t="shared" si="31"/>
        <v>171003.29618616679</v>
      </c>
      <c r="AG60" s="514">
        <f t="shared" si="31"/>
        <v>171003.29618616679</v>
      </c>
      <c r="AH60" s="514">
        <f t="shared" si="31"/>
        <v>171003.29618616679</v>
      </c>
      <c r="AI60" s="514">
        <f t="shared" si="31"/>
        <v>85501.648093083393</v>
      </c>
    </row>
    <row r="61" spans="1:36" s="496" customFormat="1" x14ac:dyDescent="0.2">
      <c r="A61" s="514" t="s">
        <v>39</v>
      </c>
      <c r="B61" s="514"/>
      <c r="C61" s="514"/>
      <c r="D61" s="514"/>
      <c r="E61" s="514">
        <f>SUM($E60:E60)</f>
        <v>0</v>
      </c>
      <c r="F61" s="514">
        <f>SUM($E60:F60)</f>
        <v>171003.29618616679</v>
      </c>
      <c r="G61" s="514">
        <f>SUM($E60:G60)</f>
        <v>342006.59237233357</v>
      </c>
      <c r="H61" s="514">
        <f>SUM($E60:H60)</f>
        <v>513009.88855850033</v>
      </c>
      <c r="I61" s="514">
        <f>SUM($E60:I60)</f>
        <v>684013.18474466715</v>
      </c>
      <c r="J61" s="514">
        <f>SUM($E60:J60)</f>
        <v>855016.48093083396</v>
      </c>
      <c r="K61" s="514">
        <f>SUM($E60:K60)</f>
        <v>1026019.7771170008</v>
      </c>
      <c r="L61" s="514">
        <f>SUM($E60:L60)</f>
        <v>1197023.0733031675</v>
      </c>
      <c r="M61" s="514">
        <f>SUM($E60:M60)</f>
        <v>1368026.3694893343</v>
      </c>
      <c r="N61" s="514">
        <f>SUM($E60:N60)</f>
        <v>1539029.6656755011</v>
      </c>
      <c r="O61" s="514">
        <f>SUM($E60:O60)</f>
        <v>1710032.9618616679</v>
      </c>
      <c r="P61" s="514">
        <f>SUM($E60:P60)</f>
        <v>1881036.2580478347</v>
      </c>
      <c r="Q61" s="514">
        <f>SUM($E60:Q60)</f>
        <v>2052039.5542340016</v>
      </c>
      <c r="R61" s="514">
        <f>SUM($E60:R60)</f>
        <v>2223042.8504201681</v>
      </c>
      <c r="S61" s="514">
        <f>SUM($E60:S60)</f>
        <v>2394046.146606335</v>
      </c>
      <c r="T61" s="514">
        <f>SUM($E60:T60)</f>
        <v>2565049.4427925018</v>
      </c>
      <c r="U61" s="514">
        <f>SUM($E60:U60)</f>
        <v>2736052.7389786686</v>
      </c>
      <c r="V61" s="514">
        <f>SUM($E60:V60)</f>
        <v>2907056.0351648354</v>
      </c>
      <c r="W61" s="514">
        <f>SUM($E60:W60)</f>
        <v>3078059.3313510022</v>
      </c>
      <c r="X61" s="514">
        <f>SUM($E60:X60)</f>
        <v>3249062.627537169</v>
      </c>
      <c r="Y61" s="514">
        <f>SUM($E60:Y60)</f>
        <v>3420065.9237233358</v>
      </c>
      <c r="Z61" s="514">
        <f>SUM($E60:Z60)</f>
        <v>3591069.2199095027</v>
      </c>
      <c r="AA61" s="514">
        <f>SUM($E60:AA60)</f>
        <v>3762072.5160956695</v>
      </c>
      <c r="AB61" s="514">
        <f>SUM($E60:AB60)</f>
        <v>3933075.8122818363</v>
      </c>
      <c r="AC61" s="514">
        <f>SUM($E60:AC60)</f>
        <v>4104079.1084680031</v>
      </c>
      <c r="AD61" s="514">
        <f>SUM($E60:AD60)</f>
        <v>4275082.4046541695</v>
      </c>
      <c r="AE61" s="514">
        <f>SUM($E60:AE60)</f>
        <v>4446085.7008403363</v>
      </c>
      <c r="AF61" s="514">
        <f>SUM($E60:AF60)</f>
        <v>4617088.9970265031</v>
      </c>
      <c r="AG61" s="514">
        <f>SUM($E60:AG60)</f>
        <v>4788092.2932126699</v>
      </c>
      <c r="AH61" s="514">
        <f>SUM($E60:AH60)</f>
        <v>4959095.5893988367</v>
      </c>
      <c r="AI61" s="514">
        <f>SUM($E60:AI60)</f>
        <v>5044597.2374919197</v>
      </c>
    </row>
    <row r="62" spans="1:36" x14ac:dyDescent="0.2">
      <c r="A62" s="512" t="s">
        <v>40</v>
      </c>
      <c r="B62" s="512"/>
      <c r="C62" s="512"/>
      <c r="D62" s="512"/>
      <c r="E62" s="522">
        <f>R61/R60*-1+12</f>
        <v>-1</v>
      </c>
      <c r="F62" s="512" t="s">
        <v>41</v>
      </c>
      <c r="G62" s="502"/>
      <c r="H62" s="511"/>
      <c r="I62" s="511"/>
      <c r="J62" s="511"/>
      <c r="K62" s="511"/>
      <c r="L62" s="511"/>
      <c r="M62" s="511"/>
      <c r="N62" s="511"/>
      <c r="O62" s="511"/>
      <c r="P62" s="511"/>
      <c r="Q62" s="511"/>
      <c r="R62" s="511"/>
      <c r="S62" s="511"/>
      <c r="T62" s="511"/>
      <c r="U62" s="511"/>
    </row>
    <row r="63" spans="1:36" ht="0.75" customHeight="1" x14ac:dyDescent="0.2">
      <c r="A63" s="512" t="s">
        <v>42</v>
      </c>
      <c r="B63" s="512"/>
      <c r="C63" s="512"/>
      <c r="D63" s="512"/>
      <c r="E63" s="522" t="e">
        <f>((Y60*12)/(E6+F6)*100)</f>
        <v>#DIV/0!</v>
      </c>
      <c r="F63" s="512" t="s">
        <v>0</v>
      </c>
      <c r="G63" s="511"/>
      <c r="H63" s="512"/>
      <c r="I63" s="512"/>
      <c r="J63" s="511"/>
      <c r="K63" s="511"/>
      <c r="L63" s="511"/>
      <c r="M63" s="511"/>
      <c r="N63" s="511"/>
      <c r="O63" s="511"/>
      <c r="P63" s="511"/>
      <c r="Q63" s="511"/>
      <c r="R63" s="511"/>
      <c r="S63" s="511"/>
      <c r="T63" s="511"/>
      <c r="U63" s="511"/>
    </row>
    <row r="64" spans="1:36" s="523" customFormat="1" ht="12" hidden="1" x14ac:dyDescent="0.2">
      <c r="F64" s="524" t="s">
        <v>92</v>
      </c>
      <c r="G64" s="523" t="s">
        <v>88</v>
      </c>
      <c r="H64" s="523" t="s">
        <v>87</v>
      </c>
    </row>
    <row r="65" spans="5:8" s="359" customFormat="1" ht="11.25" hidden="1" customHeight="1" x14ac:dyDescent="0.2">
      <c r="E65" s="363" t="s">
        <v>84</v>
      </c>
      <c r="F65" s="361">
        <v>1800</v>
      </c>
      <c r="G65" s="361">
        <v>0</v>
      </c>
      <c r="H65" s="361">
        <f>F65*30*G65</f>
        <v>0</v>
      </c>
    </row>
    <row r="66" spans="5:8" s="359" customFormat="1" ht="12" hidden="1" x14ac:dyDescent="0.2">
      <c r="E66" s="363" t="s">
        <v>85</v>
      </c>
      <c r="F66" s="361">
        <v>1800</v>
      </c>
      <c r="G66" s="361">
        <v>0</v>
      </c>
      <c r="H66" s="361">
        <f t="shared" ref="H66" si="32">F66*30*G66</f>
        <v>0</v>
      </c>
    </row>
    <row r="67" spans="5:8" s="359" customFormat="1" ht="12" hidden="1" x14ac:dyDescent="0.2">
      <c r="E67" s="363" t="s">
        <v>86</v>
      </c>
      <c r="F67" s="361">
        <f>'Параметры проекта'!B25</f>
        <v>23000</v>
      </c>
      <c r="G67" s="361">
        <v>2</v>
      </c>
      <c r="H67" s="361">
        <f>F67*G67</f>
        <v>46000</v>
      </c>
    </row>
    <row r="68" spans="5:8" s="359" customFormat="1" ht="12" hidden="1" x14ac:dyDescent="0.2">
      <c r="E68" s="363"/>
      <c r="F68" s="361"/>
      <c r="H68" s="361">
        <f>SUM(H65:H67)</f>
        <v>46000</v>
      </c>
    </row>
    <row r="69" spans="5:8" s="359" customFormat="1" ht="12" hidden="1" x14ac:dyDescent="0.2">
      <c r="F69" s="361"/>
      <c r="G69" s="525" t="s">
        <v>90</v>
      </c>
      <c r="H69" s="359" t="s">
        <v>87</v>
      </c>
    </row>
    <row r="70" spans="5:8" s="359" customFormat="1" ht="12" hidden="1" x14ac:dyDescent="0.2">
      <c r="F70" s="361" t="s">
        <v>89</v>
      </c>
      <c r="G70" s="361">
        <v>12000</v>
      </c>
      <c r="H70" s="361">
        <f>G70*(G67+G66+G65)*30.2%</f>
        <v>7248</v>
      </c>
    </row>
    <row r="71" spans="5:8" s="359" customFormat="1" ht="12" x14ac:dyDescent="0.2">
      <c r="F71" s="361"/>
    </row>
    <row r="72" spans="5:8" s="359" customFormat="1" ht="12" x14ac:dyDescent="0.2">
      <c r="F72" s="361"/>
    </row>
    <row r="73" spans="5:8" s="359" customFormat="1" ht="12" x14ac:dyDescent="0.2">
      <c r="F73" s="361"/>
    </row>
    <row r="74" spans="5:8" s="359" customFormat="1" ht="12" x14ac:dyDescent="0.2">
      <c r="F74" s="361"/>
    </row>
    <row r="75" spans="5:8" s="359" customFormat="1" ht="12" x14ac:dyDescent="0.2">
      <c r="F75" s="361"/>
    </row>
    <row r="76" spans="5:8" s="359" customFormat="1" ht="12" x14ac:dyDescent="0.2">
      <c r="F76" s="361"/>
    </row>
    <row r="77" spans="5:8" s="359" customFormat="1" ht="12" x14ac:dyDescent="0.2">
      <c r="F77" s="361"/>
    </row>
    <row r="78" spans="5:8" s="359" customFormat="1" ht="12" x14ac:dyDescent="0.2">
      <c r="F78" s="361"/>
    </row>
    <row r="79" spans="5:8" s="359" customFormat="1" ht="12" x14ac:dyDescent="0.2">
      <c r="F79" s="361"/>
    </row>
    <row r="80" spans="5:8" s="359" customFormat="1" ht="12" x14ac:dyDescent="0.2">
      <c r="F80" s="361"/>
    </row>
    <row r="81" spans="6:6" s="359" customFormat="1" ht="12" x14ac:dyDescent="0.2">
      <c r="F81" s="361"/>
    </row>
    <row r="82" spans="6:6" s="359" customFormat="1" ht="12" x14ac:dyDescent="0.2">
      <c r="F82" s="361"/>
    </row>
    <row r="83" spans="6:6" s="359" customFormat="1" ht="12" x14ac:dyDescent="0.2">
      <c r="F83" s="361"/>
    </row>
    <row r="84" spans="6:6" s="359" customFormat="1" ht="12" x14ac:dyDescent="0.2">
      <c r="F84" s="361"/>
    </row>
    <row r="85" spans="6:6" s="359" customFormat="1" ht="12" x14ac:dyDescent="0.2">
      <c r="F85" s="361"/>
    </row>
    <row r="86" spans="6:6" s="359" customFormat="1" ht="12" x14ac:dyDescent="0.2">
      <c r="F86" s="361"/>
    </row>
    <row r="87" spans="6:6" s="359" customFormat="1" ht="12" x14ac:dyDescent="0.2">
      <c r="F87" s="361"/>
    </row>
    <row r="88" spans="6:6" s="359" customFormat="1" ht="12" x14ac:dyDescent="0.2">
      <c r="F88" s="361"/>
    </row>
    <row r="89" spans="6:6" s="359" customFormat="1" ht="12" x14ac:dyDescent="0.2">
      <c r="F89" s="361"/>
    </row>
    <row r="90" spans="6:6" s="359" customFormat="1" ht="12" x14ac:dyDescent="0.2">
      <c r="F90" s="361"/>
    </row>
    <row r="91" spans="6:6" s="359" customFormat="1" ht="12" x14ac:dyDescent="0.2">
      <c r="F91" s="361"/>
    </row>
    <row r="92" spans="6:6" s="359" customFormat="1" ht="12" x14ac:dyDescent="0.2">
      <c r="F92" s="361"/>
    </row>
    <row r="93" spans="6:6" s="359" customFormat="1" ht="12" x14ac:dyDescent="0.2">
      <c r="F93" s="361"/>
    </row>
    <row r="94" spans="6:6" s="359" customFormat="1" ht="12" x14ac:dyDescent="0.2">
      <c r="F94" s="361"/>
    </row>
    <row r="95" spans="6:6" s="359" customFormat="1" ht="12" x14ac:dyDescent="0.2">
      <c r="F95" s="361"/>
    </row>
    <row r="96" spans="6:6" s="359" customFormat="1" ht="12" x14ac:dyDescent="0.2">
      <c r="F96" s="361"/>
    </row>
    <row r="97" spans="6:6" s="359" customFormat="1" ht="12" x14ac:dyDescent="0.2">
      <c r="F97" s="361"/>
    </row>
    <row r="98" spans="6:6" s="359" customFormat="1" ht="12" x14ac:dyDescent="0.2">
      <c r="F98" s="361"/>
    </row>
    <row r="99" spans="6:6" s="359" customFormat="1" ht="12" x14ac:dyDescent="0.2">
      <c r="F99" s="361"/>
    </row>
    <row r="100" spans="6:6" s="359" customFormat="1" ht="12" x14ac:dyDescent="0.2">
      <c r="F100" s="361"/>
    </row>
    <row r="101" spans="6:6" s="359" customFormat="1" ht="12" x14ac:dyDescent="0.2">
      <c r="F101" s="361"/>
    </row>
    <row r="102" spans="6:6" s="359" customFormat="1" ht="12" x14ac:dyDescent="0.2">
      <c r="F102" s="361"/>
    </row>
    <row r="103" spans="6:6" s="359" customFormat="1" ht="12" x14ac:dyDescent="0.2">
      <c r="F103" s="361"/>
    </row>
    <row r="104" spans="6:6" s="359" customFormat="1" ht="12" x14ac:dyDescent="0.2">
      <c r="F104" s="361"/>
    </row>
    <row r="105" spans="6:6" s="359" customFormat="1" ht="12" x14ac:dyDescent="0.2">
      <c r="F105" s="361"/>
    </row>
    <row r="106" spans="6:6" s="359" customFormat="1" ht="12" x14ac:dyDescent="0.2">
      <c r="F106" s="361"/>
    </row>
    <row r="107" spans="6:6" s="359" customFormat="1" ht="12" x14ac:dyDescent="0.2">
      <c r="F107" s="361"/>
    </row>
    <row r="108" spans="6:6" s="359" customFormat="1" ht="12" x14ac:dyDescent="0.2">
      <c r="F108" s="361"/>
    </row>
    <row r="109" spans="6:6" s="359" customFormat="1" ht="12" x14ac:dyDescent="0.2">
      <c r="F109" s="361"/>
    </row>
    <row r="110" spans="6:6" s="359" customFormat="1" ht="12" x14ac:dyDescent="0.2">
      <c r="F110" s="361"/>
    </row>
    <row r="111" spans="6:6" s="359" customFormat="1" ht="12" x14ac:dyDescent="0.2">
      <c r="F111" s="361"/>
    </row>
    <row r="112" spans="6:6" s="359" customFormat="1" ht="12" x14ac:dyDescent="0.2">
      <c r="F112" s="361"/>
    </row>
    <row r="113" spans="6:6" s="359" customFormat="1" ht="12" x14ac:dyDescent="0.2">
      <c r="F113" s="361"/>
    </row>
    <row r="114" spans="6:6" s="359" customFormat="1" ht="12" x14ac:dyDescent="0.2">
      <c r="F114" s="361"/>
    </row>
    <row r="115" spans="6:6" s="359" customFormat="1" ht="12" x14ac:dyDescent="0.2">
      <c r="F115" s="361"/>
    </row>
    <row r="116" spans="6:6" s="359" customFormat="1" ht="12" x14ac:dyDescent="0.2">
      <c r="F116" s="361"/>
    </row>
    <row r="117" spans="6:6" s="359" customFormat="1" ht="12" x14ac:dyDescent="0.2">
      <c r="F117" s="361"/>
    </row>
    <row r="118" spans="6:6" s="359" customFormat="1" ht="12" x14ac:dyDescent="0.2">
      <c r="F118" s="361"/>
    </row>
    <row r="119" spans="6:6" s="359" customFormat="1" ht="12" x14ac:dyDescent="0.2">
      <c r="F119" s="361"/>
    </row>
    <row r="120" spans="6:6" s="359" customFormat="1" ht="12" x14ac:dyDescent="0.2">
      <c r="F120" s="361"/>
    </row>
    <row r="121" spans="6:6" s="359" customFormat="1" ht="12" x14ac:dyDescent="0.2">
      <c r="F121" s="361"/>
    </row>
    <row r="122" spans="6:6" s="359" customFormat="1" ht="12" x14ac:dyDescent="0.2">
      <c r="F122" s="361"/>
    </row>
    <row r="123" spans="6:6" s="359" customFormat="1" ht="12" x14ac:dyDescent="0.2">
      <c r="F123" s="361"/>
    </row>
    <row r="124" spans="6:6" s="359" customFormat="1" ht="12" x14ac:dyDescent="0.2">
      <c r="F124" s="361"/>
    </row>
    <row r="125" spans="6:6" s="359" customFormat="1" ht="12" x14ac:dyDescent="0.2">
      <c r="F125" s="361"/>
    </row>
    <row r="126" spans="6:6" s="359" customFormat="1" ht="12" x14ac:dyDescent="0.2">
      <c r="F126" s="361"/>
    </row>
    <row r="127" spans="6:6" s="359" customFormat="1" ht="12" x14ac:dyDescent="0.2">
      <c r="F127" s="361"/>
    </row>
    <row r="128" spans="6:6" s="359" customFormat="1" ht="12" x14ac:dyDescent="0.2">
      <c r="F128" s="361"/>
    </row>
    <row r="129" spans="6:6" s="359" customFormat="1" ht="12" x14ac:dyDescent="0.2">
      <c r="F129" s="361"/>
    </row>
    <row r="130" spans="6:6" s="359" customFormat="1" ht="12" x14ac:dyDescent="0.2">
      <c r="F130" s="361"/>
    </row>
    <row r="131" spans="6:6" s="359" customFormat="1" ht="12" x14ac:dyDescent="0.2">
      <c r="F131" s="361"/>
    </row>
    <row r="132" spans="6:6" s="359" customFormat="1" ht="12" x14ac:dyDescent="0.2">
      <c r="F132" s="361"/>
    </row>
    <row r="133" spans="6:6" s="359" customFormat="1" ht="12" x14ac:dyDescent="0.2">
      <c r="F133" s="361"/>
    </row>
    <row r="134" spans="6:6" s="359" customFormat="1" ht="12" x14ac:dyDescent="0.2">
      <c r="F134" s="361"/>
    </row>
    <row r="135" spans="6:6" s="359" customFormat="1" ht="12" x14ac:dyDescent="0.2">
      <c r="F135" s="361"/>
    </row>
    <row r="136" spans="6:6" s="359" customFormat="1" ht="12" x14ac:dyDescent="0.2">
      <c r="F136" s="361"/>
    </row>
    <row r="137" spans="6:6" s="359" customFormat="1" ht="12" x14ac:dyDescent="0.2">
      <c r="F137" s="361"/>
    </row>
    <row r="138" spans="6:6" s="359" customFormat="1" ht="12" x14ac:dyDescent="0.2">
      <c r="F138" s="361"/>
    </row>
    <row r="139" spans="6:6" s="359" customFormat="1" ht="12" x14ac:dyDescent="0.2">
      <c r="F139" s="361"/>
    </row>
    <row r="140" spans="6:6" s="359" customFormat="1" ht="12" x14ac:dyDescent="0.2">
      <c r="F140" s="361"/>
    </row>
    <row r="141" spans="6:6" s="359" customFormat="1" ht="12" x14ac:dyDescent="0.2">
      <c r="F141" s="361"/>
    </row>
    <row r="142" spans="6:6" s="359" customFormat="1" ht="12" x14ac:dyDescent="0.2">
      <c r="F142" s="361"/>
    </row>
    <row r="143" spans="6:6" s="359" customFormat="1" ht="12" x14ac:dyDescent="0.2">
      <c r="F143" s="361"/>
    </row>
    <row r="144" spans="6:6" s="359" customFormat="1" ht="12" x14ac:dyDescent="0.2">
      <c r="F144" s="361"/>
    </row>
    <row r="145" spans="6:6" s="359" customFormat="1" ht="12" x14ac:dyDescent="0.2">
      <c r="F145" s="361"/>
    </row>
    <row r="146" spans="6:6" s="359" customFormat="1" ht="12" x14ac:dyDescent="0.2">
      <c r="F146" s="361"/>
    </row>
    <row r="147" spans="6:6" s="359" customFormat="1" ht="12" x14ac:dyDescent="0.2">
      <c r="F147" s="361"/>
    </row>
    <row r="148" spans="6:6" s="359" customFormat="1" ht="12" x14ac:dyDescent="0.2">
      <c r="F148" s="361"/>
    </row>
    <row r="149" spans="6:6" s="359" customFormat="1" ht="12" x14ac:dyDescent="0.2">
      <c r="F149" s="361"/>
    </row>
    <row r="150" spans="6:6" s="359" customFormat="1" ht="12" x14ac:dyDescent="0.2">
      <c r="F150" s="361"/>
    </row>
    <row r="151" spans="6:6" s="359" customFormat="1" ht="12" x14ac:dyDescent="0.2">
      <c r="F151" s="361"/>
    </row>
    <row r="152" spans="6:6" s="359" customFormat="1" ht="12" x14ac:dyDescent="0.2">
      <c r="F152" s="361"/>
    </row>
    <row r="153" spans="6:6" s="359" customFormat="1" ht="12" x14ac:dyDescent="0.2">
      <c r="F153" s="361"/>
    </row>
    <row r="154" spans="6:6" s="359" customFormat="1" ht="12" x14ac:dyDescent="0.2">
      <c r="F154" s="361"/>
    </row>
    <row r="155" spans="6:6" s="359" customFormat="1" ht="12" x14ac:dyDescent="0.2">
      <c r="F155" s="361"/>
    </row>
    <row r="156" spans="6:6" s="359" customFormat="1" ht="12" x14ac:dyDescent="0.2">
      <c r="F156" s="361"/>
    </row>
    <row r="157" spans="6:6" s="359" customFormat="1" ht="12" x14ac:dyDescent="0.2">
      <c r="F157" s="361"/>
    </row>
    <row r="158" spans="6:6" s="359" customFormat="1" ht="12" x14ac:dyDescent="0.2">
      <c r="F158" s="361"/>
    </row>
    <row r="159" spans="6:6" s="359" customFormat="1" ht="12" x14ac:dyDescent="0.2">
      <c r="F159" s="361"/>
    </row>
    <row r="160" spans="6:6" s="359" customFormat="1" ht="12" x14ac:dyDescent="0.2">
      <c r="F160" s="361"/>
    </row>
    <row r="161" spans="6:6" s="359" customFormat="1" ht="12" x14ac:dyDescent="0.2">
      <c r="F161" s="361"/>
    </row>
    <row r="162" spans="6:6" s="359" customFormat="1" ht="12" x14ac:dyDescent="0.2">
      <c r="F162" s="361"/>
    </row>
    <row r="163" spans="6:6" s="359" customFormat="1" ht="12" x14ac:dyDescent="0.2">
      <c r="F163" s="361"/>
    </row>
    <row r="164" spans="6:6" s="359" customFormat="1" ht="12" x14ac:dyDescent="0.2">
      <c r="F164" s="361"/>
    </row>
    <row r="165" spans="6:6" s="359" customFormat="1" ht="12" x14ac:dyDescent="0.2">
      <c r="F165" s="361"/>
    </row>
    <row r="166" spans="6:6" s="359" customFormat="1" ht="12" x14ac:dyDescent="0.2">
      <c r="F166" s="361"/>
    </row>
    <row r="167" spans="6:6" s="359" customFormat="1" ht="12" x14ac:dyDescent="0.2">
      <c r="F167" s="361"/>
    </row>
    <row r="168" spans="6:6" s="359" customFormat="1" ht="12" x14ac:dyDescent="0.2">
      <c r="F168" s="361"/>
    </row>
    <row r="169" spans="6:6" s="359" customFormat="1" ht="12" x14ac:dyDescent="0.2">
      <c r="F169" s="361"/>
    </row>
    <row r="170" spans="6:6" s="359" customFormat="1" ht="12" x14ac:dyDescent="0.2">
      <c r="F170" s="361"/>
    </row>
    <row r="171" spans="6:6" s="359" customFormat="1" ht="12" x14ac:dyDescent="0.2">
      <c r="F171" s="361"/>
    </row>
    <row r="172" spans="6:6" s="359" customFormat="1" ht="12" x14ac:dyDescent="0.2">
      <c r="F172" s="361"/>
    </row>
    <row r="173" spans="6:6" s="359" customFormat="1" ht="12" x14ac:dyDescent="0.2"/>
    <row r="174" spans="6:6" s="359" customFormat="1" ht="12" x14ac:dyDescent="0.2"/>
    <row r="175" spans="6:6" s="359" customFormat="1" ht="12" x14ac:dyDescent="0.2"/>
    <row r="176" spans="6:6" s="359" customFormat="1" ht="12" x14ac:dyDescent="0.2"/>
    <row r="177" s="359" customFormat="1" ht="12" x14ac:dyDescent="0.2"/>
    <row r="178" s="359" customFormat="1" ht="12" x14ac:dyDescent="0.2"/>
    <row r="179" s="359" customFormat="1" ht="12" x14ac:dyDescent="0.2"/>
    <row r="180" s="359" customFormat="1" ht="12" x14ac:dyDescent="0.2"/>
    <row r="181" s="359" customFormat="1" ht="12" x14ac:dyDescent="0.2"/>
    <row r="182" s="359" customFormat="1" ht="12" x14ac:dyDescent="0.2"/>
  </sheetData>
  <sheetProtection password="CC5E" sheet="1" objects="1" scenarios="1" selectLockedCells="1" selectUnlockedCells="1"/>
  <mergeCells count="1">
    <mergeCell ref="A1:E1"/>
  </mergeCells>
  <conditionalFormatting sqref="E61:AI61">
    <cfRule type="cellIs" dxfId="2" priority="1" operator="greaterThan">
      <formula>0</formula>
    </cfRule>
  </conditionalFormatting>
  <pageMargins left="0.15748031496062992" right="0.15748031496062992" top="0.21" bottom="0.31" header="0.2" footer="0.23"/>
  <pageSetup paperSize="9" scale="3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Ларь5 с тандыром</vt:lpstr>
      <vt:lpstr>Параметры</vt:lpstr>
      <vt:lpstr>Смета график</vt:lpstr>
      <vt:lpstr>Параметры проекта</vt:lpstr>
      <vt:lpstr>БДР</vt:lpstr>
      <vt:lpstr>цех</vt:lpstr>
      <vt:lpstr>цех точка продаж</vt:lpstr>
      <vt:lpstr>Ларь1</vt:lpstr>
      <vt:lpstr>Ларь2</vt:lpstr>
      <vt:lpstr>Ларь3</vt:lpstr>
      <vt:lpstr>Ларь4</vt:lpstr>
      <vt:lpstr>график инвестиций </vt:lpstr>
      <vt:lpstr>Расчет доходности</vt:lpstr>
    </vt:vector>
  </TitlesOfParts>
  <Company>ЭКЦ "Инвест-Проект"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АИЛ</dc:creator>
  <cp:lastModifiedBy>Н</cp:lastModifiedBy>
  <cp:lastPrinted>2019-11-22T05:31:39Z</cp:lastPrinted>
  <dcterms:created xsi:type="dcterms:W3CDTF">2006-07-20T07:49:56Z</dcterms:created>
  <dcterms:modified xsi:type="dcterms:W3CDTF">2020-01-22T07:24:19Z</dcterms:modified>
</cp:coreProperties>
</file>