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570" windowHeight="7725" activeTab="1"/>
  </bookViews>
  <sheets>
    <sheet name="таблица данных" sheetId="1" r:id="rId1"/>
    <sheet name="вывод данных" sheetId="3" r:id="rId2"/>
    <sheet name="גיליון2" sheetId="2" r:id="rId3"/>
  </sheets>
  <externalReferences>
    <externalReference r:id="rId4"/>
    <externalReference r:id="rId5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/>
  <c r="K6"/>
  <c r="K7"/>
  <c r="K8"/>
  <c r="K9"/>
  <c r="K10"/>
  <c r="K11"/>
  <c r="K12"/>
  <c r="K13"/>
  <c r="K14"/>
  <c r="J15"/>
  <c r="L15"/>
  <c r="N15"/>
  <c r="O15"/>
  <c r="K15" l="1"/>
  <c r="D22" i="3"/>
  <c r="C15"/>
  <c r="C10"/>
  <c r="W5" i="1" l="1"/>
  <c r="W6"/>
  <c r="W7"/>
  <c r="W8"/>
  <c r="W9"/>
  <c r="W10"/>
  <c r="W11"/>
  <c r="W12"/>
  <c r="W13"/>
  <c r="W14"/>
  <c r="K5" i="2"/>
  <c r="I5"/>
  <c r="I4"/>
  <c r="E11" i="1" l="1"/>
  <c r="E9"/>
  <c r="F51" i="2" l="1"/>
  <c r="D41"/>
  <c r="F45"/>
  <c r="D44"/>
  <c r="D38"/>
  <c r="F15"/>
  <c r="F32"/>
  <c r="F23"/>
  <c r="F28"/>
  <c r="F12"/>
  <c r="F6"/>
  <c r="AC15" i="1" l="1"/>
  <c r="S5"/>
  <c r="S6"/>
  <c r="AA6" s="1"/>
  <c r="S7"/>
  <c r="S8"/>
  <c r="AA8" s="1"/>
  <c r="S9"/>
  <c r="AA9" s="1"/>
  <c r="S10"/>
  <c r="AA10" s="1"/>
  <c r="S11"/>
  <c r="S12"/>
  <c r="AA12" s="1"/>
  <c r="S13"/>
  <c r="AA13" s="1"/>
  <c r="S14"/>
  <c r="AA5" l="1"/>
  <c r="D24" i="3"/>
  <c r="E24" s="1"/>
  <c r="AA11" i="1"/>
  <c r="AA14"/>
  <c r="AA7"/>
  <c r="AA15" l="1"/>
  <c r="U29"/>
  <c r="U21"/>
  <c r="U12"/>
  <c r="U5"/>
  <c r="U34"/>
  <c r="U26"/>
  <c r="U18"/>
  <c r="U10"/>
  <c r="U33"/>
  <c r="U25"/>
  <c r="U17"/>
  <c r="U9"/>
  <c r="U30"/>
  <c r="U22"/>
  <c r="U13"/>
  <c r="U6"/>
  <c r="U32"/>
  <c r="U28"/>
  <c r="U24"/>
  <c r="U20"/>
  <c r="U16"/>
  <c r="U11"/>
  <c r="U8"/>
  <c r="U31"/>
  <c r="U27"/>
  <c r="U23"/>
  <c r="U19"/>
  <c r="U14"/>
  <c r="U7"/>
  <c r="E55" i="2"/>
  <c r="D34"/>
  <c r="D35" s="1"/>
  <c r="D32"/>
  <c r="D28"/>
  <c r="D23"/>
  <c r="D15"/>
  <c r="D12"/>
  <c r="H12" s="1"/>
  <c r="D9"/>
  <c r="D6"/>
  <c r="AB6" i="1" l="1"/>
  <c r="AB9"/>
  <c r="AB10"/>
  <c r="AB8"/>
  <c r="AB13"/>
  <c r="AB12"/>
  <c r="AB5"/>
  <c r="I9" i="2"/>
  <c r="V7" i="1"/>
  <c r="X7" s="1"/>
  <c r="V14"/>
  <c r="X14" s="1"/>
  <c r="V8"/>
  <c r="X8" s="1"/>
  <c r="V11"/>
  <c r="X11" s="1"/>
  <c r="V5"/>
  <c r="D26" i="3" s="1"/>
  <c r="E26" s="1"/>
  <c r="Y5" i="1" s="1"/>
  <c r="V9"/>
  <c r="X9" s="1"/>
  <c r="V12"/>
  <c r="X12" s="1"/>
  <c r="V6"/>
  <c r="X6" s="1"/>
  <c r="V10"/>
  <c r="X10" s="1"/>
  <c r="V13"/>
  <c r="X13" s="1"/>
  <c r="AB7"/>
  <c r="AB14"/>
  <c r="AB11"/>
  <c r="U15"/>
  <c r="E14"/>
  <c r="X5" l="1"/>
  <c r="X15" s="1"/>
  <c r="AB15"/>
  <c r="I11" i="2"/>
  <c r="G15" i="1"/>
  <c r="E17"/>
  <c r="H17" s="1"/>
  <c r="P17"/>
  <c r="S17"/>
  <c r="V17"/>
  <c r="W17"/>
  <c r="F20"/>
  <c r="H20" s="1"/>
  <c r="G20"/>
  <c r="P20"/>
  <c r="S20"/>
  <c r="V20"/>
  <c r="W20"/>
  <c r="P25"/>
  <c r="Z25"/>
  <c r="H13"/>
  <c r="M13" s="1"/>
  <c r="H12"/>
  <c r="M12" s="1"/>
  <c r="H11"/>
  <c r="M11" s="1"/>
  <c r="E8"/>
  <c r="H9"/>
  <c r="M9" s="1"/>
  <c r="E10"/>
  <c r="H7"/>
  <c r="M7" s="1"/>
  <c r="H6"/>
  <c r="M6" s="1"/>
  <c r="H5"/>
  <c r="M5" s="1"/>
  <c r="Z6" l="1"/>
  <c r="Z5"/>
  <c r="C17" i="3"/>
  <c r="D34" s="1"/>
  <c r="Z9" i="1"/>
  <c r="Z13"/>
  <c r="Z7"/>
  <c r="Z11"/>
  <c r="Z12"/>
  <c r="AD14"/>
  <c r="H10"/>
  <c r="M10" s="1"/>
  <c r="H8"/>
  <c r="M8" s="1"/>
  <c r="P21"/>
  <c r="Z20"/>
  <c r="Z17"/>
  <c r="P23"/>
  <c r="H14"/>
  <c r="M14" s="1"/>
  <c r="E15"/>
  <c r="M15" l="1"/>
  <c r="Z14"/>
  <c r="Z8"/>
  <c r="Z10"/>
  <c r="AD6"/>
  <c r="AD9"/>
  <c r="AD8"/>
  <c r="AD12"/>
  <c r="AD13"/>
  <c r="AD7"/>
  <c r="AD10"/>
  <c r="AD5"/>
  <c r="AD11"/>
  <c r="W15"/>
  <c r="W21" s="1"/>
  <c r="H15"/>
  <c r="S15"/>
  <c r="S21" s="1"/>
  <c r="V15"/>
  <c r="V21" s="1"/>
  <c r="Z15" l="1"/>
  <c r="Z21" s="1"/>
  <c r="AD15"/>
  <c r="H16"/>
</calcChain>
</file>

<file path=xl/comments1.xml><?xml version="1.0" encoding="utf-8"?>
<comments xmlns="http://schemas.openxmlformats.org/spreadsheetml/2006/main">
  <authors>
    <author>Rachel Grinvald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Rachel Grinvald:</t>
        </r>
        <r>
          <rPr>
            <sz val="9"/>
            <color indexed="81"/>
            <rFont val="Tahoma"/>
            <family val="2"/>
          </rPr>
          <t xml:space="preserve">
100000 הועברו ישירות לאפהל
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Rachel Grinvald:</t>
        </r>
        <r>
          <rPr>
            <sz val="8"/>
            <color indexed="81"/>
            <rFont val="Tahoma"/>
            <family val="2"/>
          </rPr>
          <t xml:space="preserve">
7.6.18 700,000
500,000 25.7.18</t>
        </r>
      </text>
    </comment>
  </commentList>
</comments>
</file>

<file path=xl/sharedStrings.xml><?xml version="1.0" encoding="utf-8"?>
<sst xmlns="http://schemas.openxmlformats.org/spreadsheetml/2006/main" count="189" uniqueCount="129">
  <si>
    <t>אחיסמך</t>
  </si>
  <si>
    <t>מאזן בוחן</t>
  </si>
  <si>
    <t>הפקדות ללא אסמכתא</t>
  </si>
  <si>
    <t>קרקע</t>
  </si>
  <si>
    <t>סיחור</t>
  </si>
  <si>
    <t xml:space="preserve">בניה וניהול </t>
  </si>
  <si>
    <t>סכום מימון מטריא</t>
  </si>
  <si>
    <t>הלוואה מאפה"ל</t>
  </si>
  <si>
    <t>שעור השתתפות בפרויקט</t>
  </si>
  <si>
    <t>שעור השתתפות במגרש</t>
  </si>
  <si>
    <t>בניה</t>
  </si>
  <si>
    <t>מימון</t>
  </si>
  <si>
    <t>זיתון מרים</t>
  </si>
  <si>
    <t>גרידיש שמעון ודניאלה</t>
  </si>
  <si>
    <t>מלכר גרשון ונרית</t>
  </si>
  <si>
    <t>שוורץ בנימין ושירה</t>
  </si>
  <si>
    <t>בלומנפלד ישעיהו ויפעת</t>
  </si>
  <si>
    <t>נגר נתנאל</t>
  </si>
  <si>
    <t>חממי יצחק</t>
  </si>
  <si>
    <t>פניג אוהד ומלכה</t>
  </si>
  <si>
    <t>כהן יהודה ואהבה</t>
  </si>
  <si>
    <t>מקדמות רוכשים מגרש 203</t>
  </si>
  <si>
    <t>מצנר דב</t>
  </si>
  <si>
    <t>מקדמות רוכשים מגרשים 207,208,209,212</t>
  </si>
  <si>
    <t>הגיגים יזום ובניה</t>
  </si>
  <si>
    <t>שיעור ללא אפהל</t>
  </si>
  <si>
    <t>סה"כ הפקדות עם אסמכתא</t>
  </si>
  <si>
    <t>מורשקו אלכס וסופית</t>
  </si>
  <si>
    <t>תאריך</t>
  </si>
  <si>
    <t>ספק</t>
  </si>
  <si>
    <t>הוצאה</t>
  </si>
  <si>
    <t>סכום</t>
  </si>
  <si>
    <t>הערות</t>
  </si>
  <si>
    <t>קרקע ונלוות</t>
  </si>
  <si>
    <t>29.3.18</t>
  </si>
  <si>
    <t>אל אר דור</t>
  </si>
  <si>
    <t>ניהול</t>
  </si>
  <si>
    <t>29.6.17</t>
  </si>
  <si>
    <t>סה"כ</t>
  </si>
  <si>
    <t>4.7.17</t>
  </si>
  <si>
    <t>גיורא גור</t>
  </si>
  <si>
    <t>אדריכלות</t>
  </si>
  <si>
    <t>28.3.18</t>
  </si>
  <si>
    <t>הגיגים- קבלן</t>
  </si>
  <si>
    <t>בקרה</t>
  </si>
  <si>
    <t>2.8.18</t>
  </si>
  <si>
    <t>מדפיס זרזקי</t>
  </si>
  <si>
    <t>פיקוח</t>
  </si>
  <si>
    <t>30.3.18</t>
  </si>
  <si>
    <t>פז העתקות</t>
  </si>
  <si>
    <t>משרדיות</t>
  </si>
  <si>
    <t>28.2.18</t>
  </si>
  <si>
    <t>29.6.18</t>
  </si>
  <si>
    <t>14.8.18</t>
  </si>
  <si>
    <t>פז כלכלה</t>
  </si>
  <si>
    <t>שמאות</t>
  </si>
  <si>
    <t>24 מגרשים 96 יח"ד</t>
  </si>
  <si>
    <t>19.6.17</t>
  </si>
  <si>
    <t>24.6.18</t>
  </si>
  <si>
    <t>7 בנינים 28 יח"ד</t>
  </si>
  <si>
    <t>29.5.18</t>
  </si>
  <si>
    <t>זיו האפט</t>
  </si>
  <si>
    <t>ליווי פיננסי 4-6.18</t>
  </si>
  <si>
    <t>8.7.18</t>
  </si>
  <si>
    <t>ליווי פיננסי 7.18</t>
  </si>
  <si>
    <t>רכישת קרקע</t>
  </si>
  <si>
    <t>רכישת קרקע- רון שרון</t>
  </si>
  <si>
    <t>רכישת קרקע- אפרים שרון</t>
  </si>
  <si>
    <t>רכישת קרקע- מגדלי הבורסה</t>
  </si>
  <si>
    <t>יהושע שרון -רכישת קרקע</t>
  </si>
  <si>
    <t>רכישת קרקע- נתן שרון</t>
  </si>
  <si>
    <t>סה"כ לקבוצה:</t>
  </si>
  <si>
    <t>הוצאות הנהלה וכלליות</t>
  </si>
  <si>
    <t>הוצאות משפטיות</t>
  </si>
  <si>
    <t>הוצאות מימון</t>
  </si>
  <si>
    <t>עמלות בנק</t>
  </si>
  <si>
    <t>יעוץ, ניהול ופיקוח חריג</t>
  </si>
  <si>
    <t>קבוע</t>
  </si>
  <si>
    <t>חריג יעוץ ניהול ופיקוח</t>
  </si>
  <si>
    <t>שוטף יעוץ ניהול ופיקוח</t>
  </si>
  <si>
    <t>צפי תשלומים נוספים לבניה</t>
  </si>
  <si>
    <t>צפי תשלומים נוספים ניהול</t>
  </si>
  <si>
    <t>יתרת רווח צפויה</t>
  </si>
  <si>
    <t xml:space="preserve">חריגים אלומניום </t>
  </si>
  <si>
    <t>כספים מיועדים לבניה וניהול</t>
  </si>
  <si>
    <t>דוח יוסי</t>
  </si>
  <si>
    <t>תביעה להב אורי</t>
  </si>
  <si>
    <t>יועץ קרקע</t>
  </si>
  <si>
    <t>קבלן גידור וכלונסאות</t>
  </si>
  <si>
    <t>יתרת רוכש 15/12/18</t>
  </si>
  <si>
    <t>לפי דוח מפקח 2.12.18</t>
  </si>
  <si>
    <t>קבוצת אחיסמך</t>
  </si>
  <si>
    <t>ביצוע:</t>
  </si>
  <si>
    <t>שיעור השלמה</t>
  </si>
  <si>
    <t xml:space="preserve">בניה </t>
  </si>
  <si>
    <t>ניהול וכלליות</t>
  </si>
  <si>
    <t>יתרת רוכש</t>
  </si>
  <si>
    <t>שם הרוכש:</t>
  </si>
  <si>
    <t>הון עצמי:</t>
  </si>
  <si>
    <t>בס"ד</t>
  </si>
  <si>
    <t>בניה כולל מעמ</t>
  </si>
  <si>
    <t>מספר חוזה:</t>
  </si>
  <si>
    <t>מספר חוזה</t>
  </si>
  <si>
    <t>הון עצמי</t>
  </si>
  <si>
    <t>תאריך עדכון</t>
  </si>
  <si>
    <t>נכון לתאריך:</t>
  </si>
  <si>
    <t>שדה ריק</t>
  </si>
  <si>
    <t>שם הרוכש</t>
  </si>
  <si>
    <t>עלות יחידה משוער (אומדן)</t>
  </si>
  <si>
    <t>שיעור השלמה קרקע</t>
  </si>
  <si>
    <t>שיעור השלמה בניה</t>
  </si>
  <si>
    <t>שיעור השלמה ניהול</t>
  </si>
  <si>
    <t>עלות יחידה משוער (אומדן):</t>
  </si>
  <si>
    <t>שם הקבוצה</t>
  </si>
  <si>
    <t>имя</t>
  </si>
  <si>
    <t>номер контракта</t>
  </si>
  <si>
    <t>цена единицы</t>
  </si>
  <si>
    <t>личный капитал</t>
  </si>
  <si>
    <t>земля</t>
  </si>
  <si>
    <t>застройка</t>
  </si>
  <si>
    <t>менеджмент</t>
  </si>
  <si>
    <t>сумма</t>
  </si>
  <si>
    <t>% окончания</t>
  </si>
  <si>
    <t>пустое поле</t>
  </si>
  <si>
    <t>итого</t>
  </si>
  <si>
    <t>% земля</t>
  </si>
  <si>
    <t>% застройка</t>
  </si>
  <si>
    <t>% мененджмент</t>
  </si>
  <si>
    <t>название группы</t>
  </si>
</sst>
</file>

<file path=xl/styles.xml><?xml version="1.0" encoding="utf-8"?>
<styleSheet xmlns="http://schemas.openxmlformats.org/spreadsheetml/2006/main">
  <numFmts count="15">
    <numFmt numFmtId="164" formatCode="_ &quot;₪&quot;\ * #,##0.00_ ;_ &quot;₪&quot;\ * \-#,##0.00_ ;_ &quot;₪&quot;\ * &quot;-&quot;??_ ;_ @_ "/>
    <numFmt numFmtId="165" formatCode="_ * #,##0.00_ ;_ * \-#,##0.00_ ;_ * &quot;-&quot;??_ ;_ @_ "/>
    <numFmt numFmtId="166" formatCode="???,??0.00"/>
    <numFmt numFmtId="167" formatCode="???,??0.0000"/>
    <numFmt numFmtId="168" formatCode="?,???,??0.00"/>
    <numFmt numFmtId="169" formatCode="_ &quot;₪&quot;\ * #,##0_ ;_ &quot;₪&quot;\ * \-#,##0_ ;_ &quot;₪&quot;\ * &quot;-&quot;??_ ;_ @_ "/>
    <numFmt numFmtId="170" formatCode="???,??0"/>
    <numFmt numFmtId="171" formatCode="&quot;₪&quot;\ #,##0"/>
    <numFmt numFmtId="172" formatCode="?,??0.00"/>
    <numFmt numFmtId="173" formatCode="???"/>
    <numFmt numFmtId="174" formatCode="?????"/>
    <numFmt numFmtId="175" formatCode="??,???,??0.00"/>
    <numFmt numFmtId="176" formatCode="\-??,???,??0.00;\-??,???,??0.00"/>
    <numFmt numFmtId="177" formatCode="_ * #,##0_ ;_ * \-#,##0_ ;_ * &quot;-&quot;??_ ;_ @_ "/>
    <numFmt numFmtId="178" formatCode="_ * #,##0.0_ ;_ * \-#,##0.0_ ;_ * &quot;-&quot;??_ ;_ @_ "/>
  </numFmts>
  <fonts count="2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.5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9"/>
      <color theme="1"/>
      <name val="Arial"/>
      <family val="2"/>
    </font>
    <font>
      <b/>
      <u/>
      <sz val="9"/>
      <color indexed="8"/>
      <name val="Arial"/>
      <family val="2"/>
    </font>
    <font>
      <b/>
      <u/>
      <sz val="9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David"/>
      <family val="2"/>
      <charset val="177"/>
    </font>
    <font>
      <sz val="14"/>
      <color theme="1"/>
      <name val="David"/>
      <family val="2"/>
      <charset val="177"/>
    </font>
    <font>
      <b/>
      <sz val="14"/>
      <color theme="1"/>
      <name val="David"/>
      <family val="2"/>
      <charset val="177"/>
    </font>
    <font>
      <b/>
      <u/>
      <sz val="14"/>
      <color theme="1"/>
      <name val="David"/>
      <family val="2"/>
      <charset val="177"/>
    </font>
    <font>
      <b/>
      <sz val="16"/>
      <color theme="1"/>
      <name val="David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165" fontId="2" fillId="0" borderId="0" xfId="1" applyFont="1" applyAlignment="1">
      <alignment horizontal="right" vertical="top"/>
    </xf>
    <xf numFmtId="165" fontId="1" fillId="0" borderId="0" xfId="1"/>
    <xf numFmtId="10" fontId="0" fillId="0" borderId="0" xfId="0" applyNumberFormat="1"/>
    <xf numFmtId="165" fontId="3" fillId="0" borderId="0" xfId="1" applyFont="1" applyAlignment="1">
      <alignment horizontal="right" vertical="top"/>
    </xf>
    <xf numFmtId="165" fontId="4" fillId="0" borderId="0" xfId="1" applyFont="1" applyAlignment="1">
      <alignment horizontal="right" vertical="top"/>
    </xf>
    <xf numFmtId="0" fontId="0" fillId="2" borderId="4" xfId="0" applyFill="1" applyBorder="1"/>
    <xf numFmtId="165" fontId="6" fillId="2" borderId="4" xfId="1" applyFont="1" applyFill="1" applyBorder="1" applyAlignment="1">
      <alignment horizontal="right" vertical="top"/>
    </xf>
    <xf numFmtId="166" fontId="4" fillId="2" borderId="4" xfId="1" applyNumberFormat="1" applyFont="1" applyFill="1" applyBorder="1" applyAlignment="1">
      <alignment horizontal="right" vertical="top"/>
    </xf>
    <xf numFmtId="166" fontId="6" fillId="2" borderId="4" xfId="1" applyNumberFormat="1" applyFont="1" applyFill="1" applyBorder="1" applyAlignment="1">
      <alignment horizontal="right" vertical="top"/>
    </xf>
    <xf numFmtId="167" fontId="6" fillId="2" borderId="4" xfId="1" applyNumberFormat="1" applyFont="1" applyFill="1" applyBorder="1" applyAlignment="1">
      <alignment horizontal="right" vertical="top"/>
    </xf>
    <xf numFmtId="0" fontId="0" fillId="0" borderId="4" xfId="0" applyBorder="1"/>
    <xf numFmtId="168" fontId="4" fillId="0" borderId="4" xfId="1" applyNumberFormat="1" applyFont="1" applyFill="1" applyBorder="1" applyAlignment="1">
      <alignment horizontal="right" vertical="top"/>
    </xf>
    <xf numFmtId="166" fontId="6" fillId="0" borderId="4" xfId="1" applyNumberFormat="1" applyFont="1" applyFill="1" applyBorder="1" applyAlignment="1">
      <alignment horizontal="right" vertical="top"/>
    </xf>
    <xf numFmtId="166" fontId="4" fillId="0" borderId="4" xfId="1" applyNumberFormat="1" applyFont="1" applyFill="1" applyBorder="1" applyAlignment="1">
      <alignment horizontal="right" vertical="top"/>
    </xf>
    <xf numFmtId="165" fontId="5" fillId="2" borderId="4" xfId="1" applyFont="1" applyFill="1" applyBorder="1" applyAlignment="1">
      <alignment horizontal="right" vertical="top"/>
    </xf>
    <xf numFmtId="0" fontId="0" fillId="0" borderId="4" xfId="0" applyFill="1" applyBorder="1"/>
    <xf numFmtId="167" fontId="6" fillId="0" borderId="4" xfId="1" applyNumberFormat="1" applyFont="1" applyFill="1" applyBorder="1" applyAlignment="1">
      <alignment horizontal="right" vertical="top"/>
    </xf>
    <xf numFmtId="165" fontId="6" fillId="0" borderId="4" xfId="1" applyFont="1" applyFill="1" applyBorder="1" applyAlignment="1">
      <alignment horizontal="right" vertical="top"/>
    </xf>
    <xf numFmtId="165" fontId="7" fillId="0" borderId="4" xfId="1" applyFont="1" applyFill="1" applyBorder="1" applyAlignment="1">
      <alignment horizontal="right" vertical="top"/>
    </xf>
    <xf numFmtId="0" fontId="8" fillId="0" borderId="4" xfId="0" applyFont="1" applyFill="1" applyBorder="1"/>
    <xf numFmtId="166" fontId="9" fillId="0" borderId="4" xfId="1" applyNumberFormat="1" applyFont="1" applyFill="1" applyBorder="1" applyAlignment="1">
      <alignment horizontal="right" vertical="top"/>
    </xf>
    <xf numFmtId="166" fontId="10" fillId="0" borderId="4" xfId="1" applyNumberFormat="1" applyFont="1" applyFill="1" applyBorder="1" applyAlignment="1">
      <alignment horizontal="right" vertical="top"/>
    </xf>
    <xf numFmtId="167" fontId="9" fillId="0" borderId="4" xfId="1" applyNumberFormat="1" applyFont="1" applyFill="1" applyBorder="1" applyAlignment="1">
      <alignment horizontal="right" vertical="top"/>
    </xf>
    <xf numFmtId="165" fontId="9" fillId="0" borderId="4" xfId="1" applyFont="1" applyFill="1" applyBorder="1" applyAlignment="1">
      <alignment horizontal="right" vertical="top"/>
    </xf>
    <xf numFmtId="168" fontId="10" fillId="0" borderId="4" xfId="1" applyNumberFormat="1" applyFont="1" applyFill="1" applyBorder="1" applyAlignment="1">
      <alignment horizontal="right" vertical="top"/>
    </xf>
    <xf numFmtId="168" fontId="4" fillId="2" borderId="4" xfId="1" applyNumberFormat="1" applyFont="1" applyFill="1" applyBorder="1" applyAlignment="1">
      <alignment horizontal="right" vertical="top"/>
    </xf>
    <xf numFmtId="165" fontId="1" fillId="0" borderId="4" xfId="1" applyBorder="1"/>
    <xf numFmtId="167" fontId="0" fillId="0" borderId="4" xfId="0" applyNumberFormat="1" applyBorder="1"/>
    <xf numFmtId="0" fontId="0" fillId="0" borderId="4" xfId="0" applyBorder="1" applyAlignment="1">
      <alignment readingOrder="2"/>
    </xf>
    <xf numFmtId="169" fontId="0" fillId="0" borderId="4" xfId="0" applyNumberFormat="1" applyBorder="1"/>
    <xf numFmtId="0" fontId="13" fillId="0" borderId="1" xfId="0" applyFont="1" applyBorder="1" applyAlignment="1">
      <alignment horizontal="center" vertical="center" wrapText="1"/>
    </xf>
    <xf numFmtId="165" fontId="14" fillId="0" borderId="2" xfId="1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9" fillId="4" borderId="4" xfId="0" applyFont="1" applyFill="1" applyBorder="1"/>
    <xf numFmtId="165" fontId="6" fillId="4" borderId="4" xfId="1" applyFont="1" applyFill="1" applyBorder="1" applyAlignment="1">
      <alignment horizontal="right" vertical="top"/>
    </xf>
    <xf numFmtId="166" fontId="4" fillId="4" borderId="4" xfId="1" applyNumberFormat="1" applyFont="1" applyFill="1" applyBorder="1" applyAlignment="1">
      <alignment horizontal="right" vertical="top"/>
    </xf>
    <xf numFmtId="166" fontId="6" fillId="4" borderId="4" xfId="1" applyNumberFormat="1" applyFont="1" applyFill="1" applyBorder="1" applyAlignment="1">
      <alignment horizontal="right" vertical="top"/>
    </xf>
    <xf numFmtId="169" fontId="9" fillId="4" borderId="4" xfId="2" applyNumberFormat="1" applyFont="1" applyFill="1" applyBorder="1"/>
    <xf numFmtId="167" fontId="6" fillId="4" borderId="4" xfId="1" applyNumberFormat="1" applyFont="1" applyFill="1" applyBorder="1" applyAlignment="1">
      <alignment horizontal="right" vertical="top"/>
    </xf>
    <xf numFmtId="169" fontId="9" fillId="0" borderId="4" xfId="2" applyNumberFormat="1" applyFont="1" applyFill="1" applyBorder="1"/>
    <xf numFmtId="165" fontId="6" fillId="3" borderId="4" xfId="1" applyFont="1" applyFill="1" applyBorder="1" applyAlignment="1">
      <alignment horizontal="right" vertical="top"/>
    </xf>
    <xf numFmtId="0" fontId="9" fillId="3" borderId="4" xfId="0" applyFont="1" applyFill="1" applyBorder="1"/>
    <xf numFmtId="166" fontId="6" fillId="3" borderId="4" xfId="1" applyNumberFormat="1" applyFont="1" applyFill="1" applyBorder="1" applyAlignment="1">
      <alignment horizontal="right" vertical="top"/>
    </xf>
    <xf numFmtId="166" fontId="4" fillId="3" borderId="4" xfId="1" applyNumberFormat="1" applyFont="1" applyFill="1" applyBorder="1" applyAlignment="1">
      <alignment horizontal="right" vertical="top"/>
    </xf>
    <xf numFmtId="169" fontId="9" fillId="3" borderId="4" xfId="2" applyNumberFormat="1" applyFont="1" applyFill="1" applyBorder="1"/>
    <xf numFmtId="167" fontId="6" fillId="3" borderId="4" xfId="1" applyNumberFormat="1" applyFont="1" applyFill="1" applyBorder="1" applyAlignment="1">
      <alignment horizontal="right" vertical="top"/>
    </xf>
    <xf numFmtId="170" fontId="4" fillId="4" borderId="4" xfId="1" applyNumberFormat="1" applyFont="1" applyFill="1" applyBorder="1" applyAlignment="1">
      <alignment horizontal="right" vertical="top"/>
    </xf>
    <xf numFmtId="170" fontId="4" fillId="0" borderId="4" xfId="1" applyNumberFormat="1" applyFont="1" applyFill="1" applyBorder="1" applyAlignment="1">
      <alignment horizontal="right" vertical="top"/>
    </xf>
    <xf numFmtId="170" fontId="4" fillId="3" borderId="4" xfId="1" applyNumberFormat="1" applyFont="1" applyFill="1" applyBorder="1" applyAlignment="1">
      <alignment horizontal="right" vertical="top"/>
    </xf>
    <xf numFmtId="0" fontId="0" fillId="0" borderId="0" xfId="0" applyFill="1"/>
    <xf numFmtId="165" fontId="6" fillId="4" borderId="4" xfId="1" applyFont="1" applyFill="1" applyBorder="1" applyAlignment="1">
      <alignment horizontal="right" vertical="top" wrapText="1"/>
    </xf>
    <xf numFmtId="171" fontId="0" fillId="0" borderId="0" xfId="0" applyNumberFormat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1" fontId="17" fillId="0" borderId="2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1" fontId="17" fillId="0" borderId="0" xfId="0" applyNumberFormat="1" applyFont="1" applyBorder="1" applyAlignment="1">
      <alignment horizontal="center" vertical="center"/>
    </xf>
    <xf numFmtId="0" fontId="0" fillId="5" borderId="0" xfId="0" applyFill="1"/>
    <xf numFmtId="4" fontId="0" fillId="5" borderId="0" xfId="0" applyNumberFormat="1" applyFill="1"/>
    <xf numFmtId="0" fontId="0" fillId="0" borderId="3" xfId="0" applyBorder="1" applyAlignment="1">
      <alignment horizontal="center"/>
    </xf>
    <xf numFmtId="171" fontId="0" fillId="0" borderId="4" xfId="0" applyNumberFormat="1" applyBorder="1" applyAlignment="1">
      <alignment horizontal="center"/>
    </xf>
    <xf numFmtId="0" fontId="0" fillId="6" borderId="0" xfId="0" applyFill="1"/>
    <xf numFmtId="171" fontId="0" fillId="6" borderId="0" xfId="0" applyNumberFormat="1" applyFill="1"/>
    <xf numFmtId="0" fontId="0" fillId="0" borderId="8" xfId="0" applyBorder="1" applyAlignment="1">
      <alignment horizontal="center"/>
    </xf>
    <xf numFmtId="0" fontId="0" fillId="0" borderId="8" xfId="0" applyBorder="1"/>
    <xf numFmtId="171" fontId="0" fillId="0" borderId="8" xfId="0" applyNumberFormat="1" applyBorder="1" applyAlignment="1">
      <alignment horizontal="center"/>
    </xf>
    <xf numFmtId="0" fontId="0" fillId="0" borderId="8" xfId="0" applyBorder="1" applyAlignment="1">
      <alignment readingOrder="2"/>
    </xf>
    <xf numFmtId="0" fontId="0" fillId="7" borderId="0" xfId="0" applyFill="1"/>
    <xf numFmtId="171" fontId="0" fillId="7" borderId="0" xfId="0" applyNumberFormat="1" applyFill="1"/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71" fontId="17" fillId="7" borderId="10" xfId="0" applyNumberFormat="1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8" borderId="0" xfId="0" applyFill="1"/>
    <xf numFmtId="172" fontId="0" fillId="8" borderId="0" xfId="0" applyNumberFormat="1" applyFill="1"/>
    <xf numFmtId="0" fontId="17" fillId="0" borderId="0" xfId="0" applyFont="1" applyBorder="1" applyAlignment="1">
      <alignment horizontal="center"/>
    </xf>
    <xf numFmtId="171" fontId="17" fillId="0" borderId="0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4" fontId="0" fillId="0" borderId="0" xfId="0" applyNumberFormat="1"/>
    <xf numFmtId="0" fontId="0" fillId="0" borderId="8" xfId="0" applyFill="1" applyBorder="1"/>
    <xf numFmtId="171" fontId="0" fillId="0" borderId="8" xfId="0" applyNumberFormat="1" applyFill="1" applyBorder="1" applyAlignment="1">
      <alignment horizontal="center"/>
    </xf>
    <xf numFmtId="171" fontId="17" fillId="6" borderId="10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71" fontId="17" fillId="5" borderId="10" xfId="0" applyNumberFormat="1" applyFont="1" applyFill="1" applyBorder="1" applyAlignment="1">
      <alignment horizontal="center"/>
    </xf>
    <xf numFmtId="165" fontId="5" fillId="0" borderId="0" xfId="1" applyFont="1" applyAlignment="1">
      <alignment horizontal="right" vertical="top"/>
    </xf>
    <xf numFmtId="173" fontId="6" fillId="0" borderId="0" xfId="1" applyNumberFormat="1" applyFont="1" applyAlignment="1">
      <alignment horizontal="right" vertical="top"/>
    </xf>
    <xf numFmtId="174" fontId="6" fillId="0" borderId="0" xfId="1" applyNumberFormat="1" applyFont="1" applyAlignment="1">
      <alignment horizontal="right" vertical="top"/>
    </xf>
    <xf numFmtId="165" fontId="6" fillId="0" borderId="0" xfId="1" applyFont="1" applyAlignment="1">
      <alignment horizontal="right" vertical="top"/>
    </xf>
    <xf numFmtId="166" fontId="4" fillId="0" borderId="0" xfId="1" applyNumberFormat="1" applyFont="1" applyAlignment="1">
      <alignment horizontal="right" vertical="top"/>
    </xf>
    <xf numFmtId="168" fontId="4" fillId="0" borderId="0" xfId="1" applyNumberFormat="1" applyFont="1" applyAlignment="1">
      <alignment horizontal="right" vertical="top"/>
    </xf>
    <xf numFmtId="175" fontId="4" fillId="0" borderId="0" xfId="1" applyNumberFormat="1" applyFont="1" applyAlignment="1">
      <alignment horizontal="right" vertical="top"/>
    </xf>
    <xf numFmtId="175" fontId="4" fillId="5" borderId="0" xfId="1" applyNumberFormat="1" applyFont="1" applyFill="1" applyAlignment="1">
      <alignment horizontal="right" vertical="top"/>
    </xf>
    <xf numFmtId="176" fontId="4" fillId="0" borderId="0" xfId="1" applyNumberFormat="1" applyFont="1" applyAlignment="1">
      <alignment horizontal="right" vertical="top"/>
    </xf>
    <xf numFmtId="166" fontId="4" fillId="7" borderId="0" xfId="1" applyNumberFormat="1" applyFont="1" applyFill="1" applyAlignment="1">
      <alignment horizontal="right" vertical="top"/>
    </xf>
    <xf numFmtId="172" fontId="4" fillId="8" borderId="0" xfId="1" applyNumberFormat="1" applyFont="1" applyFill="1" applyAlignment="1">
      <alignment horizontal="right" vertical="top"/>
    </xf>
    <xf numFmtId="167" fontId="0" fillId="0" borderId="0" xfId="0" applyNumberFormat="1"/>
    <xf numFmtId="177" fontId="1" fillId="0" borderId="0" xfId="1" applyNumberFormat="1"/>
    <xf numFmtId="177" fontId="14" fillId="0" borderId="2" xfId="1" applyNumberFormat="1" applyFont="1" applyBorder="1" applyAlignment="1">
      <alignment horizontal="center" vertical="center" wrapText="1"/>
    </xf>
    <xf numFmtId="177" fontId="4" fillId="4" borderId="4" xfId="1" applyNumberFormat="1" applyFont="1" applyFill="1" applyBorder="1" applyAlignment="1">
      <alignment horizontal="right" vertical="top"/>
    </xf>
    <xf numFmtId="177" fontId="4" fillId="3" borderId="4" xfId="1" applyNumberFormat="1" applyFont="1" applyFill="1" applyBorder="1" applyAlignment="1">
      <alignment horizontal="right" vertical="top"/>
    </xf>
    <xf numFmtId="177" fontId="10" fillId="0" borderId="4" xfId="1" applyNumberFormat="1" applyFont="1" applyFill="1" applyBorder="1" applyAlignment="1">
      <alignment horizontal="right" vertical="top"/>
    </xf>
    <xf numFmtId="177" fontId="6" fillId="2" borderId="4" xfId="1" applyNumberFormat="1" applyFont="1" applyFill="1" applyBorder="1" applyAlignment="1">
      <alignment horizontal="right" vertical="top"/>
    </xf>
    <xf numFmtId="177" fontId="4" fillId="2" borderId="4" xfId="1" applyNumberFormat="1" applyFont="1" applyFill="1" applyBorder="1" applyAlignment="1">
      <alignment horizontal="right" vertical="top"/>
    </xf>
    <xf numFmtId="177" fontId="0" fillId="0" borderId="0" xfId="1" applyNumberFormat="1" applyFont="1"/>
    <xf numFmtId="177" fontId="4" fillId="0" borderId="4" xfId="1" applyNumberFormat="1" applyFont="1" applyFill="1" applyBorder="1" applyAlignment="1">
      <alignment horizontal="right" vertical="top"/>
    </xf>
    <xf numFmtId="177" fontId="0" fillId="0" borderId="0" xfId="0" applyNumberFormat="1"/>
    <xf numFmtId="177" fontId="14" fillId="0" borderId="5" xfId="1" applyNumberFormat="1" applyFont="1" applyBorder="1" applyAlignment="1">
      <alignment horizontal="center" vertical="center" wrapText="1"/>
    </xf>
    <xf numFmtId="171" fontId="0" fillId="0" borderId="0" xfId="0" applyNumberFormat="1"/>
    <xf numFmtId="165" fontId="0" fillId="0" borderId="0" xfId="1" applyFont="1"/>
    <xf numFmtId="165" fontId="17" fillId="0" borderId="0" xfId="1" applyFont="1" applyFill="1" applyBorder="1" applyAlignment="1">
      <alignment horizontal="center" vertical="center"/>
    </xf>
    <xf numFmtId="171" fontId="17" fillId="0" borderId="0" xfId="0" applyNumberFormat="1" applyFont="1" applyFill="1" applyBorder="1" applyAlignment="1">
      <alignment horizontal="center"/>
    </xf>
    <xf numFmtId="14" fontId="16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178" fontId="21" fillId="0" borderId="0" xfId="1" applyNumberFormat="1" applyFont="1"/>
    <xf numFmtId="177" fontId="21" fillId="0" borderId="0" xfId="1" applyNumberFormat="1" applyFont="1"/>
    <xf numFmtId="0" fontId="21" fillId="0" borderId="9" xfId="0" applyFont="1" applyBorder="1"/>
    <xf numFmtId="0" fontId="21" fillId="0" borderId="11" xfId="0" applyFont="1" applyBorder="1"/>
    <xf numFmtId="0" fontId="22" fillId="0" borderId="10" xfId="0" applyFont="1" applyBorder="1"/>
    <xf numFmtId="177" fontId="21" fillId="0" borderId="10" xfId="1" applyNumberFormat="1" applyFont="1" applyBorder="1"/>
    <xf numFmtId="9" fontId="21" fillId="0" borderId="0" xfId="0" applyNumberFormat="1" applyFont="1"/>
    <xf numFmtId="177" fontId="14" fillId="0" borderId="2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177" fontId="21" fillId="0" borderId="0" xfId="1" applyNumberFormat="1" applyFont="1" applyAlignment="1">
      <alignment horizontal="center"/>
    </xf>
    <xf numFmtId="14" fontId="0" fillId="0" borderId="0" xfId="0" applyNumberFormat="1"/>
    <xf numFmtId="14" fontId="21" fillId="0" borderId="0" xfId="0" applyNumberFormat="1" applyFont="1"/>
    <xf numFmtId="9" fontId="6" fillId="4" borderId="4" xfId="3" applyFont="1" applyFill="1" applyBorder="1" applyAlignment="1">
      <alignment horizontal="right" vertical="top"/>
    </xf>
    <xf numFmtId="0" fontId="24" fillId="9" borderId="9" xfId="0" applyFont="1" applyFill="1" applyBorder="1" applyAlignment="1">
      <alignment horizontal="center"/>
    </xf>
    <xf numFmtId="0" fontId="24" fillId="9" borderId="10" xfId="0" applyFont="1" applyFill="1" applyBorder="1" applyAlignment="1">
      <alignment horizontal="center"/>
    </xf>
    <xf numFmtId="0" fontId="24" fillId="9" borderId="1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52197</xdr:colOff>
      <xdr:row>0</xdr:row>
      <xdr:rowOff>219075</xdr:rowOff>
    </xdr:from>
    <xdr:to>
      <xdr:col>4</xdr:col>
      <xdr:colOff>1009650</xdr:colOff>
      <xdr:row>3</xdr:row>
      <xdr:rowOff>38100</xdr:rowOff>
    </xdr:to>
    <xdr:pic>
      <xdr:nvPicPr>
        <xdr:cNvPr id="2" name="תמונה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2175275" y="219075"/>
          <a:ext cx="1100328" cy="533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orashim1/AppData/Local/Microsoft/Windows/INetCache/Content.Outlook/6KN0V61Y/______%2024.10.18%20_____%20______%20_______%20_____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pif/AppData/Local/Microsoft/Windows/Temporary%20Internet%20Files/Content.Outlook/NZD7RW7K/&#1508;&#1497;&#1510;&#1493;&#1500;%20&#1506;&#1500;&#1493;&#1497;&#1493;&#1514;%20&#1504;&#1499;&#1493;&#1503;%20&#1500;&#1497;&#1493;&#1501;%2014.11.18%20(0000000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גיליון1"/>
      <sheetName val="מאזן בוחן"/>
      <sheetName val="הוצאות נוספות"/>
    </sheetNames>
    <sheetDataSet>
      <sheetData sheetId="0" refreshError="1">
        <row r="6">
          <cell r="X6">
            <v>2.0047655973079413E-2</v>
          </cell>
        </row>
        <row r="48">
          <cell r="X48">
            <v>8.2526150425035541E-2</v>
          </cell>
        </row>
        <row r="51">
          <cell r="X51">
            <v>0.33306465540289126</v>
          </cell>
        </row>
      </sheetData>
      <sheetData sheetId="1" refreshError="1">
        <row r="13">
          <cell r="H13">
            <v>2.0113025132976213E-2</v>
          </cell>
        </row>
        <row r="14">
          <cell r="H14">
            <v>2.014601067917756E-2</v>
          </cell>
        </row>
        <row r="15">
          <cell r="H15">
            <v>2.1112915815640933E-2</v>
          </cell>
        </row>
        <row r="16">
          <cell r="H16">
            <v>2.1154198797240835E-2</v>
          </cell>
        </row>
        <row r="29">
          <cell r="H29">
            <v>2.001026069419835E-2</v>
          </cell>
        </row>
        <row r="30">
          <cell r="H30">
            <v>2.0114561925258994E-2</v>
          </cell>
        </row>
        <row r="31">
          <cell r="H31">
            <v>2.1154198797240835E-2</v>
          </cell>
        </row>
        <row r="32">
          <cell r="H32">
            <v>2.1215368634493165E-2</v>
          </cell>
        </row>
        <row r="33">
          <cell r="H33">
            <v>2.0084338343697588E-2</v>
          </cell>
        </row>
        <row r="34">
          <cell r="H34">
            <v>2.0116811625804674E-2</v>
          </cell>
        </row>
        <row r="35">
          <cell r="H35">
            <v>2.1112915815640933E-2</v>
          </cell>
        </row>
        <row r="36">
          <cell r="H36">
            <v>2.1154198797240835E-2</v>
          </cell>
        </row>
        <row r="37">
          <cell r="H37">
            <v>2.0084338343697588E-2</v>
          </cell>
        </row>
        <row r="38">
          <cell r="H38">
            <v>2.0114762569427628E-2</v>
          </cell>
        </row>
        <row r="39">
          <cell r="H39">
            <v>2.1112915815640933E-2</v>
          </cell>
        </row>
        <row r="40">
          <cell r="H40">
            <v>2.1154198797240835E-2</v>
          </cell>
        </row>
        <row r="49">
          <cell r="H49">
            <v>1.999202693342203E-2</v>
          </cell>
        </row>
        <row r="50">
          <cell r="H50">
            <v>2.0112713513050582E-2</v>
          </cell>
        </row>
        <row r="51">
          <cell r="H51">
            <v>2.2693654498192072E-2</v>
          </cell>
        </row>
        <row r="52">
          <cell r="H52">
            <v>2.2837390298644209E-2</v>
          </cell>
        </row>
      </sheetData>
      <sheetData sheetId="2" refreshError="1"/>
      <sheetData sheetId="3" refreshError="1">
        <row r="4">
          <cell r="H4">
            <v>3223912</v>
          </cell>
        </row>
        <row r="5">
          <cell r="H5">
            <v>323723.83999999997</v>
          </cell>
        </row>
        <row r="6">
          <cell r="H6">
            <v>2086.59</v>
          </cell>
        </row>
        <row r="34">
          <cell r="H34">
            <v>7648811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גיליון1"/>
      <sheetName val="מאזן בוחן"/>
      <sheetName val="הוצאות נוספות"/>
    </sheetNames>
    <sheetDataSet>
      <sheetData sheetId="0"/>
      <sheetData sheetId="1"/>
      <sheetData sheetId="2">
        <row r="69">
          <cell r="F69">
            <v>2086.59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6"/>
  <sheetViews>
    <sheetView rightToLeft="1" zoomScale="85" zoomScaleNormal="85" workbookViewId="0">
      <pane xSplit="4" ySplit="4" topLeftCell="H5" activePane="bottomRight" state="frozen"/>
      <selection pane="topRight" activeCell="D1" sqref="D1"/>
      <selection pane="bottomLeft" activeCell="A5" sqref="A5"/>
      <selection pane="bottomRight" activeCell="K53" sqref="K53"/>
    </sheetView>
  </sheetViews>
  <sheetFormatPr defaultRowHeight="15"/>
  <cols>
    <col min="1" max="1" width="10.140625" bestFit="1" customWidth="1"/>
    <col min="2" max="2" width="10.140625" customWidth="1"/>
    <col min="3" max="3" width="20" customWidth="1"/>
    <col min="4" max="4" width="17.42578125" customWidth="1"/>
    <col min="5" max="5" width="10.85546875" hidden="1" customWidth="1"/>
    <col min="6" max="6" width="10" hidden="1" customWidth="1"/>
    <col min="7" max="9" width="15.42578125" bestFit="1" customWidth="1"/>
    <col min="10" max="11" width="11" bestFit="1" customWidth="1"/>
    <col min="12" max="12" width="11.7109375" bestFit="1" customWidth="1"/>
    <col min="13" max="13" width="15.28515625" bestFit="1" customWidth="1"/>
    <col min="14" max="14" width="13.42578125" bestFit="1" customWidth="1"/>
    <col min="15" max="15" width="11.42578125" bestFit="1" customWidth="1"/>
    <col min="16" max="17" width="12.28515625" bestFit="1" customWidth="1"/>
    <col min="18" max="18" width="14.140625" bestFit="1" customWidth="1"/>
    <col min="19" max="19" width="12.140625" style="107" bestFit="1" customWidth="1"/>
    <col min="20" max="20" width="14.140625" style="107" bestFit="1" customWidth="1"/>
    <col min="21" max="21" width="12.140625" style="107" bestFit="1" customWidth="1"/>
    <col min="22" max="22" width="12.28515625" bestFit="1" customWidth="1"/>
    <col min="23" max="23" width="7.85546875" style="109" bestFit="1" customWidth="1"/>
    <col min="24" max="24" width="10.28515625" style="109" bestFit="1" customWidth="1"/>
    <col min="25" max="25" width="17.28515625" style="109" bestFit="1" customWidth="1"/>
    <col min="26" max="26" width="14.42578125" style="109" bestFit="1" customWidth="1"/>
    <col min="27" max="27" width="9.85546875" hidden="1" customWidth="1"/>
    <col min="28" max="31" width="0" hidden="1" customWidth="1"/>
  </cols>
  <sheetData>
    <row r="1" spans="1:30">
      <c r="C1" s="1" t="s">
        <v>0</v>
      </c>
      <c r="G1" s="2"/>
      <c r="I1" s="2"/>
      <c r="P1" s="3"/>
      <c r="Q1" s="3"/>
      <c r="R1" s="3"/>
      <c r="S1" s="100"/>
      <c r="T1" s="100"/>
      <c r="U1" s="100"/>
      <c r="V1" s="2"/>
      <c r="W1" s="100"/>
      <c r="X1" s="100"/>
      <c r="Y1" s="100"/>
      <c r="Z1" s="100"/>
    </row>
    <row r="2" spans="1:30" ht="20.25">
      <c r="C2" s="4" t="s">
        <v>1</v>
      </c>
      <c r="D2" s="115">
        <v>43449</v>
      </c>
      <c r="G2" s="2"/>
      <c r="I2" s="2"/>
      <c r="P2" s="3"/>
      <c r="Q2" s="3"/>
      <c r="R2" s="3"/>
      <c r="S2" s="100"/>
      <c r="T2" s="100"/>
      <c r="U2" s="100"/>
      <c r="V2" s="2"/>
      <c r="W2" s="100"/>
      <c r="X2" s="100"/>
      <c r="Y2" s="100"/>
      <c r="Z2" s="100"/>
    </row>
    <row r="3" spans="1:30" ht="15.75" thickBot="1">
      <c r="B3" t="s">
        <v>128</v>
      </c>
      <c r="C3" t="s">
        <v>114</v>
      </c>
      <c r="D3" t="s">
        <v>115</v>
      </c>
      <c r="G3" s="112" t="s">
        <v>116</v>
      </c>
      <c r="H3" t="s">
        <v>117</v>
      </c>
      <c r="I3" s="112" t="s">
        <v>118</v>
      </c>
      <c r="P3" s="3"/>
      <c r="Q3" s="3"/>
      <c r="R3" s="3" t="s">
        <v>125</v>
      </c>
      <c r="S3" s="107" t="s">
        <v>119</v>
      </c>
      <c r="T3" s="107" t="s">
        <v>126</v>
      </c>
      <c r="U3" s="100"/>
      <c r="V3" s="2"/>
      <c r="W3" s="100"/>
      <c r="X3" s="107" t="s">
        <v>120</v>
      </c>
      <c r="Y3" s="107" t="s">
        <v>127</v>
      </c>
      <c r="Z3" s="107" t="s">
        <v>124</v>
      </c>
    </row>
    <row r="4" spans="1:30" ht="48.75" thickBot="1">
      <c r="A4" t="s">
        <v>104</v>
      </c>
      <c r="B4" t="s">
        <v>113</v>
      </c>
      <c r="C4" s="32" t="s">
        <v>107</v>
      </c>
      <c r="D4" s="31" t="s">
        <v>102</v>
      </c>
      <c r="E4" s="32" t="s">
        <v>26</v>
      </c>
      <c r="F4" s="32" t="s">
        <v>2</v>
      </c>
      <c r="G4" s="32" t="s">
        <v>108</v>
      </c>
      <c r="H4" s="32" t="s">
        <v>103</v>
      </c>
      <c r="I4" s="32" t="s">
        <v>3</v>
      </c>
      <c r="J4" s="32"/>
      <c r="K4" s="32" t="s">
        <v>4</v>
      </c>
      <c r="L4" s="32" t="s">
        <v>5</v>
      </c>
      <c r="M4" s="33" t="s">
        <v>84</v>
      </c>
      <c r="N4" s="33" t="s">
        <v>6</v>
      </c>
      <c r="O4" s="33" t="s">
        <v>7</v>
      </c>
      <c r="P4" s="32" t="s">
        <v>8</v>
      </c>
      <c r="Q4" s="32" t="s">
        <v>9</v>
      </c>
      <c r="R4" s="32" t="s">
        <v>109</v>
      </c>
      <c r="S4" s="127" t="s">
        <v>100</v>
      </c>
      <c r="T4" s="127" t="s">
        <v>110</v>
      </c>
      <c r="U4" s="101" t="s">
        <v>79</v>
      </c>
      <c r="V4" s="32" t="s">
        <v>78</v>
      </c>
      <c r="W4" s="101" t="s">
        <v>11</v>
      </c>
      <c r="X4" s="101" t="s">
        <v>95</v>
      </c>
      <c r="Y4" s="101" t="s">
        <v>111</v>
      </c>
      <c r="Z4" s="101" t="s">
        <v>89</v>
      </c>
      <c r="AA4" s="101" t="s">
        <v>80</v>
      </c>
      <c r="AB4" s="32" t="s">
        <v>81</v>
      </c>
      <c r="AC4" s="101" t="s">
        <v>83</v>
      </c>
      <c r="AD4" s="110" t="s">
        <v>82</v>
      </c>
    </row>
    <row r="5" spans="1:30">
      <c r="A5" s="130">
        <v>43473</v>
      </c>
      <c r="B5" s="130" t="s">
        <v>91</v>
      </c>
      <c r="C5" s="35" t="s">
        <v>12</v>
      </c>
      <c r="D5" s="34">
        <v>20002</v>
      </c>
      <c r="E5" s="47">
        <v>1100000</v>
      </c>
      <c r="F5" s="37"/>
      <c r="G5" s="36">
        <v>1950000</v>
      </c>
      <c r="H5" s="36">
        <f t="shared" ref="H5:H14" si="0">F5+E5</f>
        <v>1100000</v>
      </c>
      <c r="I5" s="47">
        <v>1000000</v>
      </c>
      <c r="J5" s="47">
        <v>710000</v>
      </c>
      <c r="K5" s="47">
        <f>I5-J5</f>
        <v>290000</v>
      </c>
      <c r="L5" s="37">
        <v>950000</v>
      </c>
      <c r="M5" s="38">
        <f t="shared" ref="M5:M14" si="1">IF(H5-I5&lt;0,0,H5-I5)</f>
        <v>100000</v>
      </c>
      <c r="N5" s="38"/>
      <c r="O5" s="38">
        <v>0</v>
      </c>
      <c r="P5" s="39">
        <v>2.015062105602591E-2</v>
      </c>
      <c r="Q5" s="39">
        <v>0.24399999999999999</v>
      </c>
      <c r="R5" s="132">
        <v>1</v>
      </c>
      <c r="S5" s="102">
        <f>גיליון2!$I$4/28</f>
        <v>186830.32178571427</v>
      </c>
      <c r="T5" s="132">
        <v>0.21</v>
      </c>
      <c r="U5" s="102">
        <f>גיליון2!$K$5/28</f>
        <v>6960.1388888888887</v>
      </c>
      <c r="V5" s="102">
        <f>גיליון2!$I$5/28</f>
        <v>5073.4642857142853</v>
      </c>
      <c r="W5" s="102">
        <f>גיליון2!$I$6/28</f>
        <v>94.814285714285717</v>
      </c>
      <c r="X5" s="102">
        <f>U5+V5+W5</f>
        <v>12128.41746031746</v>
      </c>
      <c r="Y5" s="132">
        <f>'вывод данных'!E26</f>
        <v>0.2425683492063492</v>
      </c>
      <c r="Z5" s="102">
        <f t="shared" ref="Z5:Z15" si="2">H5+O5-I5-S5-V5-W5-U5</f>
        <v>-98958.739246031735</v>
      </c>
      <c r="AA5" s="102">
        <f t="shared" ref="AA5:AA14" si="3">900000-S5</f>
        <v>713169.67821428576</v>
      </c>
      <c r="AB5" s="36">
        <f t="shared" ref="AB5:AB14" si="4">(10000*1.17+3500*1.17+20000)-U5</f>
        <v>28834.861111111109</v>
      </c>
      <c r="AC5" s="102">
        <v>14000</v>
      </c>
      <c r="AD5" s="102">
        <f t="shared" ref="AD5:AD14" si="5">G5-I5-S5-U5-V5-W5-AA5-AB5-AC5</f>
        <v>-4963.2785714286001</v>
      </c>
    </row>
    <row r="6" spans="1:30">
      <c r="A6" s="130">
        <v>43473</v>
      </c>
      <c r="B6" s="130" t="s">
        <v>91</v>
      </c>
      <c r="C6" s="35" t="s">
        <v>13</v>
      </c>
      <c r="D6" s="34">
        <v>20002</v>
      </c>
      <c r="E6" s="47">
        <v>955000</v>
      </c>
      <c r="F6" s="37"/>
      <c r="G6" s="36">
        <v>1910000</v>
      </c>
      <c r="H6" s="36">
        <f t="shared" si="0"/>
        <v>955000</v>
      </c>
      <c r="I6" s="47">
        <v>960000</v>
      </c>
      <c r="J6" s="47">
        <v>710000</v>
      </c>
      <c r="K6" s="47">
        <f>I6-J6</f>
        <v>250000</v>
      </c>
      <c r="L6" s="37">
        <v>950000</v>
      </c>
      <c r="M6" s="38">
        <f t="shared" si="1"/>
        <v>0</v>
      </c>
      <c r="N6" s="38">
        <v>955000</v>
      </c>
      <c r="O6" s="38">
        <v>0</v>
      </c>
      <c r="P6" s="39">
        <v>2.1112915815640933E-2</v>
      </c>
      <c r="Q6" s="39">
        <v>0.25600000000000001</v>
      </c>
      <c r="R6" s="132">
        <v>1</v>
      </c>
      <c r="S6" s="102">
        <f>גיליון2!$I$4/28</f>
        <v>186830.32178571427</v>
      </c>
      <c r="T6" s="132">
        <v>0.21</v>
      </c>
      <c r="U6" s="102">
        <f>גיליון2!$K$5/28</f>
        <v>6960.1388888888887</v>
      </c>
      <c r="V6" s="102">
        <f>גיליון2!$I$5/28</f>
        <v>5073.4642857142853</v>
      </c>
      <c r="W6" s="102">
        <f>גיליון2!$I$6/28</f>
        <v>94.814285714285717</v>
      </c>
      <c r="X6" s="102">
        <f t="shared" ref="X6:X14" si="6">U6+V6+W6</f>
        <v>12128.41746031746</v>
      </c>
      <c r="Y6" s="132">
        <v>0.24</v>
      </c>
      <c r="Z6" s="102">
        <f t="shared" si="2"/>
        <v>-203958.73924603174</v>
      </c>
      <c r="AA6" s="102">
        <f t="shared" si="3"/>
        <v>713169.67821428576</v>
      </c>
      <c r="AB6" s="36">
        <f t="shared" si="4"/>
        <v>28834.861111111109</v>
      </c>
      <c r="AC6" s="102">
        <v>14000</v>
      </c>
      <c r="AD6" s="102">
        <f t="shared" si="5"/>
        <v>-4963.2785714286001</v>
      </c>
    </row>
    <row r="7" spans="1:30">
      <c r="A7" s="130">
        <v>43473</v>
      </c>
      <c r="B7" s="130" t="s">
        <v>91</v>
      </c>
      <c r="C7" s="35" t="s">
        <v>14</v>
      </c>
      <c r="D7" s="34">
        <v>20002</v>
      </c>
      <c r="E7" s="47">
        <v>945000</v>
      </c>
      <c r="F7" s="37"/>
      <c r="G7" s="36">
        <v>2025000</v>
      </c>
      <c r="H7" s="36">
        <f t="shared" si="0"/>
        <v>945000</v>
      </c>
      <c r="I7" s="47">
        <v>1075000</v>
      </c>
      <c r="J7" s="47">
        <v>710000</v>
      </c>
      <c r="K7" s="47">
        <f>I7-J7</f>
        <v>365000</v>
      </c>
      <c r="L7" s="37">
        <v>950000</v>
      </c>
      <c r="M7" s="38">
        <f t="shared" si="1"/>
        <v>0</v>
      </c>
      <c r="N7" s="38">
        <v>1080000</v>
      </c>
      <c r="O7" s="38">
        <v>0</v>
      </c>
      <c r="P7" s="39">
        <v>2.125665161609307E-2</v>
      </c>
      <c r="Q7" s="39">
        <v>0.25800000000000001</v>
      </c>
      <c r="R7" s="132">
        <v>1</v>
      </c>
      <c r="S7" s="102">
        <f>גיליון2!$I$4/28</f>
        <v>186830.32178571427</v>
      </c>
      <c r="T7" s="132">
        <v>0.21</v>
      </c>
      <c r="U7" s="102">
        <f>גיליון2!$K$5/28</f>
        <v>6960.1388888888887</v>
      </c>
      <c r="V7" s="102">
        <f>גיליון2!$I$5/28</f>
        <v>5073.4642857142853</v>
      </c>
      <c r="W7" s="102">
        <f>גיליון2!$I$6/28</f>
        <v>94.814285714285717</v>
      </c>
      <c r="X7" s="102">
        <f t="shared" si="6"/>
        <v>12128.41746031746</v>
      </c>
      <c r="Y7" s="132">
        <v>0.2425683492063492</v>
      </c>
      <c r="Z7" s="102">
        <f t="shared" si="2"/>
        <v>-328958.73924603168</v>
      </c>
      <c r="AA7" s="102">
        <f t="shared" si="3"/>
        <v>713169.67821428576</v>
      </c>
      <c r="AB7" s="36">
        <f t="shared" si="4"/>
        <v>28834.861111111109</v>
      </c>
      <c r="AC7" s="102">
        <v>14000</v>
      </c>
      <c r="AD7" s="102">
        <f t="shared" si="5"/>
        <v>-4963.2785714286001</v>
      </c>
    </row>
    <row r="8" spans="1:30">
      <c r="A8" s="130">
        <v>43473</v>
      </c>
      <c r="B8" s="130" t="s">
        <v>91</v>
      </c>
      <c r="C8" s="18" t="s">
        <v>17</v>
      </c>
      <c r="D8" s="34">
        <v>20002</v>
      </c>
      <c r="E8" s="48">
        <f>499000+1000</f>
        <v>500000</v>
      </c>
      <c r="F8" s="13"/>
      <c r="G8" s="14">
        <v>2100000</v>
      </c>
      <c r="H8" s="14">
        <f t="shared" si="0"/>
        <v>500000</v>
      </c>
      <c r="I8" s="48">
        <v>1150000</v>
      </c>
      <c r="J8" s="48">
        <v>710000</v>
      </c>
      <c r="K8" s="48">
        <f t="shared" ref="K8:K14" si="7">I8-710000</f>
        <v>440000</v>
      </c>
      <c r="L8" s="48">
        <v>950000</v>
      </c>
      <c r="M8" s="40">
        <f t="shared" si="1"/>
        <v>0</v>
      </c>
      <c r="N8" s="40">
        <v>1050000</v>
      </c>
      <c r="O8" s="40">
        <v>550000</v>
      </c>
      <c r="P8" s="17">
        <v>2.2693654498192072E-2</v>
      </c>
      <c r="Q8" s="17">
        <v>0.26500000000000001</v>
      </c>
      <c r="R8" s="132">
        <v>1</v>
      </c>
      <c r="S8" s="108">
        <f>גיליון2!$I$4/28</f>
        <v>186830.32178571427</v>
      </c>
      <c r="T8" s="132">
        <v>0.21</v>
      </c>
      <c r="U8" s="108">
        <f>גיליון2!$K$5/28</f>
        <v>6960.1388888888887</v>
      </c>
      <c r="V8" s="108">
        <f>גיליון2!$I$5/28</f>
        <v>5073.4642857142853</v>
      </c>
      <c r="W8" s="108">
        <f>גיליון2!$I$6/28</f>
        <v>94.814285714285717</v>
      </c>
      <c r="X8" s="102">
        <f t="shared" si="6"/>
        <v>12128.41746031746</v>
      </c>
      <c r="Y8" s="132">
        <v>0.2425683492063492</v>
      </c>
      <c r="Z8" s="108">
        <f t="shared" si="2"/>
        <v>-298958.73924603168</v>
      </c>
      <c r="AA8" s="108">
        <f t="shared" si="3"/>
        <v>713169.67821428576</v>
      </c>
      <c r="AB8" s="108">
        <f t="shared" si="4"/>
        <v>28834.861111111109</v>
      </c>
      <c r="AC8" s="108">
        <v>14000</v>
      </c>
      <c r="AD8" s="108">
        <f t="shared" si="5"/>
        <v>-4963.2785714286001</v>
      </c>
    </row>
    <row r="9" spans="1:30">
      <c r="A9" s="130">
        <v>43473</v>
      </c>
      <c r="B9" s="130" t="s">
        <v>91</v>
      </c>
      <c r="C9" s="18" t="s">
        <v>16</v>
      </c>
      <c r="D9" s="34">
        <v>20002</v>
      </c>
      <c r="E9" s="48">
        <f>885000+100000</f>
        <v>985000</v>
      </c>
      <c r="F9" s="13"/>
      <c r="G9" s="14">
        <v>2040000</v>
      </c>
      <c r="H9" s="14">
        <f t="shared" si="0"/>
        <v>985000</v>
      </c>
      <c r="I9" s="48">
        <v>1090000</v>
      </c>
      <c r="J9" s="48">
        <v>710000</v>
      </c>
      <c r="K9" s="48">
        <f t="shared" si="7"/>
        <v>380000</v>
      </c>
      <c r="L9" s="48">
        <v>950000</v>
      </c>
      <c r="M9" s="40">
        <f t="shared" si="1"/>
        <v>0</v>
      </c>
      <c r="N9" s="40">
        <v>1055000</v>
      </c>
      <c r="O9" s="40">
        <v>0</v>
      </c>
      <c r="P9" s="17">
        <v>2.0116811625804674E-2</v>
      </c>
      <c r="Q9" s="17">
        <v>0.23499999999999999</v>
      </c>
      <c r="R9" s="132">
        <v>1</v>
      </c>
      <c r="S9" s="108">
        <f>גיליון2!$I$4/28</f>
        <v>186830.32178571427</v>
      </c>
      <c r="T9" s="132">
        <v>0.21</v>
      </c>
      <c r="U9" s="108">
        <f>גיליון2!$K$5/28</f>
        <v>6960.1388888888887</v>
      </c>
      <c r="V9" s="108">
        <f>גיליון2!$I$5/28</f>
        <v>5073.4642857142853</v>
      </c>
      <c r="W9" s="108">
        <f>גיליון2!$I$6/28</f>
        <v>94.814285714285717</v>
      </c>
      <c r="X9" s="102">
        <f t="shared" si="6"/>
        <v>12128.41746031746</v>
      </c>
      <c r="Y9" s="132">
        <v>0.2425683492063492</v>
      </c>
      <c r="Z9" s="108">
        <f t="shared" si="2"/>
        <v>-303958.73924603168</v>
      </c>
      <c r="AA9" s="108">
        <f t="shared" si="3"/>
        <v>713169.67821428576</v>
      </c>
      <c r="AB9" s="108">
        <f t="shared" si="4"/>
        <v>28834.861111111109</v>
      </c>
      <c r="AC9" s="108">
        <v>14000</v>
      </c>
      <c r="AD9" s="108">
        <f t="shared" si="5"/>
        <v>-4963.2785714286001</v>
      </c>
    </row>
    <row r="10" spans="1:30">
      <c r="A10" s="130">
        <v>43473</v>
      </c>
      <c r="B10" s="130" t="s">
        <v>91</v>
      </c>
      <c r="C10" s="18" t="s">
        <v>15</v>
      </c>
      <c r="D10" s="34">
        <v>20002</v>
      </c>
      <c r="E10" s="48">
        <f>770000+20000+6000</f>
        <v>796000</v>
      </c>
      <c r="F10" s="13"/>
      <c r="G10" s="14">
        <v>1990000</v>
      </c>
      <c r="H10" s="14">
        <f t="shared" si="0"/>
        <v>796000</v>
      </c>
      <c r="I10" s="48">
        <v>1040000</v>
      </c>
      <c r="J10" s="48">
        <v>710000</v>
      </c>
      <c r="K10" s="48">
        <f t="shared" si="7"/>
        <v>330000</v>
      </c>
      <c r="L10" s="48">
        <v>950000</v>
      </c>
      <c r="M10" s="40">
        <f t="shared" si="1"/>
        <v>0</v>
      </c>
      <c r="N10" s="40">
        <v>1130000</v>
      </c>
      <c r="O10" s="40">
        <v>64000</v>
      </c>
      <c r="P10" s="17">
        <v>2.0094479752274266E-2</v>
      </c>
      <c r="Q10" s="17">
        <v>0.23499999999999999</v>
      </c>
      <c r="R10" s="132">
        <v>1</v>
      </c>
      <c r="S10" s="108">
        <f>גיליון2!$I$4/28</f>
        <v>186830.32178571427</v>
      </c>
      <c r="T10" s="132">
        <v>0.21</v>
      </c>
      <c r="U10" s="108">
        <f>גיליון2!$K$5/28</f>
        <v>6960.1388888888887</v>
      </c>
      <c r="V10" s="108">
        <f>גיליון2!$I$5/28</f>
        <v>5073.4642857142853</v>
      </c>
      <c r="W10" s="108">
        <f>גיליון2!$I$6/28</f>
        <v>94.814285714285717</v>
      </c>
      <c r="X10" s="102">
        <f t="shared" si="6"/>
        <v>12128.41746031746</v>
      </c>
      <c r="Y10" s="132">
        <v>0.2425683492063492</v>
      </c>
      <c r="Z10" s="108">
        <f t="shared" si="2"/>
        <v>-378958.73924603168</v>
      </c>
      <c r="AA10" s="108">
        <f t="shared" si="3"/>
        <v>713169.67821428576</v>
      </c>
      <c r="AB10" s="108">
        <f t="shared" si="4"/>
        <v>28834.861111111109</v>
      </c>
      <c r="AC10" s="108">
        <v>14000</v>
      </c>
      <c r="AD10" s="108">
        <f t="shared" si="5"/>
        <v>-4963.2785714286001</v>
      </c>
    </row>
    <row r="11" spans="1:30">
      <c r="A11" s="130">
        <v>43473</v>
      </c>
      <c r="B11" s="130" t="s">
        <v>91</v>
      </c>
      <c r="C11" s="51" t="s">
        <v>27</v>
      </c>
      <c r="D11" s="34">
        <v>20002</v>
      </c>
      <c r="E11" s="47">
        <f>820000+900000</f>
        <v>1720000</v>
      </c>
      <c r="F11" s="37"/>
      <c r="G11" s="36">
        <v>2050000</v>
      </c>
      <c r="H11" s="36">
        <f t="shared" si="0"/>
        <v>1720000</v>
      </c>
      <c r="I11" s="47">
        <v>1100000</v>
      </c>
      <c r="J11" s="47">
        <v>710000</v>
      </c>
      <c r="K11" s="47">
        <f t="shared" si="7"/>
        <v>390000</v>
      </c>
      <c r="L11" s="37">
        <v>950000</v>
      </c>
      <c r="M11" s="38">
        <f t="shared" si="1"/>
        <v>620000</v>
      </c>
      <c r="N11" s="38"/>
      <c r="O11" s="38">
        <v>0</v>
      </c>
      <c r="P11" s="39">
        <v>2.0329471361601476E-2</v>
      </c>
      <c r="Q11" s="39">
        <v>0.23599999999999999</v>
      </c>
      <c r="R11" s="132">
        <v>1</v>
      </c>
      <c r="S11" s="102">
        <f>גיליון2!$I$4/28</f>
        <v>186830.32178571427</v>
      </c>
      <c r="T11" s="132">
        <v>0.21</v>
      </c>
      <c r="U11" s="102">
        <f>גיליון2!$K$5/28</f>
        <v>6960.1388888888887</v>
      </c>
      <c r="V11" s="36">
        <f>גיליון2!$I$5/28</f>
        <v>5073.4642857142853</v>
      </c>
      <c r="W11" s="102">
        <f>גיליון2!$I$6/28</f>
        <v>94.814285714285717</v>
      </c>
      <c r="X11" s="102">
        <f t="shared" si="6"/>
        <v>12128.41746031746</v>
      </c>
      <c r="Y11" s="132">
        <v>0.2425683492063492</v>
      </c>
      <c r="Z11" s="102">
        <f t="shared" si="2"/>
        <v>421041.26075396832</v>
      </c>
      <c r="AA11" s="102">
        <f t="shared" si="3"/>
        <v>713169.67821428576</v>
      </c>
      <c r="AB11" s="36">
        <f t="shared" si="4"/>
        <v>28834.861111111109</v>
      </c>
      <c r="AC11" s="102">
        <v>14000</v>
      </c>
      <c r="AD11" s="102">
        <f t="shared" si="5"/>
        <v>-4963.2785714286001</v>
      </c>
    </row>
    <row r="12" spans="1:30">
      <c r="A12" s="130">
        <v>43473</v>
      </c>
      <c r="B12" s="130" t="s">
        <v>91</v>
      </c>
      <c r="C12" s="35" t="s">
        <v>18</v>
      </c>
      <c r="D12" s="34">
        <v>20002</v>
      </c>
      <c r="E12" s="47">
        <v>700000</v>
      </c>
      <c r="F12" s="37"/>
      <c r="G12" s="36">
        <v>2050000</v>
      </c>
      <c r="H12" s="36">
        <f t="shared" si="0"/>
        <v>700000</v>
      </c>
      <c r="I12" s="47">
        <v>1100000</v>
      </c>
      <c r="J12" s="47">
        <v>710000</v>
      </c>
      <c r="K12" s="47">
        <f t="shared" si="7"/>
        <v>390000</v>
      </c>
      <c r="L12" s="37">
        <v>950000</v>
      </c>
      <c r="M12" s="38">
        <f t="shared" si="1"/>
        <v>0</v>
      </c>
      <c r="N12" s="38">
        <v>1045000</v>
      </c>
      <c r="O12" s="38">
        <v>0</v>
      </c>
      <c r="P12" s="39">
        <v>2.0359492523382136E-2</v>
      </c>
      <c r="Q12" s="39">
        <v>0.23599999999999999</v>
      </c>
      <c r="R12" s="132">
        <v>1</v>
      </c>
      <c r="S12" s="102">
        <f>גיליון2!$I$4/28</f>
        <v>186830.32178571427</v>
      </c>
      <c r="T12" s="132">
        <v>0.21</v>
      </c>
      <c r="U12" s="102">
        <f>גיליון2!$K$5/28</f>
        <v>6960.1388888888887</v>
      </c>
      <c r="V12" s="36">
        <f>גיליון2!$I$5/28</f>
        <v>5073.4642857142853</v>
      </c>
      <c r="W12" s="102">
        <f>גיליון2!$I$6/28</f>
        <v>94.814285714285717</v>
      </c>
      <c r="X12" s="102">
        <f t="shared" si="6"/>
        <v>12128.41746031746</v>
      </c>
      <c r="Y12" s="132">
        <v>0.2425683492063492</v>
      </c>
      <c r="Z12" s="102">
        <f t="shared" si="2"/>
        <v>-598958.73924603174</v>
      </c>
      <c r="AA12" s="102">
        <f t="shared" si="3"/>
        <v>713169.67821428576</v>
      </c>
      <c r="AB12" s="36">
        <f t="shared" si="4"/>
        <v>28834.861111111109</v>
      </c>
      <c r="AC12" s="102">
        <v>14000</v>
      </c>
      <c r="AD12" s="102">
        <f t="shared" si="5"/>
        <v>-4963.2785714286001</v>
      </c>
    </row>
    <row r="13" spans="1:30">
      <c r="A13" s="130">
        <v>43473</v>
      </c>
      <c r="B13" s="130" t="s">
        <v>91</v>
      </c>
      <c r="C13" s="35" t="s">
        <v>19</v>
      </c>
      <c r="D13" s="34">
        <v>20002</v>
      </c>
      <c r="E13" s="47">
        <v>500000</v>
      </c>
      <c r="F13" s="37"/>
      <c r="G13" s="36">
        <v>2000000</v>
      </c>
      <c r="H13" s="36">
        <f t="shared" si="0"/>
        <v>500000</v>
      </c>
      <c r="I13" s="47">
        <v>1050000</v>
      </c>
      <c r="J13" s="47">
        <v>710000</v>
      </c>
      <c r="K13" s="47">
        <f t="shared" si="7"/>
        <v>340000</v>
      </c>
      <c r="L13" s="37">
        <v>950000</v>
      </c>
      <c r="M13" s="38">
        <f t="shared" si="1"/>
        <v>0</v>
      </c>
      <c r="N13" s="38">
        <v>1000000</v>
      </c>
      <c r="O13" s="38">
        <v>500000</v>
      </c>
      <c r="P13" s="39">
        <v>2.2693654498192072E-2</v>
      </c>
      <c r="Q13" s="39">
        <v>0.26400000000000001</v>
      </c>
      <c r="R13" s="132">
        <v>1</v>
      </c>
      <c r="S13" s="102">
        <f>גיליון2!$I$4/28</f>
        <v>186830.32178571427</v>
      </c>
      <c r="T13" s="132">
        <v>0.21</v>
      </c>
      <c r="U13" s="102">
        <f>גיליון2!$K$5/28</f>
        <v>6960.1388888888887</v>
      </c>
      <c r="V13" s="36">
        <f>גיליון2!$I$5/28</f>
        <v>5073.4642857142853</v>
      </c>
      <c r="W13" s="102">
        <f>גיליון2!$I$6/28</f>
        <v>94.814285714285717</v>
      </c>
      <c r="X13" s="102">
        <f t="shared" si="6"/>
        <v>12128.41746031746</v>
      </c>
      <c r="Y13" s="132">
        <v>0.2425683492063492</v>
      </c>
      <c r="Z13" s="102">
        <f t="shared" si="2"/>
        <v>-248958.73924603174</v>
      </c>
      <c r="AA13" s="102">
        <f t="shared" si="3"/>
        <v>713169.67821428576</v>
      </c>
      <c r="AB13" s="36">
        <f t="shared" si="4"/>
        <v>28834.861111111109</v>
      </c>
      <c r="AC13" s="102">
        <v>14000</v>
      </c>
      <c r="AD13" s="102">
        <f t="shared" si="5"/>
        <v>-4963.2785714286001</v>
      </c>
    </row>
    <row r="14" spans="1:30" s="50" customFormat="1">
      <c r="A14" s="130">
        <v>43473</v>
      </c>
      <c r="B14" s="130" t="s">
        <v>91</v>
      </c>
      <c r="C14" s="35" t="s">
        <v>20</v>
      </c>
      <c r="D14" s="34">
        <v>20002</v>
      </c>
      <c r="E14" s="47">
        <f>820000+230000+600000</f>
        <v>1650000</v>
      </c>
      <c r="F14" s="37"/>
      <c r="G14" s="36">
        <v>2050000</v>
      </c>
      <c r="H14" s="36">
        <f t="shared" si="0"/>
        <v>1650000</v>
      </c>
      <c r="I14" s="47">
        <v>1100000</v>
      </c>
      <c r="J14" s="47">
        <v>710000</v>
      </c>
      <c r="K14" s="47">
        <f t="shared" si="7"/>
        <v>390000</v>
      </c>
      <c r="L14" s="37">
        <v>950000</v>
      </c>
      <c r="M14" s="38">
        <f t="shared" si="1"/>
        <v>550000</v>
      </c>
      <c r="N14" s="38">
        <v>400000</v>
      </c>
      <c r="O14" s="38">
        <v>0</v>
      </c>
      <c r="P14" s="39">
        <v>2.2734937479791977E-2</v>
      </c>
      <c r="Q14" s="39">
        <v>0.26400000000000001</v>
      </c>
      <c r="R14" s="132">
        <v>1</v>
      </c>
      <c r="S14" s="102">
        <f>גיליון2!$I$4/28</f>
        <v>186830.32178571427</v>
      </c>
      <c r="T14" s="132">
        <v>0.21</v>
      </c>
      <c r="U14" s="102">
        <f>גיליון2!$K$5/28</f>
        <v>6960.1388888888887</v>
      </c>
      <c r="V14" s="36">
        <f>גיליון2!$I$5/28</f>
        <v>5073.4642857142853</v>
      </c>
      <c r="W14" s="102">
        <f>גיליון2!$I$6/28</f>
        <v>94.814285714285717</v>
      </c>
      <c r="X14" s="102">
        <f t="shared" si="6"/>
        <v>12128.41746031746</v>
      </c>
      <c r="Y14" s="132">
        <v>0.2425683492063492</v>
      </c>
      <c r="Z14" s="102">
        <f t="shared" si="2"/>
        <v>351041.26075396832</v>
      </c>
      <c r="AA14" s="102">
        <f t="shared" si="3"/>
        <v>713169.67821428576</v>
      </c>
      <c r="AB14" s="36">
        <f t="shared" si="4"/>
        <v>28834.861111111109</v>
      </c>
      <c r="AC14" s="102">
        <v>14000</v>
      </c>
      <c r="AD14" s="102">
        <f t="shared" si="5"/>
        <v>-4963.2785714286001</v>
      </c>
    </row>
    <row r="15" spans="1:30">
      <c r="C15" s="42"/>
      <c r="D15" s="41"/>
      <c r="E15" s="49">
        <f>SUM(E5:E14)</f>
        <v>9851000</v>
      </c>
      <c r="F15" s="43"/>
      <c r="G15" s="44">
        <f>SUM(G5:G14)</f>
        <v>20165000</v>
      </c>
      <c r="H15" s="44">
        <f>SUM(H5:H14)</f>
        <v>9851000</v>
      </c>
      <c r="I15" s="49">
        <v>26860000</v>
      </c>
      <c r="J15" s="49">
        <f t="shared" ref="J15:O15" si="8">SUM(J5:J14)</f>
        <v>7100000</v>
      </c>
      <c r="K15" s="49">
        <f t="shared" si="8"/>
        <v>3565000</v>
      </c>
      <c r="L15" s="43">
        <f t="shared" si="8"/>
        <v>9500000</v>
      </c>
      <c r="M15" s="45">
        <f t="shared" si="8"/>
        <v>1270000</v>
      </c>
      <c r="N15" s="45">
        <f t="shared" si="8"/>
        <v>7715000</v>
      </c>
      <c r="O15" s="45">
        <f t="shared" si="8"/>
        <v>1114000</v>
      </c>
      <c r="P15" s="46"/>
      <c r="Q15" s="46"/>
      <c r="R15" s="46"/>
      <c r="S15" s="103">
        <f>SUM(S5:S14)</f>
        <v>1868303.2178571427</v>
      </c>
      <c r="T15" s="103"/>
      <c r="U15" s="103">
        <f>SUM(U5:U14)</f>
        <v>69601.388888888891</v>
      </c>
      <c r="V15" s="44">
        <f>SUM(V5:V14)</f>
        <v>50734.642857142848</v>
      </c>
      <c r="W15" s="103">
        <f>SUM(W5:W14)</f>
        <v>948.142857142857</v>
      </c>
      <c r="X15" s="103">
        <f>SUM(X5:X14)</f>
        <v>121284.1746031746</v>
      </c>
      <c r="Y15" s="103"/>
      <c r="Z15" s="103">
        <f t="shared" si="2"/>
        <v>-17884587.392460313</v>
      </c>
      <c r="AA15" s="103">
        <f>SUM(AA5:AA14)</f>
        <v>7131696.7821428562</v>
      </c>
      <c r="AB15" s="44">
        <f>SUM(AB5:AB14)</f>
        <v>288348.61111111118</v>
      </c>
      <c r="AC15" s="103">
        <f>SUM(AC5:AC14)</f>
        <v>140000</v>
      </c>
      <c r="AD15" s="103">
        <f>SUM(AD5:AD14)</f>
        <v>-49632.785714286001</v>
      </c>
    </row>
    <row r="16" spans="1:30" ht="15.75" hidden="1">
      <c r="C16" s="19" t="s">
        <v>21</v>
      </c>
      <c r="D16" s="20"/>
      <c r="E16" s="20"/>
      <c r="F16" s="21"/>
      <c r="G16" s="22"/>
      <c r="H16" s="22">
        <f>SUM(H5:H15)</f>
        <v>19702000</v>
      </c>
      <c r="I16" s="22"/>
      <c r="J16" s="22"/>
      <c r="K16" s="22"/>
      <c r="L16" s="21"/>
      <c r="M16" s="30"/>
      <c r="N16" s="30"/>
      <c r="O16" s="30"/>
      <c r="P16" s="23"/>
      <c r="Q16" s="23"/>
      <c r="R16" s="23"/>
      <c r="S16" s="104"/>
      <c r="T16" s="104"/>
      <c r="U16" s="102">
        <f>גיליון2!$K$5/28</f>
        <v>6960.1388888888887</v>
      </c>
      <c r="V16" s="22"/>
      <c r="W16" s="104"/>
      <c r="X16" s="104"/>
      <c r="Y16" s="104"/>
      <c r="Z16" s="104"/>
    </row>
    <row r="17" spans="3:26" hidden="1">
      <c r="C17" s="20"/>
      <c r="D17" s="24" t="s">
        <v>22</v>
      </c>
      <c r="E17" s="25">
        <f>2320000+372000+100000+150000</f>
        <v>2942000</v>
      </c>
      <c r="F17" s="21"/>
      <c r="G17" s="22">
        <v>3088000</v>
      </c>
      <c r="H17" s="22">
        <f>F17+E17</f>
        <v>2942000</v>
      </c>
      <c r="I17" s="22">
        <v>2840000</v>
      </c>
      <c r="J17" s="22"/>
      <c r="K17" s="22"/>
      <c r="L17" s="21"/>
      <c r="M17" s="30"/>
      <c r="N17" s="30"/>
      <c r="O17" s="30"/>
      <c r="P17" s="23">
        <f>SUM([1]גיליון1!H13:H16)</f>
        <v>8.2526150425035541E-2</v>
      </c>
      <c r="Q17" s="23">
        <v>1</v>
      </c>
      <c r="R17" s="23"/>
      <c r="S17" s="104">
        <f>'[1]הוצאות נוספות'!$H$4*[1]Sheet1!X48</f>
        <v>266057.04666907719</v>
      </c>
      <c r="T17" s="104"/>
      <c r="U17" s="102">
        <f>גיליון2!$K$5/28</f>
        <v>6960.1388888888887</v>
      </c>
      <c r="V17" s="22">
        <f>'[1]הוצאות נוספות'!$H$5*[1]Sheet1!X48</f>
        <v>26715.682316010134</v>
      </c>
      <c r="W17" s="104">
        <f>'[1]הוצאות נוספות'!$H$6*[1]Sheet1!X48</f>
        <v>172.19824021537491</v>
      </c>
      <c r="X17" s="104"/>
      <c r="Y17" s="104"/>
      <c r="Z17" s="104">
        <f>H17-I17-S17-V17-W17</f>
        <v>-190944.92722530267</v>
      </c>
    </row>
    <row r="18" spans="3:26" hidden="1">
      <c r="C18" s="16"/>
      <c r="D18" s="18"/>
      <c r="E18" s="12"/>
      <c r="F18" s="13"/>
      <c r="G18" s="14"/>
      <c r="H18" s="22"/>
      <c r="I18" s="22"/>
      <c r="J18" s="22"/>
      <c r="K18" s="22"/>
      <c r="L18" s="13"/>
      <c r="M18" s="30"/>
      <c r="N18" s="30"/>
      <c r="O18" s="30"/>
      <c r="P18" s="17"/>
      <c r="Q18" s="17"/>
      <c r="R18" s="17"/>
      <c r="S18" s="104"/>
      <c r="T18" s="104"/>
      <c r="U18" s="102">
        <f>גיליון2!$K$5/28</f>
        <v>6960.1388888888887</v>
      </c>
      <c r="V18" s="22"/>
      <c r="W18" s="104"/>
      <c r="X18" s="104"/>
      <c r="Y18" s="104"/>
      <c r="Z18" s="104"/>
    </row>
    <row r="19" spans="3:26" ht="15.75" hidden="1">
      <c r="C19" s="15" t="s">
        <v>23</v>
      </c>
      <c r="D19" s="6"/>
      <c r="E19" s="6"/>
      <c r="F19" s="9"/>
      <c r="G19" s="8"/>
      <c r="H19" s="9"/>
      <c r="I19" s="9"/>
      <c r="J19" s="9"/>
      <c r="K19" s="9"/>
      <c r="L19" s="9"/>
      <c r="M19" s="30"/>
      <c r="N19" s="30"/>
      <c r="O19" s="30"/>
      <c r="P19" s="10"/>
      <c r="Q19" s="10"/>
      <c r="R19" s="10"/>
      <c r="S19" s="105"/>
      <c r="T19" s="105"/>
      <c r="U19" s="102">
        <f>גיליון2!$K$5/28</f>
        <v>6960.1388888888887</v>
      </c>
      <c r="V19" s="9"/>
      <c r="W19" s="105"/>
      <c r="X19" s="105"/>
      <c r="Y19" s="105"/>
      <c r="Z19" s="105"/>
    </row>
    <row r="20" spans="3:26" hidden="1">
      <c r="C20" s="6"/>
      <c r="D20" s="7" t="s">
        <v>24</v>
      </c>
      <c r="E20" s="26">
        <v>7950000</v>
      </c>
      <c r="F20" s="9">
        <f>700000+500000</f>
        <v>1200000</v>
      </c>
      <c r="G20" s="8">
        <f>3088000*4</f>
        <v>12352000</v>
      </c>
      <c r="H20" s="8">
        <f>F20+E20</f>
        <v>9150000</v>
      </c>
      <c r="I20" s="8">
        <v>11360000</v>
      </c>
      <c r="J20" s="8"/>
      <c r="K20" s="8"/>
      <c r="L20" s="9"/>
      <c r="M20" s="30"/>
      <c r="N20" s="30"/>
      <c r="O20" s="30"/>
      <c r="P20" s="10">
        <f>SUM([1]גיליון1!H29:H40,[1]גיליון1!H49:H52)</f>
        <v>0.33306465540289126</v>
      </c>
      <c r="Q20" s="10">
        <v>4</v>
      </c>
      <c r="R20" s="10"/>
      <c r="S20" s="106">
        <f>'[1]הוצאות נוספות'!$H$4*[1]Sheet1!X51</f>
        <v>1073771.139329246</v>
      </c>
      <c r="T20" s="106"/>
      <c r="U20" s="102">
        <f>גיליון2!$K$5/28</f>
        <v>6960.1388888888887</v>
      </c>
      <c r="V20" s="8">
        <f>'[1]הוצאות נוספות'!$H$5*[1]Sheet1!X51</f>
        <v>107820.96921530069</v>
      </c>
      <c r="W20" s="106">
        <f>'[1]הוצאות נוספות'!$H$6*[1]Sheet1!X51</f>
        <v>694.96937931711898</v>
      </c>
      <c r="X20" s="106"/>
      <c r="Y20" s="106"/>
      <c r="Z20" s="106">
        <f>H20-I20-S20-V20-W20</f>
        <v>-3392287.0779238641</v>
      </c>
    </row>
    <row r="21" spans="3:26" hidden="1">
      <c r="C21" s="11"/>
      <c r="D21" s="11"/>
      <c r="E21" s="11"/>
      <c r="F21" s="11"/>
      <c r="G21" s="27"/>
      <c r="H21" s="11"/>
      <c r="I21" s="8">
        <v>67920000</v>
      </c>
      <c r="J21" s="11"/>
      <c r="K21" s="11"/>
      <c r="L21" s="11"/>
      <c r="M21" s="30"/>
      <c r="N21" s="30"/>
      <c r="O21" s="30"/>
      <c r="P21" s="28">
        <f>SUM(P5:P20)</f>
        <v>0.6271334960549253</v>
      </c>
      <c r="Q21" s="28"/>
      <c r="R21" s="28"/>
      <c r="S21" s="106">
        <f>SUM(S5:S20)</f>
        <v>5076434.6217126083</v>
      </c>
      <c r="T21" s="106"/>
      <c r="U21" s="102">
        <f>גיליון2!$K$5/28</f>
        <v>6960.1388888888887</v>
      </c>
      <c r="V21" s="8">
        <f>SUM(V5:V20)</f>
        <v>236005.93724559652</v>
      </c>
      <c r="W21" s="106">
        <f>SUM(W5:W20)</f>
        <v>2763.4533338182082</v>
      </c>
      <c r="X21" s="106"/>
      <c r="Y21" s="106"/>
      <c r="Z21" s="106">
        <f>SUM(Z5:Z20)</f>
        <v>-23157406.790069796</v>
      </c>
    </row>
    <row r="22" spans="3:26" hidden="1">
      <c r="G22" s="2"/>
      <c r="I22" s="2"/>
      <c r="P22" s="3"/>
      <c r="Q22" s="3"/>
      <c r="R22" s="3"/>
      <c r="S22" s="100"/>
      <c r="T22" s="100"/>
      <c r="U22" s="102">
        <f>גיליון2!$K$5/28</f>
        <v>6960.1388888888887</v>
      </c>
      <c r="V22" s="2"/>
      <c r="W22" s="100"/>
      <c r="X22" s="100"/>
      <c r="Y22" s="100"/>
      <c r="Z22" s="100"/>
    </row>
    <row r="23" spans="3:26" hidden="1">
      <c r="D23" t="s">
        <v>25</v>
      </c>
      <c r="G23" s="2"/>
      <c r="I23" s="2"/>
      <c r="P23" s="3" t="e">
        <f>SUM(#REF!,#REF!,#REF!,P5:P7,P10:P10,P11:P14,P17,P20)</f>
        <v>#REF!</v>
      </c>
      <c r="Q23" s="3"/>
      <c r="R23" s="3"/>
      <c r="S23" s="100"/>
      <c r="T23" s="100"/>
      <c r="U23" s="102">
        <f>גיליון2!$K$5/28</f>
        <v>6960.1388888888887</v>
      </c>
      <c r="V23" s="2"/>
      <c r="W23" s="100"/>
      <c r="X23" s="100"/>
      <c r="Y23" s="100"/>
      <c r="Z23" s="100"/>
    </row>
    <row r="24" spans="3:26" hidden="1">
      <c r="G24" s="2"/>
      <c r="I24" s="2"/>
      <c r="P24" s="3"/>
      <c r="Q24" s="3"/>
      <c r="R24" s="3"/>
      <c r="S24" s="100"/>
      <c r="T24" s="100"/>
      <c r="U24" s="102">
        <f>גיליון2!$K$5/28</f>
        <v>6960.1388888888887</v>
      </c>
      <c r="V24" s="2"/>
      <c r="W24" s="100"/>
      <c r="X24" s="100"/>
      <c r="Y24" s="100"/>
      <c r="Z24" s="100"/>
    </row>
    <row r="25" spans="3:26" hidden="1">
      <c r="G25" s="2"/>
      <c r="I25" s="2"/>
      <c r="P25" s="3" t="e">
        <f>SUM(#REF!,P5:P14,#REF!)</f>
        <v>#REF!</v>
      </c>
      <c r="Q25" s="3"/>
      <c r="R25" s="3"/>
      <c r="S25" s="100"/>
      <c r="T25" s="100"/>
      <c r="U25" s="102">
        <f>גיליון2!$K$5/28</f>
        <v>6960.1388888888887</v>
      </c>
      <c r="V25" s="2"/>
      <c r="W25" s="100"/>
      <c r="X25" s="100"/>
      <c r="Y25" s="100"/>
      <c r="Z25" s="100">
        <f>AA21-'[1]הוצאות נוספות'!H34</f>
        <v>-7648811</v>
      </c>
    </row>
    <row r="26" spans="3:26" hidden="1">
      <c r="U26" s="102">
        <f>גיליון2!$K$5/28</f>
        <v>6960.1388888888887</v>
      </c>
    </row>
    <row r="27" spans="3:26" hidden="1">
      <c r="U27" s="102">
        <f>גיליון2!$K$5/28</f>
        <v>6960.1388888888887</v>
      </c>
    </row>
    <row r="28" spans="3:26" hidden="1">
      <c r="U28" s="102">
        <f>גיליון2!$K$5/28</f>
        <v>6960.1388888888887</v>
      </c>
    </row>
    <row r="29" spans="3:26" hidden="1">
      <c r="U29" s="102">
        <f>גיליון2!$K$5/28</f>
        <v>6960.1388888888887</v>
      </c>
    </row>
    <row r="30" spans="3:26" hidden="1">
      <c r="U30" s="102">
        <f>גיליון2!$K$5/28</f>
        <v>6960.1388888888887</v>
      </c>
    </row>
    <row r="31" spans="3:26" hidden="1">
      <c r="U31" s="102">
        <f>גיליון2!$K$5/28</f>
        <v>6960.1388888888887</v>
      </c>
    </row>
    <row r="32" spans="3:26" hidden="1">
      <c r="U32" s="102">
        <f>גיליון2!$K$5/28</f>
        <v>6960.1388888888887</v>
      </c>
    </row>
    <row r="33" spans="16:21" hidden="1">
      <c r="U33" s="102">
        <f>גיליון2!$K$5/28</f>
        <v>6960.1388888888887</v>
      </c>
    </row>
    <row r="34" spans="16:21" hidden="1">
      <c r="U34" s="102">
        <f>גיליון2!$K$5/28</f>
        <v>6960.1388888888887</v>
      </c>
    </row>
    <row r="36" spans="16:21">
      <c r="P36" s="99"/>
    </row>
  </sheetData>
  <pageMargins left="0.70866141732283472" right="0.70866141732283472" top="0.74803149606299213" bottom="0.74803149606299213" header="0.31496062992125984" footer="0.31496062992125984"/>
  <pageSetup paperSize="8" scale="7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35"/>
  <sheetViews>
    <sheetView rightToLeft="1" tabSelected="1" workbookViewId="0">
      <selection activeCell="K15" sqref="K15"/>
    </sheetView>
  </sheetViews>
  <sheetFormatPr defaultColWidth="9" defaultRowHeight="18.75"/>
  <cols>
    <col min="1" max="1" width="1.85546875" style="117" customWidth="1"/>
    <col min="2" max="2" width="29.42578125" style="117" bestFit="1" customWidth="1"/>
    <col min="3" max="3" width="14.28515625" style="117" bestFit="1" customWidth="1"/>
    <col min="4" max="4" width="22" style="117" bestFit="1" customWidth="1"/>
    <col min="5" max="5" width="16.7109375" style="117" bestFit="1" customWidth="1"/>
    <col min="6" max="16384" width="9" style="117"/>
  </cols>
  <sheetData>
    <row r="2" spans="1:5">
      <c r="A2" s="116" t="s">
        <v>99</v>
      </c>
    </row>
    <row r="5" spans="1:5">
      <c r="D5" s="117" t="s">
        <v>105</v>
      </c>
      <c r="E5" s="131">
        <v>43473</v>
      </c>
    </row>
    <row r="6" spans="1:5" ht="19.5" thickBot="1">
      <c r="C6" s="117" t="s">
        <v>128</v>
      </c>
    </row>
    <row r="7" spans="1:5" ht="19.5" customHeight="1" thickBot="1">
      <c r="A7" s="133" t="s">
        <v>91</v>
      </c>
      <c r="B7" s="134"/>
      <c r="C7" s="134"/>
      <c r="D7" s="134"/>
      <c r="E7" s="135"/>
    </row>
    <row r="10" spans="1:5">
      <c r="B10" s="118" t="s">
        <v>97</v>
      </c>
      <c r="C10" s="128" t="str">
        <f>'таблица данных'!C5</f>
        <v>זיתון מרים</v>
      </c>
      <c r="D10" s="117" t="s">
        <v>114</v>
      </c>
    </row>
    <row r="11" spans="1:5">
      <c r="B11" s="118"/>
      <c r="C11" s="128"/>
    </row>
    <row r="12" spans="1:5">
      <c r="B12" s="118" t="s">
        <v>101</v>
      </c>
      <c r="C12" s="128">
        <v>20002</v>
      </c>
      <c r="D12" s="117" t="s">
        <v>115</v>
      </c>
    </row>
    <row r="13" spans="1:5">
      <c r="B13" s="118"/>
      <c r="C13" s="128"/>
    </row>
    <row r="14" spans="1:5">
      <c r="B14" s="118"/>
      <c r="C14" s="128"/>
    </row>
    <row r="15" spans="1:5">
      <c r="B15" s="118" t="s">
        <v>112</v>
      </c>
      <c r="C15" s="129">
        <f>'таблица данных'!G5</f>
        <v>1950000</v>
      </c>
      <c r="D15" s="117" t="s">
        <v>116</v>
      </c>
    </row>
    <row r="16" spans="1:5">
      <c r="B16" s="118"/>
      <c r="C16" s="129"/>
    </row>
    <row r="17" spans="2:5">
      <c r="B17" s="118" t="s">
        <v>98</v>
      </c>
      <c r="C17" s="129">
        <f>'таблица данных'!H5</f>
        <v>1100000</v>
      </c>
      <c r="D17" s="117" t="s">
        <v>117</v>
      </c>
    </row>
    <row r="18" spans="2:5">
      <c r="B18" s="118"/>
    </row>
    <row r="19" spans="2:5">
      <c r="B19" s="118"/>
      <c r="D19" s="117" t="s">
        <v>121</v>
      </c>
      <c r="E19" s="117" t="s">
        <v>122</v>
      </c>
    </row>
    <row r="20" spans="2:5">
      <c r="B20" s="118" t="s">
        <v>92</v>
      </c>
      <c r="D20" s="119" t="s">
        <v>31</v>
      </c>
      <c r="E20" s="119" t="s">
        <v>93</v>
      </c>
    </row>
    <row r="21" spans="2:5">
      <c r="B21" s="118"/>
      <c r="D21" s="119"/>
      <c r="E21" s="119"/>
    </row>
    <row r="22" spans="2:5">
      <c r="B22" s="117" t="s">
        <v>118</v>
      </c>
      <c r="C22" s="118" t="s">
        <v>3</v>
      </c>
      <c r="D22" s="121">
        <f>'таблица данных'!I5</f>
        <v>1000000</v>
      </c>
      <c r="E22" s="126">
        <v>1</v>
      </c>
    </row>
    <row r="23" spans="2:5">
      <c r="B23" s="118"/>
      <c r="D23" s="120"/>
    </row>
    <row r="24" spans="2:5">
      <c r="B24" s="117" t="s">
        <v>119</v>
      </c>
      <c r="C24" s="118" t="s">
        <v>94</v>
      </c>
      <c r="D24" s="121">
        <f>'таблица данных'!S5</f>
        <v>186830.32178571427</v>
      </c>
      <c r="E24" s="126">
        <f>D24/900000</f>
        <v>0.20758924642857141</v>
      </c>
    </row>
    <row r="25" spans="2:5">
      <c r="B25" s="118"/>
      <c r="D25" s="120"/>
      <c r="E25" s="126"/>
    </row>
    <row r="26" spans="2:5">
      <c r="B26" s="117" t="s">
        <v>120</v>
      </c>
      <c r="C26" s="118" t="s">
        <v>95</v>
      </c>
      <c r="D26" s="121">
        <f>'таблица данных'!U5+'таблица данных'!V5+'таблица данных'!W5</f>
        <v>12128.41746031746</v>
      </c>
      <c r="E26" s="126">
        <f>D26/50000</f>
        <v>0.2425683492063492</v>
      </c>
    </row>
    <row r="27" spans="2:5">
      <c r="B27" s="118"/>
      <c r="C27" s="118"/>
      <c r="D27" s="120"/>
    </row>
    <row r="28" spans="2:5">
      <c r="B28" s="117" t="s">
        <v>123</v>
      </c>
      <c r="C28" s="118" t="s">
        <v>106</v>
      </c>
      <c r="D28" s="120"/>
    </row>
    <row r="29" spans="2:5">
      <c r="B29" s="118"/>
      <c r="C29" s="118"/>
      <c r="D29" s="120"/>
    </row>
    <row r="30" spans="2:5">
      <c r="B30" s="117" t="s">
        <v>123</v>
      </c>
      <c r="C30" s="118" t="s">
        <v>106</v>
      </c>
      <c r="D30" s="120"/>
    </row>
    <row r="31" spans="2:5">
      <c r="B31" s="118"/>
      <c r="C31" s="118"/>
      <c r="D31" s="120"/>
    </row>
    <row r="32" spans="2:5">
      <c r="B32" s="117" t="s">
        <v>123</v>
      </c>
      <c r="C32" s="118" t="s">
        <v>106</v>
      </c>
      <c r="D32" s="120"/>
    </row>
    <row r="33" spans="1:5" ht="19.5" thickBot="1">
      <c r="B33" s="118"/>
      <c r="C33" s="118"/>
      <c r="D33" s="120"/>
    </row>
    <row r="34" spans="1:5" ht="19.5" thickBot="1">
      <c r="A34" s="122"/>
      <c r="B34" s="124" t="s">
        <v>96</v>
      </c>
      <c r="C34" s="125"/>
      <c r="D34" s="125">
        <f>C17-D22-D24-D26</f>
        <v>-98958.739246031735</v>
      </c>
      <c r="E34" s="123"/>
    </row>
    <row r="35" spans="1:5">
      <c r="B35" s="117" t="s">
        <v>124</v>
      </c>
    </row>
  </sheetData>
  <mergeCells count="1">
    <mergeCell ref="A7:E7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rightToLeft="1" workbookViewId="0">
      <selection activeCell="K6" sqref="K6"/>
    </sheetView>
  </sheetViews>
  <sheetFormatPr defaultColWidth="17.140625" defaultRowHeight="15"/>
  <cols>
    <col min="4" max="4" width="17.140625" style="52"/>
    <col min="6" max="7" width="17.140625" style="112"/>
  </cols>
  <sheetData>
    <row r="1" spans="1:11" ht="15.75" thickBot="1"/>
    <row r="2" spans="1:11" ht="15.75" thickBot="1">
      <c r="A2" s="53" t="s">
        <v>28</v>
      </c>
      <c r="B2" s="54" t="s">
        <v>29</v>
      </c>
      <c r="C2" s="55" t="s">
        <v>30</v>
      </c>
      <c r="D2" s="56" t="s">
        <v>31</v>
      </c>
      <c r="E2" s="57" t="s">
        <v>32</v>
      </c>
      <c r="F2" s="113" t="s">
        <v>85</v>
      </c>
      <c r="G2" s="113"/>
    </row>
    <row r="3" spans="1:11">
      <c r="A3" s="58"/>
      <c r="B3" s="59"/>
      <c r="C3" s="59"/>
      <c r="D3" s="60"/>
      <c r="E3" s="59"/>
      <c r="H3" s="61" t="s">
        <v>33</v>
      </c>
      <c r="I3" s="62">
        <v>34080000</v>
      </c>
    </row>
    <row r="4" spans="1:11">
      <c r="A4" s="63" t="s">
        <v>34</v>
      </c>
      <c r="B4" s="11" t="s">
        <v>35</v>
      </c>
      <c r="C4" s="11" t="s">
        <v>36</v>
      </c>
      <c r="D4" s="64">
        <v>35100</v>
      </c>
      <c r="E4" s="29"/>
      <c r="H4" s="65" t="s">
        <v>10</v>
      </c>
      <c r="I4" s="66">
        <f>4471153*1.17</f>
        <v>5231249.01</v>
      </c>
      <c r="J4" t="s">
        <v>90</v>
      </c>
    </row>
    <row r="5" spans="1:11" ht="15.75" thickBot="1">
      <c r="A5" s="67" t="s">
        <v>37</v>
      </c>
      <c r="B5" s="68" t="s">
        <v>35</v>
      </c>
      <c r="C5" s="68" t="s">
        <v>36</v>
      </c>
      <c r="D5" s="69">
        <v>23400</v>
      </c>
      <c r="E5" s="70"/>
      <c r="H5" s="71" t="s">
        <v>76</v>
      </c>
      <c r="I5" s="72">
        <f>D6+D9+D23+D28+F38+F41</f>
        <v>142057</v>
      </c>
      <c r="J5" t="s">
        <v>77</v>
      </c>
      <c r="K5">
        <f>(10000*1.17+3500*1.17+20000)/36*7*28</f>
        <v>194883.88888888888</v>
      </c>
    </row>
    <row r="6" spans="1:11" ht="15.75" thickBot="1">
      <c r="A6" s="73"/>
      <c r="B6" s="74"/>
      <c r="C6" s="74" t="s">
        <v>38</v>
      </c>
      <c r="D6" s="75">
        <f>SUM(D4:D5)</f>
        <v>58500</v>
      </c>
      <c r="E6" s="76"/>
      <c r="F6" s="112">
        <f>23400+26600+8500</f>
        <v>58500</v>
      </c>
      <c r="H6" s="77" t="s">
        <v>11</v>
      </c>
      <c r="I6" s="78">
        <v>2654.8</v>
      </c>
    </row>
    <row r="7" spans="1:11">
      <c r="A7" s="79"/>
      <c r="B7" s="79"/>
      <c r="C7" s="79"/>
      <c r="D7" s="80"/>
      <c r="E7" s="79"/>
    </row>
    <row r="8" spans="1:11" ht="15.75" thickBot="1">
      <c r="A8" s="81" t="s">
        <v>39</v>
      </c>
      <c r="B8" s="68" t="s">
        <v>40</v>
      </c>
      <c r="C8" s="68" t="s">
        <v>41</v>
      </c>
      <c r="D8" s="69">
        <v>10238</v>
      </c>
      <c r="E8" s="70"/>
    </row>
    <row r="9" spans="1:11" ht="15.75" thickBot="1">
      <c r="A9" s="73"/>
      <c r="B9" s="73"/>
      <c r="C9" s="74" t="s">
        <v>38</v>
      </c>
      <c r="D9" s="75">
        <f>SUM(D8)</f>
        <v>10238</v>
      </c>
      <c r="E9" s="76"/>
      <c r="F9" s="112">
        <v>10238</v>
      </c>
      <c r="I9" s="82">
        <f>SUM(I3:I8)</f>
        <v>39455960.809999995</v>
      </c>
    </row>
    <row r="10" spans="1:11">
      <c r="A10" s="79"/>
      <c r="B10" s="79"/>
      <c r="C10" s="79"/>
      <c r="D10" s="80"/>
      <c r="E10" s="79"/>
    </row>
    <row r="11" spans="1:11" ht="15.75" thickBot="1">
      <c r="A11" s="63" t="s">
        <v>42</v>
      </c>
      <c r="B11" s="68" t="s">
        <v>43</v>
      </c>
      <c r="C11" s="83" t="s">
        <v>10</v>
      </c>
      <c r="D11" s="84">
        <v>3022943</v>
      </c>
      <c r="E11" s="70"/>
      <c r="H11" t="s">
        <v>44</v>
      </c>
      <c r="I11" s="82">
        <f>I9-E59</f>
        <v>39455960.809999995</v>
      </c>
    </row>
    <row r="12" spans="1:11" ht="15.75" thickBot="1">
      <c r="A12" s="73"/>
      <c r="B12" s="73"/>
      <c r="C12" s="74" t="s">
        <v>38</v>
      </c>
      <c r="D12" s="85">
        <f>SUM(D11)</f>
        <v>3022943</v>
      </c>
      <c r="E12" s="76"/>
      <c r="F12" s="112">
        <f>681640+1000000+500000+500000</f>
        <v>2681640</v>
      </c>
      <c r="H12" s="111">
        <f>D12-F12</f>
        <v>341303</v>
      </c>
    </row>
    <row r="13" spans="1:11">
      <c r="A13" s="79"/>
      <c r="B13" s="79"/>
      <c r="C13" s="79"/>
      <c r="D13" s="80"/>
      <c r="E13" s="79"/>
    </row>
    <row r="14" spans="1:11" ht="15.75" thickBot="1">
      <c r="A14" s="86" t="s">
        <v>45</v>
      </c>
      <c r="B14" s="11" t="s">
        <v>46</v>
      </c>
      <c r="C14" s="11" t="s">
        <v>47</v>
      </c>
      <c r="D14" s="64">
        <v>35397</v>
      </c>
      <c r="E14" s="29"/>
    </row>
    <row r="15" spans="1:11" ht="15.75" thickBot="1">
      <c r="A15" s="73"/>
      <c r="B15" s="74"/>
      <c r="C15" s="74" t="s">
        <v>38</v>
      </c>
      <c r="D15" s="75">
        <f>SUM(D14)</f>
        <v>35397</v>
      </c>
      <c r="E15" s="76"/>
      <c r="F15" s="112">
        <f>35397+23673</f>
        <v>59070</v>
      </c>
    </row>
    <row r="16" spans="1:11">
      <c r="A16" s="79"/>
      <c r="B16" s="79"/>
      <c r="C16" s="79"/>
      <c r="D16" s="80"/>
      <c r="E16" s="79"/>
    </row>
    <row r="17" spans="1:6">
      <c r="A17" s="86" t="s">
        <v>48</v>
      </c>
      <c r="B17" s="11" t="s">
        <v>49</v>
      </c>
      <c r="C17" s="11" t="s">
        <v>50</v>
      </c>
      <c r="D17" s="64">
        <v>2811</v>
      </c>
      <c r="E17" s="29"/>
    </row>
    <row r="18" spans="1:6">
      <c r="A18" s="86" t="s">
        <v>51</v>
      </c>
      <c r="B18" s="11" t="s">
        <v>49</v>
      </c>
      <c r="C18" s="11" t="s">
        <v>50</v>
      </c>
      <c r="D18" s="64">
        <v>41</v>
      </c>
      <c r="E18" s="29"/>
    </row>
    <row r="19" spans="1:6">
      <c r="A19" s="86" t="s">
        <v>51</v>
      </c>
      <c r="B19" s="11" t="s">
        <v>49</v>
      </c>
      <c r="C19" s="11" t="s">
        <v>50</v>
      </c>
      <c r="D19" s="64">
        <v>130</v>
      </c>
      <c r="E19" s="29"/>
    </row>
    <row r="20" spans="1:6">
      <c r="A20" s="86" t="s">
        <v>48</v>
      </c>
      <c r="B20" s="11" t="s">
        <v>49</v>
      </c>
      <c r="C20" s="11" t="s">
        <v>50</v>
      </c>
      <c r="D20" s="64">
        <v>397</v>
      </c>
      <c r="E20" s="29"/>
    </row>
    <row r="21" spans="1:6">
      <c r="A21" s="86" t="s">
        <v>52</v>
      </c>
      <c r="B21" s="11" t="s">
        <v>49</v>
      </c>
      <c r="C21" s="11" t="s">
        <v>50</v>
      </c>
      <c r="D21" s="64">
        <v>2916</v>
      </c>
      <c r="E21" s="29"/>
    </row>
    <row r="22" spans="1:6" ht="15.75" thickBot="1">
      <c r="A22" s="86" t="s">
        <v>48</v>
      </c>
      <c r="B22" s="11" t="s">
        <v>49</v>
      </c>
      <c r="C22" s="11" t="s">
        <v>50</v>
      </c>
      <c r="D22" s="64">
        <v>358</v>
      </c>
      <c r="E22" s="29"/>
    </row>
    <row r="23" spans="1:6" ht="15.75" thickBot="1">
      <c r="A23" s="73"/>
      <c r="B23" s="74"/>
      <c r="C23" s="74" t="s">
        <v>38</v>
      </c>
      <c r="D23" s="75">
        <f>SUM(D17:D22)</f>
        <v>6653</v>
      </c>
      <c r="E23" s="76"/>
      <c r="F23" s="112">
        <f>3700+2916</f>
        <v>6616</v>
      </c>
    </row>
    <row r="24" spans="1:6">
      <c r="A24" s="79"/>
      <c r="B24" s="79"/>
      <c r="C24" s="79"/>
      <c r="D24" s="80"/>
      <c r="E24" s="79"/>
    </row>
    <row r="25" spans="1:6">
      <c r="A25" s="86" t="s">
        <v>53</v>
      </c>
      <c r="B25" s="11" t="s">
        <v>54</v>
      </c>
      <c r="C25" s="11" t="s">
        <v>55</v>
      </c>
      <c r="D25" s="64">
        <v>4680</v>
      </c>
      <c r="E25" s="29" t="s">
        <v>56</v>
      </c>
    </row>
    <row r="26" spans="1:6">
      <c r="A26" s="86" t="s">
        <v>57</v>
      </c>
      <c r="B26" s="11" t="s">
        <v>54</v>
      </c>
      <c r="C26" s="11" t="s">
        <v>55</v>
      </c>
      <c r="D26" s="64">
        <v>25740</v>
      </c>
      <c r="E26" s="29" t="s">
        <v>56</v>
      </c>
    </row>
    <row r="27" spans="1:6" ht="15.75" thickBot="1">
      <c r="A27" s="86" t="s">
        <v>58</v>
      </c>
      <c r="B27" s="11" t="s">
        <v>54</v>
      </c>
      <c r="C27" s="11" t="s">
        <v>55</v>
      </c>
      <c r="D27" s="64">
        <v>23400</v>
      </c>
      <c r="E27" s="29" t="s">
        <v>59</v>
      </c>
    </row>
    <row r="28" spans="1:6" ht="15.75" thickBot="1">
      <c r="A28" s="73"/>
      <c r="B28" s="74"/>
      <c r="C28" s="74" t="s">
        <v>38</v>
      </c>
      <c r="D28" s="75">
        <f>SUM(D25:D27)</f>
        <v>53820</v>
      </c>
      <c r="E28" s="76"/>
      <c r="F28" s="112">
        <f>25740+23400+4680</f>
        <v>53820</v>
      </c>
    </row>
    <row r="30" spans="1:6">
      <c r="A30" s="86" t="s">
        <v>60</v>
      </c>
      <c r="B30" s="11" t="s">
        <v>61</v>
      </c>
      <c r="C30" s="11" t="s">
        <v>62</v>
      </c>
      <c r="D30" s="64">
        <v>10920</v>
      </c>
      <c r="E30" s="29"/>
    </row>
    <row r="31" spans="1:6" ht="15.75" thickBot="1">
      <c r="A31" s="86" t="s">
        <v>63</v>
      </c>
      <c r="B31" s="11" t="s">
        <v>61</v>
      </c>
      <c r="C31" s="11" t="s">
        <v>64</v>
      </c>
      <c r="D31" s="64">
        <v>3640</v>
      </c>
      <c r="E31" s="29"/>
    </row>
    <row r="32" spans="1:6" ht="15.75" thickBot="1">
      <c r="A32" s="73"/>
      <c r="B32" s="74"/>
      <c r="C32" s="74" t="s">
        <v>38</v>
      </c>
      <c r="D32" s="75">
        <f>SUM(D30:D31)</f>
        <v>14560</v>
      </c>
      <c r="E32" s="76"/>
      <c r="F32" s="112">
        <f>10920+7280</f>
        <v>18200</v>
      </c>
    </row>
    <row r="34" spans="1:8" ht="15.75" thickBot="1">
      <c r="B34" s="11"/>
      <c r="C34" s="11" t="s">
        <v>65</v>
      </c>
      <c r="D34" s="64">
        <f>710000*28</f>
        <v>19880000</v>
      </c>
      <c r="E34" s="29"/>
    </row>
    <row r="35" spans="1:8" ht="15.75" thickBot="1">
      <c r="B35" s="73"/>
      <c r="C35" s="74" t="s">
        <v>38</v>
      </c>
      <c r="D35" s="87">
        <f>SUM(D34:D34)</f>
        <v>19880000</v>
      </c>
      <c r="E35" s="76"/>
      <c r="F35" s="112">
        <v>0</v>
      </c>
    </row>
    <row r="37" spans="1:8" ht="15.75" thickBot="1">
      <c r="A37" s="81"/>
      <c r="C37" s="68" t="s">
        <v>86</v>
      </c>
      <c r="D37" s="69"/>
      <c r="E37" s="70"/>
    </row>
    <row r="38" spans="1:8" ht="15.75" thickBot="1">
      <c r="A38" s="73"/>
      <c r="B38" s="73"/>
      <c r="C38" s="74" t="s">
        <v>38</v>
      </c>
      <c r="D38" s="75">
        <f>SUM(D37)</f>
        <v>0</v>
      </c>
      <c r="E38" s="76"/>
      <c r="F38" s="112">
        <v>11700</v>
      </c>
    </row>
    <row r="39" spans="1:8">
      <c r="A39" s="79"/>
      <c r="B39" s="79"/>
      <c r="C39" s="79"/>
      <c r="D39" s="114"/>
      <c r="E39" s="79"/>
    </row>
    <row r="40" spans="1:8" ht="15.75" thickBot="1">
      <c r="A40" s="81"/>
      <c r="B40" s="68"/>
      <c r="C40" s="68" t="s">
        <v>87</v>
      </c>
      <c r="D40" s="69">
        <v>0</v>
      </c>
      <c r="E40" s="70"/>
    </row>
    <row r="41" spans="1:8" ht="15.75" thickBot="1">
      <c r="A41" s="73"/>
      <c r="B41" s="73"/>
      <c r="C41" s="74" t="s">
        <v>38</v>
      </c>
      <c r="D41" s="75">
        <f>SUM(D40)</f>
        <v>0</v>
      </c>
      <c r="E41" s="76"/>
      <c r="F41" s="112">
        <v>1146</v>
      </c>
    </row>
    <row r="42" spans="1:8">
      <c r="A42" s="79"/>
      <c r="B42" s="79"/>
      <c r="C42" s="79"/>
      <c r="D42" s="114"/>
      <c r="E42" s="79"/>
    </row>
    <row r="43" spans="1:8" ht="15.75" thickBot="1">
      <c r="A43" s="81"/>
      <c r="B43" s="68"/>
      <c r="C43" s="68" t="s">
        <v>88</v>
      </c>
      <c r="D43" s="69">
        <v>0</v>
      </c>
      <c r="E43" s="70"/>
    </row>
    <row r="44" spans="1:8" ht="15.75" thickBot="1">
      <c r="A44" s="73"/>
      <c r="B44" s="73"/>
      <c r="C44" s="74" t="s">
        <v>38</v>
      </c>
      <c r="D44" s="75">
        <f>SUM(D43)</f>
        <v>0</v>
      </c>
      <c r="E44" s="76"/>
      <c r="F44" s="112">
        <v>50000</v>
      </c>
    </row>
    <row r="45" spans="1:8" ht="15.75">
      <c r="A45" s="88" t="s">
        <v>65</v>
      </c>
      <c r="D45"/>
      <c r="F45" s="112">
        <f>SUM(F3:F44)</f>
        <v>2950930</v>
      </c>
      <c r="H45" s="96"/>
    </row>
    <row r="46" spans="1:8">
      <c r="B46" s="89">
        <v>720</v>
      </c>
      <c r="C46" s="90">
        <v>72001</v>
      </c>
      <c r="D46" s="91" t="s">
        <v>66</v>
      </c>
      <c r="E46" s="92">
        <v>712150</v>
      </c>
    </row>
    <row r="47" spans="1:8">
      <c r="B47" s="89">
        <v>720</v>
      </c>
      <c r="C47" s="90">
        <v>72002</v>
      </c>
      <c r="D47" s="91" t="s">
        <v>67</v>
      </c>
      <c r="E47" s="93">
        <v>1369050</v>
      </c>
    </row>
    <row r="48" spans="1:8">
      <c r="B48" s="89">
        <v>720</v>
      </c>
      <c r="C48" s="90">
        <v>72003</v>
      </c>
      <c r="D48" s="91" t="s">
        <v>68</v>
      </c>
      <c r="E48" s="94">
        <v>17786950</v>
      </c>
    </row>
    <row r="49" spans="1:7">
      <c r="B49" s="89">
        <v>720</v>
      </c>
      <c r="C49" s="90">
        <v>72004</v>
      </c>
      <c r="D49" s="91" t="s">
        <v>69</v>
      </c>
      <c r="E49" s="93">
        <v>8204050</v>
      </c>
    </row>
    <row r="50" spans="1:7">
      <c r="B50" s="89">
        <v>720</v>
      </c>
      <c r="C50" s="90">
        <v>72005</v>
      </c>
      <c r="D50" s="91" t="s">
        <v>70</v>
      </c>
      <c r="E50" s="93">
        <v>1038150</v>
      </c>
    </row>
    <row r="51" spans="1:7">
      <c r="A51" s="91" t="s">
        <v>71</v>
      </c>
      <c r="B51" s="89">
        <v>720</v>
      </c>
      <c r="D51"/>
      <c r="E51" s="95">
        <v>29110350</v>
      </c>
      <c r="F51" s="5">
        <f>34080000*1.17</f>
        <v>39873600</v>
      </c>
      <c r="G51" s="5"/>
    </row>
    <row r="52" spans="1:7" ht="15.75">
      <c r="A52" s="88" t="s">
        <v>72</v>
      </c>
      <c r="D52"/>
    </row>
    <row r="53" spans="1:7">
      <c r="B53" s="89">
        <v>800</v>
      </c>
      <c r="C53" s="90">
        <v>70001</v>
      </c>
      <c r="D53" s="91" t="s">
        <v>73</v>
      </c>
      <c r="E53" s="97">
        <v>144555.84</v>
      </c>
      <c r="F53" s="112">
        <v>0</v>
      </c>
    </row>
    <row r="54" spans="1:7" ht="15.75">
      <c r="A54" s="88" t="s">
        <v>74</v>
      </c>
      <c r="D54"/>
    </row>
    <row r="55" spans="1:7">
      <c r="B55" s="89">
        <v>900</v>
      </c>
      <c r="C55" s="90">
        <v>90001</v>
      </c>
      <c r="D55" s="91" t="s">
        <v>75</v>
      </c>
      <c r="E55" s="98">
        <f>'[2]מאזן בוחן'!F69</f>
        <v>2086.59</v>
      </c>
    </row>
    <row r="59" spans="1:7">
      <c r="E59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таблица данных</vt:lpstr>
      <vt:lpstr>вывод данных</vt:lpstr>
      <vt:lpstr>גיליון2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Shorashim1</dc:creator>
  <cp:lastModifiedBy>yael olga</cp:lastModifiedBy>
  <cp:lastPrinted>2018-12-17T10:56:26Z</cp:lastPrinted>
  <dcterms:created xsi:type="dcterms:W3CDTF">2018-10-29T15:40:10Z</dcterms:created>
  <dcterms:modified xsi:type="dcterms:W3CDTF">2019-01-15T13:26:11Z</dcterms:modified>
</cp:coreProperties>
</file>